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5\ŠU\NOV\"/>
    </mc:Choice>
  </mc:AlternateContent>
  <xr:revisionPtr revIDLastSave="0" documentId="13_ncr:1_{ADA33CA7-F9EF-4B7C-92EA-57394D07AA39}" xr6:coauthVersionLast="47" xr6:coauthVersionMax="47" xr10:uidLastSave="{00000000-0000-0000-0000-000000000000}"/>
  <bookViews>
    <workbookView xWindow="-120" yWindow="-120" windowWidth="29040" windowHeight="15720" tabRatio="931" xr2:uid="{00000000-000D-0000-FFFF-FFFF00000000}"/>
  </bookViews>
  <sheets>
    <sheet name="NOV 200" sheetId="75" r:id="rId1"/>
    <sheet name="Parametre" sheetId="1" r:id="rId2"/>
    <sheet name="Vstupy" sheetId="30" r:id="rId3"/>
    <sheet name="01 Investičné výdavky NOV200" sheetId="2" r:id="rId4"/>
    <sheet name="02 Zostatková hodnota NOV200" sheetId="9" r:id="rId5"/>
    <sheet name="03 Prevádzkové výdavky NOV200" sheetId="3" r:id="rId6"/>
    <sheet name="03A PV NOV200 bez proj.pomoc" sheetId="79" r:id="rId7"/>
    <sheet name="03B PV NOV200 s proj.pomoc" sheetId="80" r:id="rId8"/>
    <sheet name="04 Prevádzkové príjmy NOV200" sheetId="4" r:id="rId9"/>
    <sheet name="04A Prevádzkové príjmy NOV200" sheetId="40" r:id="rId10"/>
    <sheet name="05 Financovanie NOV200" sheetId="7" r:id="rId11"/>
    <sheet name="06 Finančná analýza NOV200" sheetId="6" r:id="rId12"/>
    <sheet name="07 Čas cestujúcich NOV200" sheetId="10" r:id="rId13"/>
    <sheet name="08 Spotreba PHM_E (cesty)NOV200" sheetId="42" r:id="rId14"/>
    <sheet name="08_A Spotr. PHM_E(cesty)NOV200" sheetId="44" r:id="rId15"/>
    <sheet name="09 Ostatné nákl. (cesty)NOV200" sheetId="43" r:id="rId16"/>
    <sheet name="09_A Ostat. nákl. (cesty)NOV200" sheetId="45" r:id="rId17"/>
    <sheet name="10 Bezpečnosť (cesty) NOV200" sheetId="33" r:id="rId18"/>
    <sheet name="10_A Bezpečnosť (cesty) NOV200" sheetId="41" r:id="rId19"/>
    <sheet name="11a Znečisťujúce l.(voz.)NOV200" sheetId="18" r:id="rId20"/>
    <sheet name="11a_A Znečisť. l.(voz.)NOV200" sheetId="48" r:id="rId21"/>
    <sheet name="11b Znečisť. l.(cesty)NOV200" sheetId="34" r:id="rId22"/>
    <sheet name="11b_A Znečisť. l. (cesty)NO200" sheetId="49" r:id="rId23"/>
    <sheet name="12a Skleníkové p. (voz.)NOV200" sheetId="23" r:id="rId24"/>
    <sheet name="12a_A Skleník. p. (voz.)NOV200 " sheetId="51" r:id="rId25"/>
    <sheet name="12b Skleník. p. (cesty)NOV200" sheetId="35" r:id="rId26"/>
    <sheet name="12b_A Skleník. p.(cesty)NOV200 " sheetId="50" r:id="rId27"/>
    <sheet name="13a Hluk (voz.)NOV200" sheetId="24" r:id="rId28"/>
    <sheet name="13a_A Hluk (voz.)NOV200" sheetId="46" r:id="rId29"/>
    <sheet name="13b Hluk (cesty)NOV200" sheetId="36" r:id="rId30"/>
    <sheet name="13b_A Hluk (cesty)NOV200" sheetId="47" r:id="rId31"/>
    <sheet name="14 Ekonomická analýza NOV200" sheetId="19" r:id="rId32"/>
    <sheet name="16 Analýza citlivosti" sheetId="82" r:id="rId33"/>
    <sheet name="EMU 550" sheetId="76" r:id="rId34"/>
    <sheet name="Parametre EMU550" sheetId="54" r:id="rId35"/>
    <sheet name="Vstupy EMU550" sheetId="55" r:id="rId36"/>
    <sheet name="01 Investičné výdavky EMU550" sheetId="56" r:id="rId37"/>
    <sheet name="02 Zostatková hodnota EMU550" sheetId="57" r:id="rId38"/>
    <sheet name="03 Prev. výdavky EMU550" sheetId="58" r:id="rId39"/>
    <sheet name="03A PV EMU550 bez proj. pomoc" sheetId="59" r:id="rId40"/>
    <sheet name="03B PV EMU550 s proj. pomoc." sheetId="60" r:id="rId41"/>
    <sheet name="04 Prevádzkové príjmy EMU550" sheetId="61" r:id="rId42"/>
    <sheet name="05 Financovanie EMU550" sheetId="62" r:id="rId43"/>
    <sheet name="06 Finančná analýza EMU550" sheetId="63" r:id="rId44"/>
    <sheet name="07 Čas cestujúcich EMU550" sheetId="64" r:id="rId45"/>
    <sheet name="08 Spotreba PHM_E EMU550" sheetId="65" r:id="rId46"/>
    <sheet name="09 Ostatné nákl. (cesty) EMU550" sheetId="66" r:id="rId47"/>
    <sheet name="10 Bezpečnosť (cesty) EMU550" sheetId="67" r:id="rId48"/>
    <sheet name="11a Znečisťujúce l. (voz.) EMU" sheetId="68" r:id="rId49"/>
    <sheet name="11b Znečisť. l. (cesty)  EMU550" sheetId="69" r:id="rId50"/>
    <sheet name="12a Skleník. plyny (voz.)EMU550" sheetId="70" r:id="rId51"/>
    <sheet name="12a_A Skleník. p. (voz.)EMU550" sheetId="81" r:id="rId52"/>
    <sheet name="12b Skleník.plyny (cesty)EMU550" sheetId="71" r:id="rId53"/>
    <sheet name="13a Hluk (voz.) EMU550" sheetId="72" r:id="rId54"/>
    <sheet name="13b Hluk (cesty) EMU550" sheetId="73" r:id="rId55"/>
    <sheet name="14 Ekonomická analýza EMU550" sheetId="74" r:id="rId56"/>
    <sheet name="16 Analýza citlivosti EMU550" sheetId="83" r:id="rId57"/>
  </sheets>
  <externalReferences>
    <externalReference r:id="rId58"/>
    <externalReference r:id="rId5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36">'01 Investičné výdavky EMU550'!#REF!</definedName>
    <definedName name="_ftn1" localSheetId="3">'01 Investičné výdavky NOV200'!#REF!</definedName>
    <definedName name="_ftn1" localSheetId="37">'02 Zostatková hodnota EMU550'!#REF!</definedName>
    <definedName name="_ftn1" localSheetId="4">'02 Zostatková hodnota NOV200'!#REF!</definedName>
    <definedName name="_ftnref1" localSheetId="36">'01 Investičné výdavky EMU550'!#REF!</definedName>
    <definedName name="_ftnref1" localSheetId="3">'01 Investičné výdavky NOV200'!#REF!</definedName>
    <definedName name="_ftnref1" localSheetId="37">'02 Zostatková hodnota EMU550'!#REF!</definedName>
    <definedName name="_ftnref1" localSheetId="4">'02 Zostatková hodnota NOV200'!#REF!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articipants">#REF!:INDEX(#REF!,COUNTIF(#REF!,"?*"))</definedName>
    <definedName name="RWorkPackages">#REF!:INDEX(#REF!,COUNTIF(#REF!,"?*"))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H19" i="2"/>
  <c r="I19" i="2"/>
  <c r="J19" i="2"/>
  <c r="H16" i="2"/>
  <c r="I16" i="2"/>
  <c r="C62" i="2"/>
  <c r="B28" i="82"/>
  <c r="S44" i="82" s="1"/>
  <c r="B27" i="82"/>
  <c r="B26" i="82"/>
  <c r="B25" i="82"/>
  <c r="B24" i="82"/>
  <c r="B23" i="82"/>
  <c r="B21" i="82"/>
  <c r="B22" i="82"/>
  <c r="B4" i="82"/>
  <c r="B5" i="82"/>
  <c r="B43" i="83"/>
  <c r="B20" i="83"/>
  <c r="O36" i="83" s="1"/>
  <c r="B30" i="83"/>
  <c r="B7" i="83"/>
  <c r="B29" i="83"/>
  <c r="B27" i="83"/>
  <c r="Q43" i="83" s="1"/>
  <c r="B22" i="83"/>
  <c r="M38" i="83" s="1"/>
  <c r="B21" i="83"/>
  <c r="B4" i="83"/>
  <c r="M13" i="83" s="1"/>
  <c r="B5" i="83"/>
  <c r="B6" i="83"/>
  <c r="N15" i="83" s="1"/>
  <c r="B3" i="83"/>
  <c r="R45" i="83"/>
  <c r="Q45" i="83"/>
  <c r="P45" i="83"/>
  <c r="P39" i="83"/>
  <c r="T37" i="83"/>
  <c r="S37" i="83"/>
  <c r="R37" i="83"/>
  <c r="N37" i="83"/>
  <c r="L37" i="83"/>
  <c r="O29" i="83"/>
  <c r="N29" i="83"/>
  <c r="M29" i="83"/>
  <c r="I29" i="83"/>
  <c r="H29" i="83"/>
  <c r="G29" i="83"/>
  <c r="O45" i="83"/>
  <c r="B28" i="83"/>
  <c r="G28" i="83" s="1"/>
  <c r="B26" i="83"/>
  <c r="G26" i="83" s="1"/>
  <c r="B25" i="83"/>
  <c r="O41" i="83" s="1"/>
  <c r="B24" i="83"/>
  <c r="L40" i="83" s="1"/>
  <c r="O23" i="83"/>
  <c r="N23" i="83"/>
  <c r="J23" i="83"/>
  <c r="I23" i="83"/>
  <c r="H23" i="83"/>
  <c r="T22" i="83"/>
  <c r="S22" i="83"/>
  <c r="O22" i="83"/>
  <c r="N22" i="83"/>
  <c r="G22" i="83"/>
  <c r="F22" i="83"/>
  <c r="E22" i="83"/>
  <c r="T38" i="83"/>
  <c r="T21" i="83"/>
  <c r="S21" i="83"/>
  <c r="Q21" i="83"/>
  <c r="O21" i="83"/>
  <c r="N21" i="83"/>
  <c r="M21" i="83"/>
  <c r="L21" i="83"/>
  <c r="K21" i="83"/>
  <c r="J21" i="83"/>
  <c r="H21" i="83"/>
  <c r="G21" i="83"/>
  <c r="F21" i="83"/>
  <c r="E21" i="83"/>
  <c r="C21" i="83"/>
  <c r="Q37" i="83"/>
  <c r="M15" i="83"/>
  <c r="H6" i="83"/>
  <c r="H5" i="83"/>
  <c r="H4" i="83"/>
  <c r="G3" i="83"/>
  <c r="R44" i="82"/>
  <c r="Q44" i="82"/>
  <c r="P44" i="82"/>
  <c r="T43" i="82"/>
  <c r="R43" i="82"/>
  <c r="Q43" i="82"/>
  <c r="P43" i="82"/>
  <c r="O43" i="82"/>
  <c r="N43" i="82"/>
  <c r="M43" i="82"/>
  <c r="T41" i="82"/>
  <c r="P41" i="82"/>
  <c r="O41" i="82"/>
  <c r="N41" i="82"/>
  <c r="M41" i="82"/>
  <c r="L41" i="82"/>
  <c r="T38" i="82"/>
  <c r="S38" i="82"/>
  <c r="R38" i="82"/>
  <c r="Q38" i="82"/>
  <c r="P38" i="82"/>
  <c r="O38" i="82"/>
  <c r="M38" i="82"/>
  <c r="L38" i="82"/>
  <c r="N37" i="82"/>
  <c r="L37" i="82"/>
  <c r="T28" i="82"/>
  <c r="S28" i="82"/>
  <c r="R28" i="82"/>
  <c r="Q28" i="82"/>
  <c r="J28" i="82"/>
  <c r="I28" i="82"/>
  <c r="H28" i="82"/>
  <c r="G28" i="82"/>
  <c r="F28" i="82"/>
  <c r="D28" i="82"/>
  <c r="C28" i="82"/>
  <c r="O44" i="82"/>
  <c r="O27" i="82"/>
  <c r="N27" i="82"/>
  <c r="M27" i="82"/>
  <c r="L27" i="82"/>
  <c r="K27" i="82"/>
  <c r="J27" i="82"/>
  <c r="I27" i="82"/>
  <c r="H27" i="82"/>
  <c r="G27" i="82"/>
  <c r="L43" i="82"/>
  <c r="Q26" i="82"/>
  <c r="L42" i="82"/>
  <c r="T25" i="82"/>
  <c r="S25" i="82"/>
  <c r="R25" i="82"/>
  <c r="Q25" i="82"/>
  <c r="N25" i="82"/>
  <c r="M25" i="82"/>
  <c r="L25" i="82"/>
  <c r="K25" i="82"/>
  <c r="J25" i="82"/>
  <c r="I25" i="82"/>
  <c r="H25" i="82"/>
  <c r="G25" i="82"/>
  <c r="F25" i="82"/>
  <c r="E25" i="82"/>
  <c r="D25" i="82"/>
  <c r="C25" i="82"/>
  <c r="S41" i="82"/>
  <c r="T22" i="82"/>
  <c r="S22" i="82"/>
  <c r="R22" i="82"/>
  <c r="O22" i="82"/>
  <c r="N22" i="82"/>
  <c r="M22" i="82"/>
  <c r="L22" i="82"/>
  <c r="K22" i="82"/>
  <c r="J22" i="82"/>
  <c r="I22" i="82"/>
  <c r="H22" i="82"/>
  <c r="G22" i="82"/>
  <c r="F22" i="82"/>
  <c r="E22" i="82"/>
  <c r="D22" i="82"/>
  <c r="O21" i="82"/>
  <c r="N21" i="82"/>
  <c r="M21" i="82"/>
  <c r="L21" i="82"/>
  <c r="K21" i="82"/>
  <c r="J21" i="82"/>
  <c r="I21" i="82"/>
  <c r="N14" i="82"/>
  <c r="M14" i="82"/>
  <c r="H5" i="82"/>
  <c r="G5" i="82"/>
  <c r="F5" i="82"/>
  <c r="E5" i="82"/>
  <c r="D38" i="80"/>
  <c r="D35" i="80"/>
  <c r="D38" i="60"/>
  <c r="D35" i="60"/>
  <c r="C28" i="60"/>
  <c r="C10" i="79"/>
  <c r="C28" i="80"/>
  <c r="C11" i="80"/>
  <c r="C11" i="60"/>
  <c r="C10" i="59"/>
  <c r="R41" i="83" l="1"/>
  <c r="J28" i="83"/>
  <c r="L42" i="83"/>
  <c r="S42" i="83"/>
  <c r="I26" i="83"/>
  <c r="M28" i="83"/>
  <c r="T42" i="83"/>
  <c r="L44" i="83"/>
  <c r="D24" i="83"/>
  <c r="D25" i="83"/>
  <c r="J26" i="83"/>
  <c r="N28" i="83"/>
  <c r="E24" i="83"/>
  <c r="E25" i="83"/>
  <c r="M26" i="83"/>
  <c r="O28" i="83"/>
  <c r="M44" i="83"/>
  <c r="N44" i="83"/>
  <c r="Q44" i="83"/>
  <c r="T28" i="83"/>
  <c r="M40" i="83"/>
  <c r="R44" i="83"/>
  <c r="S25" i="83"/>
  <c r="T25" i="83"/>
  <c r="H26" i="83"/>
  <c r="N26" i="83"/>
  <c r="G24" i="83"/>
  <c r="G25" i="83"/>
  <c r="O26" i="83"/>
  <c r="S28" i="83"/>
  <c r="I24" i="83"/>
  <c r="H25" i="83"/>
  <c r="J24" i="83"/>
  <c r="M25" i="83"/>
  <c r="D28" i="83"/>
  <c r="N40" i="83"/>
  <c r="S44" i="83"/>
  <c r="O40" i="83"/>
  <c r="S40" i="83"/>
  <c r="N24" i="83"/>
  <c r="H28" i="83"/>
  <c r="R24" i="83"/>
  <c r="I28" i="83"/>
  <c r="S24" i="83"/>
  <c r="T24" i="83"/>
  <c r="L28" i="83"/>
  <c r="F24" i="83"/>
  <c r="F25" i="83"/>
  <c r="R28" i="83"/>
  <c r="K24" i="83"/>
  <c r="N25" i="83"/>
  <c r="E28" i="83"/>
  <c r="L24" i="83"/>
  <c r="O25" i="83"/>
  <c r="F28" i="83"/>
  <c r="M24" i="83"/>
  <c r="R25" i="83"/>
  <c r="T40" i="83"/>
  <c r="P41" i="83"/>
  <c r="E28" i="82"/>
  <c r="Q40" i="82"/>
  <c r="I24" i="82"/>
  <c r="J24" i="82"/>
  <c r="K24" i="82"/>
  <c r="L24" i="82"/>
  <c r="M24" i="82"/>
  <c r="N24" i="82"/>
  <c r="O24" i="82"/>
  <c r="R40" i="82"/>
  <c r="S40" i="82"/>
  <c r="T40" i="82"/>
  <c r="N36" i="83"/>
  <c r="J20" i="83"/>
  <c r="O20" i="83"/>
  <c r="O27" i="83"/>
  <c r="Q27" i="83"/>
  <c r="C27" i="83"/>
  <c r="R27" i="83"/>
  <c r="D27" i="83"/>
  <c r="S27" i="83"/>
  <c r="L43" i="83"/>
  <c r="E27" i="83"/>
  <c r="T27" i="83"/>
  <c r="N43" i="83"/>
  <c r="I27" i="83"/>
  <c r="R43" i="83"/>
  <c r="J27" i="83"/>
  <c r="T43" i="83"/>
  <c r="K27" i="83"/>
  <c r="L27" i="83"/>
  <c r="M27" i="83"/>
  <c r="N27" i="83"/>
  <c r="P27" i="83"/>
  <c r="F27" i="83"/>
  <c r="O43" i="83"/>
  <c r="G27" i="83"/>
  <c r="P43" i="83"/>
  <c r="H27" i="83"/>
  <c r="B12" i="83"/>
  <c r="C12" i="83"/>
  <c r="M12" i="83"/>
  <c r="Q41" i="83"/>
  <c r="T44" i="83"/>
  <c r="C3" i="83"/>
  <c r="C5" i="83"/>
  <c r="K20" i="83"/>
  <c r="P36" i="83"/>
  <c r="D3" i="83"/>
  <c r="D5" i="83"/>
  <c r="N12" i="83"/>
  <c r="O15" i="83"/>
  <c r="L20" i="83"/>
  <c r="P22" i="83"/>
  <c r="K23" i="83"/>
  <c r="Q36" i="83"/>
  <c r="L39" i="83"/>
  <c r="E3" i="83"/>
  <c r="E5" i="83"/>
  <c r="O12" i="83"/>
  <c r="M20" i="83"/>
  <c r="C22" i="83"/>
  <c r="Q22" i="83"/>
  <c r="L23" i="83"/>
  <c r="P25" i="83"/>
  <c r="K26" i="83"/>
  <c r="J29" i="83"/>
  <c r="R36" i="83"/>
  <c r="B38" i="83"/>
  <c r="M39" i="83"/>
  <c r="S41" i="83"/>
  <c r="S45" i="83"/>
  <c r="F3" i="83"/>
  <c r="F5" i="83"/>
  <c r="B13" i="83"/>
  <c r="N20" i="83"/>
  <c r="I21" i="83"/>
  <c r="D22" i="83"/>
  <c r="R22" i="83"/>
  <c r="M23" i="83"/>
  <c r="H24" i="83"/>
  <c r="C25" i="83"/>
  <c r="Q25" i="83"/>
  <c r="L26" i="83"/>
  <c r="P28" i="83"/>
  <c r="K29" i="83"/>
  <c r="S36" i="83"/>
  <c r="N39" i="83"/>
  <c r="Q40" i="83"/>
  <c r="T41" i="83"/>
  <c r="O44" i="83"/>
  <c r="T45" i="83"/>
  <c r="C28" i="83"/>
  <c r="Q28" i="83"/>
  <c r="L29" i="83"/>
  <c r="T36" i="83"/>
  <c r="L38" i="83"/>
  <c r="R40" i="83"/>
  <c r="M43" i="83"/>
  <c r="P44" i="83"/>
  <c r="H3" i="83"/>
  <c r="H7" i="83" s="1"/>
  <c r="H8" i="83" s="1"/>
  <c r="P23" i="83"/>
  <c r="C6" i="83"/>
  <c r="O13" i="83"/>
  <c r="H22" i="83"/>
  <c r="C23" i="83"/>
  <c r="Q23" i="83"/>
  <c r="E20" i="83"/>
  <c r="D23" i="83"/>
  <c r="P29" i="83"/>
  <c r="P38" i="83"/>
  <c r="E4" i="83"/>
  <c r="S23" i="83"/>
  <c r="D26" i="83"/>
  <c r="C29" i="83"/>
  <c r="Q38" i="83"/>
  <c r="F4" i="83"/>
  <c r="F6" i="83"/>
  <c r="M14" i="83"/>
  <c r="G20" i="83"/>
  <c r="P21" i="83"/>
  <c r="K22" i="83"/>
  <c r="F23" i="83"/>
  <c r="T23" i="83"/>
  <c r="O24" i="83"/>
  <c r="J25" i="83"/>
  <c r="E26" i="83"/>
  <c r="S26" i="83"/>
  <c r="D29" i="83"/>
  <c r="R29" i="83"/>
  <c r="O37" i="83"/>
  <c r="R38" i="83"/>
  <c r="M41" i="83"/>
  <c r="P42" i="83"/>
  <c r="M45" i="83"/>
  <c r="G5" i="83"/>
  <c r="P20" i="83"/>
  <c r="B37" i="83"/>
  <c r="Q20" i="83"/>
  <c r="Q39" i="83"/>
  <c r="C4" i="83"/>
  <c r="D20" i="83"/>
  <c r="P26" i="83"/>
  <c r="O38" i="83"/>
  <c r="R39" i="83"/>
  <c r="M42" i="83"/>
  <c r="D4" i="83"/>
  <c r="B14" i="83"/>
  <c r="S20" i="83"/>
  <c r="I22" i="83"/>
  <c r="R23" i="83"/>
  <c r="C26" i="83"/>
  <c r="B36" i="83"/>
  <c r="S39" i="83"/>
  <c r="N42" i="83"/>
  <c r="E6" i="83"/>
  <c r="F20" i="83"/>
  <c r="T20" i="83"/>
  <c r="E23" i="83"/>
  <c r="I25" i="83"/>
  <c r="R26" i="83"/>
  <c r="L41" i="83"/>
  <c r="O42" i="83"/>
  <c r="G4" i="83"/>
  <c r="G6" i="83"/>
  <c r="N14" i="83"/>
  <c r="H20" i="83"/>
  <c r="L22" i="83"/>
  <c r="G23" i="83"/>
  <c r="P24" i="83"/>
  <c r="K25" i="83"/>
  <c r="F26" i="83"/>
  <c r="T26" i="83"/>
  <c r="E29" i="83"/>
  <c r="S29" i="83"/>
  <c r="M36" i="83"/>
  <c r="P37" i="83"/>
  <c r="S38" i="83"/>
  <c r="N41" i="83"/>
  <c r="Q42" i="83"/>
  <c r="N45" i="83"/>
  <c r="C20" i="83"/>
  <c r="R20" i="83"/>
  <c r="D6" i="83"/>
  <c r="Q26" i="83"/>
  <c r="J22" i="83"/>
  <c r="Q29" i="83"/>
  <c r="T39" i="83"/>
  <c r="L45" i="83"/>
  <c r="I20" i="83"/>
  <c r="D21" i="83"/>
  <c r="R21" i="83"/>
  <c r="M22" i="83"/>
  <c r="C24" i="83"/>
  <c r="Q24" i="83"/>
  <c r="L25" i="83"/>
  <c r="K28" i="83"/>
  <c r="F29" i="83"/>
  <c r="T29" i="83"/>
  <c r="F4" i="82"/>
  <c r="E4" i="82"/>
  <c r="H4" i="82"/>
  <c r="G4" i="82"/>
  <c r="C4" i="82"/>
  <c r="N39" i="82"/>
  <c r="M23" i="82"/>
  <c r="F23" i="82"/>
  <c r="E23" i="82"/>
  <c r="M39" i="82"/>
  <c r="L23" i="82"/>
  <c r="I23" i="82"/>
  <c r="H23" i="82"/>
  <c r="G23" i="82"/>
  <c r="T23" i="82"/>
  <c r="T39" i="82"/>
  <c r="S23" i="82"/>
  <c r="L39" i="82"/>
  <c r="K23" i="82"/>
  <c r="J23" i="82"/>
  <c r="D4" i="82"/>
  <c r="C23" i="82"/>
  <c r="D23" i="82"/>
  <c r="M13" i="82"/>
  <c r="N23" i="82"/>
  <c r="O23" i="82"/>
  <c r="P39" i="82"/>
  <c r="O13" i="82"/>
  <c r="P23" i="82"/>
  <c r="L26" i="82"/>
  <c r="E26" i="82"/>
  <c r="D26" i="82"/>
  <c r="K26" i="82"/>
  <c r="H26" i="82"/>
  <c r="G26" i="82"/>
  <c r="Q42" i="82"/>
  <c r="S26" i="82"/>
  <c r="O42" i="82"/>
  <c r="R26" i="82"/>
  <c r="J26" i="82"/>
  <c r="T42" i="82"/>
  <c r="I26" i="82"/>
  <c r="S42" i="82"/>
  <c r="T26" i="82"/>
  <c r="F26" i="82"/>
  <c r="P42" i="82"/>
  <c r="Q39" i="82"/>
  <c r="Q23" i="82"/>
  <c r="C26" i="82"/>
  <c r="R39" i="82"/>
  <c r="R23" i="82"/>
  <c r="M26" i="82"/>
  <c r="S39" i="82"/>
  <c r="N26" i="82"/>
  <c r="O26" i="82"/>
  <c r="M42" i="82"/>
  <c r="P26" i="82"/>
  <c r="N42" i="82"/>
  <c r="Q21" i="82"/>
  <c r="D21" i="82"/>
  <c r="K28" i="82"/>
  <c r="Q37" i="82"/>
  <c r="E21" i="82"/>
  <c r="R37" i="82"/>
  <c r="M40" i="82"/>
  <c r="F21" i="82"/>
  <c r="T21" i="82"/>
  <c r="E24" i="82"/>
  <c r="S24" i="82"/>
  <c r="R27" i="82"/>
  <c r="M28" i="82"/>
  <c r="S37" i="82"/>
  <c r="N40" i="82"/>
  <c r="D5" i="82"/>
  <c r="G21" i="82"/>
  <c r="P22" i="82"/>
  <c r="F24" i="82"/>
  <c r="T24" i="82"/>
  <c r="O25" i="82"/>
  <c r="E27" i="82"/>
  <c r="S27" i="82"/>
  <c r="N28" i="82"/>
  <c r="T37" i="82"/>
  <c r="O40" i="82"/>
  <c r="R41" i="82"/>
  <c r="M44" i="82"/>
  <c r="C21" i="82"/>
  <c r="P24" i="82"/>
  <c r="P37" i="82"/>
  <c r="R21" i="82"/>
  <c r="C24" i="82"/>
  <c r="Q24" i="82"/>
  <c r="P27" i="82"/>
  <c r="L40" i="82"/>
  <c r="S21" i="82"/>
  <c r="D24" i="82"/>
  <c r="R24" i="82"/>
  <c r="C27" i="82"/>
  <c r="Q27" i="82"/>
  <c r="L28" i="82"/>
  <c r="C5" i="82"/>
  <c r="D27" i="82"/>
  <c r="L44" i="82"/>
  <c r="H21" i="82"/>
  <c r="C22" i="82"/>
  <c r="Q22" i="82"/>
  <c r="G24" i="82"/>
  <c r="P25" i="82"/>
  <c r="F27" i="82"/>
  <c r="T27" i="82"/>
  <c r="O28" i="82"/>
  <c r="N44" i="82"/>
  <c r="P21" i="82"/>
  <c r="O37" i="82"/>
  <c r="H24" i="82"/>
  <c r="P28" i="82"/>
  <c r="D31" i="80"/>
  <c r="D29" i="80"/>
  <c r="E12" i="60"/>
  <c r="H60" i="40"/>
  <c r="I60" i="40"/>
  <c r="H6" i="10" s="1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M5" i="10"/>
  <c r="AN5" i="10"/>
  <c r="AO5" i="10"/>
  <c r="AP5" i="10"/>
  <c r="AQ5" i="10"/>
  <c r="E6" i="10"/>
  <c r="F6" i="10"/>
  <c r="G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D6" i="10"/>
  <c r="D5" i="10"/>
  <c r="K60" i="40"/>
  <c r="L60" i="40"/>
  <c r="M60" i="40"/>
  <c r="N60" i="40"/>
  <c r="O60" i="40"/>
  <c r="P60" i="40"/>
  <c r="Q60" i="40"/>
  <c r="R60" i="40"/>
  <c r="S60" i="40"/>
  <c r="T60" i="40"/>
  <c r="U60" i="40"/>
  <c r="V60" i="40"/>
  <c r="W60" i="40"/>
  <c r="X60" i="40"/>
  <c r="Y60" i="40"/>
  <c r="Z60" i="40"/>
  <c r="AA60" i="40"/>
  <c r="AB60" i="40"/>
  <c r="AC60" i="40"/>
  <c r="AD60" i="40"/>
  <c r="AE60" i="40"/>
  <c r="AF60" i="40"/>
  <c r="AG60" i="40"/>
  <c r="AH60" i="40"/>
  <c r="AI60" i="40"/>
  <c r="AJ60" i="40"/>
  <c r="AK60" i="40"/>
  <c r="AL60" i="40"/>
  <c r="AM60" i="40"/>
  <c r="AN60" i="40"/>
  <c r="AO60" i="40"/>
  <c r="AP60" i="40"/>
  <c r="AQ60" i="40"/>
  <c r="AR60" i="40"/>
  <c r="J60" i="40"/>
  <c r="F60" i="40"/>
  <c r="G60" i="40"/>
  <c r="E60" i="40"/>
  <c r="G53" i="30"/>
  <c r="F78" i="40"/>
  <c r="G78" i="40"/>
  <c r="E78" i="40"/>
  <c r="E72" i="40"/>
  <c r="F72" i="40"/>
  <c r="G72" i="40"/>
  <c r="O30" i="83" l="1"/>
  <c r="O31" i="83" s="1"/>
  <c r="J30" i="83"/>
  <c r="J31" i="83" s="1"/>
  <c r="N30" i="83"/>
  <c r="N31" i="83" s="1"/>
  <c r="I30" i="83"/>
  <c r="I31" i="83" s="1"/>
  <c r="R30" i="83"/>
  <c r="R31" i="83" s="1"/>
  <c r="C30" i="83"/>
  <c r="C31" i="83" s="1"/>
  <c r="H30" i="83"/>
  <c r="H31" i="83" s="1"/>
  <c r="F7" i="83"/>
  <c r="F8" i="83" s="1"/>
  <c r="G7" i="83"/>
  <c r="G8" i="83" s="1"/>
  <c r="M16" i="83"/>
  <c r="C36" i="83"/>
  <c r="L36" i="83"/>
  <c r="L46" i="83" s="1"/>
  <c r="P30" i="83"/>
  <c r="P31" i="83" s="1"/>
  <c r="N38" i="83"/>
  <c r="N46" i="83" s="1"/>
  <c r="C38" i="83"/>
  <c r="Q46" i="83"/>
  <c r="T46" i="83"/>
  <c r="C7" i="83"/>
  <c r="C8" i="83" s="1"/>
  <c r="Q30" i="83"/>
  <c r="Q31" i="83" s="1"/>
  <c r="R42" i="83"/>
  <c r="R46" i="83" s="1"/>
  <c r="S30" i="83"/>
  <c r="S31" i="83" s="1"/>
  <c r="E30" i="83"/>
  <c r="E31" i="83" s="1"/>
  <c r="M46" i="83"/>
  <c r="O14" i="83"/>
  <c r="O16" i="83" s="1"/>
  <c r="C14" i="83"/>
  <c r="L30" i="83"/>
  <c r="L31" i="83" s="1"/>
  <c r="G30" i="83"/>
  <c r="G31" i="83" s="1"/>
  <c r="P40" i="83"/>
  <c r="P46" i="83" s="1"/>
  <c r="E7" i="83"/>
  <c r="E8" i="83" s="1"/>
  <c r="S43" i="83"/>
  <c r="S46" i="83" s="1"/>
  <c r="C43" i="83"/>
  <c r="M37" i="83"/>
  <c r="C37" i="83"/>
  <c r="D7" i="83"/>
  <c r="D8" i="83" s="1"/>
  <c r="O39" i="83"/>
  <c r="O46" i="83" s="1"/>
  <c r="T30" i="83"/>
  <c r="T31" i="83" s="1"/>
  <c r="F30" i="83"/>
  <c r="F31" i="83" s="1"/>
  <c r="C13" i="83"/>
  <c r="N13" i="83"/>
  <c r="N16" i="83" s="1"/>
  <c r="M30" i="83"/>
  <c r="M31" i="83" s="1"/>
  <c r="D30" i="83"/>
  <c r="D31" i="83" s="1"/>
  <c r="K30" i="83"/>
  <c r="K31" i="83" s="1"/>
  <c r="C60" i="40"/>
  <c r="B84" i="55"/>
  <c r="C5" i="64"/>
  <c r="C13" i="47"/>
  <c r="C34" i="41"/>
  <c r="C35" i="41"/>
  <c r="C36" i="41"/>
  <c r="C37" i="41"/>
  <c r="C38" i="41"/>
  <c r="C33" i="41"/>
  <c r="D58" i="70" l="1"/>
  <c r="C37" i="70"/>
  <c r="C45" i="70"/>
  <c r="C46" i="70"/>
  <c r="C47" i="70"/>
  <c r="C44" i="70"/>
  <c r="C34" i="70"/>
  <c r="C36" i="70"/>
  <c r="C33" i="70"/>
  <c r="C15" i="70"/>
  <c r="C16" i="70"/>
  <c r="C14" i="70"/>
  <c r="C6" i="70"/>
  <c r="C7" i="70"/>
  <c r="AQ32" i="81"/>
  <c r="AP32" i="81"/>
  <c r="AO32" i="81"/>
  <c r="AN32" i="81"/>
  <c r="AM32" i="81"/>
  <c r="AL32" i="81"/>
  <c r="AK32" i="81"/>
  <c r="AJ32" i="81"/>
  <c r="AI32" i="81"/>
  <c r="AH32" i="81"/>
  <c r="AG32" i="81"/>
  <c r="AF32" i="81"/>
  <c r="AE32" i="81"/>
  <c r="AD32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C32" i="81" s="1"/>
  <c r="O32" i="81"/>
  <c r="N32" i="81"/>
  <c r="M32" i="81"/>
  <c r="L32" i="81"/>
  <c r="K32" i="81"/>
  <c r="J32" i="81"/>
  <c r="I32" i="81"/>
  <c r="H32" i="81"/>
  <c r="G32" i="81"/>
  <c r="F32" i="81"/>
  <c r="E32" i="81"/>
  <c r="D32" i="81"/>
  <c r="AQ30" i="81"/>
  <c r="AP30" i="81"/>
  <c r="AO30" i="81"/>
  <c r="AN30" i="81"/>
  <c r="AM30" i="81"/>
  <c r="AL30" i="81"/>
  <c r="AK30" i="81"/>
  <c r="AJ30" i="81"/>
  <c r="AI30" i="81"/>
  <c r="AH30" i="81"/>
  <c r="AG30" i="81"/>
  <c r="AF30" i="81"/>
  <c r="AE30" i="81"/>
  <c r="AD30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C30" i="81" s="1"/>
  <c r="N30" i="81"/>
  <c r="M30" i="81"/>
  <c r="L30" i="81"/>
  <c r="K30" i="81"/>
  <c r="J30" i="81"/>
  <c r="I30" i="81"/>
  <c r="H30" i="81"/>
  <c r="G30" i="81"/>
  <c r="F30" i="81"/>
  <c r="E30" i="81"/>
  <c r="D30" i="81"/>
  <c r="AQ28" i="81"/>
  <c r="AP28" i="81"/>
  <c r="AO28" i="81"/>
  <c r="AN28" i="81"/>
  <c r="AM28" i="81"/>
  <c r="AL28" i="81"/>
  <c r="AK28" i="81"/>
  <c r="AJ28" i="81"/>
  <c r="AI28" i="81"/>
  <c r="AH28" i="81"/>
  <c r="AG28" i="81"/>
  <c r="AF28" i="81"/>
  <c r="AE28" i="81"/>
  <c r="AD28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K28" i="81"/>
  <c r="J28" i="81"/>
  <c r="I28" i="81"/>
  <c r="H28" i="81"/>
  <c r="C28" i="81" s="1"/>
  <c r="G28" i="81"/>
  <c r="F28" i="81"/>
  <c r="E28" i="81"/>
  <c r="D28" i="81"/>
  <c r="AQ27" i="81"/>
  <c r="AP27" i="81"/>
  <c r="AO27" i="81"/>
  <c r="AN27" i="81"/>
  <c r="AM27" i="81"/>
  <c r="AL27" i="81"/>
  <c r="AK27" i="81"/>
  <c r="AJ27" i="81"/>
  <c r="AI27" i="81"/>
  <c r="AH27" i="81"/>
  <c r="AG27" i="81"/>
  <c r="AF27" i="81"/>
  <c r="AE27" i="81"/>
  <c r="AD27" i="81"/>
  <c r="AC27" i="81"/>
  <c r="AB27" i="81"/>
  <c r="AA27" i="81"/>
  <c r="Z27" i="81"/>
  <c r="Y27" i="81"/>
  <c r="X27" i="81"/>
  <c r="W27" i="81"/>
  <c r="V27" i="81"/>
  <c r="U27" i="81"/>
  <c r="T27" i="81"/>
  <c r="S27" i="81"/>
  <c r="R27" i="81"/>
  <c r="Q27" i="81"/>
  <c r="P27" i="81"/>
  <c r="O27" i="81"/>
  <c r="N27" i="81"/>
  <c r="M27" i="81"/>
  <c r="L27" i="81"/>
  <c r="K27" i="81"/>
  <c r="J27" i="81"/>
  <c r="I27" i="81"/>
  <c r="H27" i="81"/>
  <c r="G27" i="81"/>
  <c r="F27" i="81"/>
  <c r="E27" i="81"/>
  <c r="AQ22" i="81"/>
  <c r="AP22" i="81"/>
  <c r="AO22" i="81"/>
  <c r="AN22" i="81"/>
  <c r="AM22" i="81"/>
  <c r="AL22" i="81"/>
  <c r="AK22" i="81"/>
  <c r="AJ22" i="81"/>
  <c r="AI22" i="81"/>
  <c r="AH22" i="81"/>
  <c r="AG22" i="81"/>
  <c r="AF22" i="81"/>
  <c r="AE22" i="81"/>
  <c r="AD22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D22" i="81"/>
  <c r="C22" i="81" s="1"/>
  <c r="AQ20" i="81"/>
  <c r="AP20" i="81"/>
  <c r="AO20" i="81"/>
  <c r="AN20" i="81"/>
  <c r="AM20" i="81"/>
  <c r="AL20" i="81"/>
  <c r="AK20" i="81"/>
  <c r="AJ20" i="81"/>
  <c r="AI20" i="81"/>
  <c r="AH20" i="81"/>
  <c r="AG20" i="81"/>
  <c r="AF20" i="81"/>
  <c r="AE20" i="81"/>
  <c r="AD20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C20" i="81" s="1"/>
  <c r="H20" i="81"/>
  <c r="G20" i="81"/>
  <c r="F20" i="81"/>
  <c r="E20" i="81"/>
  <c r="D20" i="81"/>
  <c r="AQ18" i="81"/>
  <c r="AP18" i="81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C18" i="81" s="1"/>
  <c r="G18" i="81"/>
  <c r="F18" i="81"/>
  <c r="E18" i="81"/>
  <c r="D18" i="81"/>
  <c r="AQ17" i="81"/>
  <c r="AP17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H17" i="81"/>
  <c r="G17" i="81"/>
  <c r="F17" i="81"/>
  <c r="E17" i="81"/>
  <c r="AQ11" i="81"/>
  <c r="AP11" i="81"/>
  <c r="AO11" i="81"/>
  <c r="AN11" i="81"/>
  <c r="AM11" i="81"/>
  <c r="AL11" i="81"/>
  <c r="AK11" i="81"/>
  <c r="AJ11" i="81"/>
  <c r="AI11" i="81"/>
  <c r="AH11" i="81"/>
  <c r="AG11" i="81"/>
  <c r="AF11" i="81"/>
  <c r="AE11" i="81"/>
  <c r="AD11" i="81"/>
  <c r="AC11" i="81"/>
  <c r="AB11" i="81"/>
  <c r="AA11" i="81"/>
  <c r="Z11" i="81"/>
  <c r="Y11" i="81"/>
  <c r="X11" i="81"/>
  <c r="W11" i="81"/>
  <c r="V11" i="81"/>
  <c r="U11" i="81"/>
  <c r="T11" i="81"/>
  <c r="S11" i="81"/>
  <c r="R11" i="81"/>
  <c r="Q11" i="81"/>
  <c r="P11" i="81"/>
  <c r="O11" i="81"/>
  <c r="N11" i="81"/>
  <c r="M11" i="81"/>
  <c r="L11" i="81"/>
  <c r="K11" i="81"/>
  <c r="J11" i="81"/>
  <c r="I11" i="81"/>
  <c r="H11" i="81"/>
  <c r="G11" i="81"/>
  <c r="F11" i="81"/>
  <c r="E11" i="81"/>
  <c r="AQ5" i="81"/>
  <c r="AP5" i="81"/>
  <c r="AO5" i="81"/>
  <c r="AN5" i="81"/>
  <c r="AM5" i="81"/>
  <c r="AL5" i="81"/>
  <c r="AK5" i="81"/>
  <c r="AJ5" i="81"/>
  <c r="AI5" i="81"/>
  <c r="AH5" i="81"/>
  <c r="AG5" i="81"/>
  <c r="AF5" i="81"/>
  <c r="AE5" i="81"/>
  <c r="AD5" i="81"/>
  <c r="AC5" i="81"/>
  <c r="AB5" i="81"/>
  <c r="AA5" i="81"/>
  <c r="Z5" i="81"/>
  <c r="Y5" i="81"/>
  <c r="X5" i="81"/>
  <c r="W5" i="81"/>
  <c r="V5" i="81"/>
  <c r="U5" i="81"/>
  <c r="T5" i="81"/>
  <c r="S5" i="81"/>
  <c r="R5" i="81"/>
  <c r="Q5" i="81"/>
  <c r="P5" i="81"/>
  <c r="O5" i="81"/>
  <c r="N5" i="81"/>
  <c r="M5" i="81"/>
  <c r="L5" i="81"/>
  <c r="K5" i="81"/>
  <c r="J5" i="81"/>
  <c r="I5" i="81"/>
  <c r="H5" i="81"/>
  <c r="G5" i="81"/>
  <c r="F5" i="81"/>
  <c r="E5" i="81"/>
  <c r="AQ5" i="70"/>
  <c r="AQ8" i="70" s="1"/>
  <c r="AQ17" i="70"/>
  <c r="AQ24" i="70"/>
  <c r="AQ25" i="70"/>
  <c r="AQ49" i="70"/>
  <c r="AQ55" i="70"/>
  <c r="AQ56" i="70"/>
  <c r="AQ58" i="70"/>
  <c r="AQ23" i="70" l="1"/>
  <c r="AQ26" i="70" l="1"/>
  <c r="AQ27" i="70"/>
  <c r="G84" i="55" l="1"/>
  <c r="H84" i="55"/>
  <c r="H6" i="64" s="1"/>
  <c r="I84" i="55"/>
  <c r="I6" i="64" s="1"/>
  <c r="J84" i="55"/>
  <c r="J6" i="64" s="1"/>
  <c r="K84" i="55"/>
  <c r="L84" i="55"/>
  <c r="M84" i="55"/>
  <c r="N84" i="55"/>
  <c r="O84" i="55"/>
  <c r="P84" i="55"/>
  <c r="Q84" i="55"/>
  <c r="R84" i="55"/>
  <c r="R6" i="64" s="1"/>
  <c r="S84" i="55"/>
  <c r="T84" i="55"/>
  <c r="T6" i="64" s="1"/>
  <c r="U84" i="55"/>
  <c r="U6" i="64" s="1"/>
  <c r="V84" i="55"/>
  <c r="V6" i="64" s="1"/>
  <c r="W84" i="55"/>
  <c r="X84" i="55"/>
  <c r="Y84" i="55"/>
  <c r="Z84" i="55"/>
  <c r="AA84" i="55"/>
  <c r="AB84" i="55"/>
  <c r="AC84" i="55"/>
  <c r="AD84" i="55"/>
  <c r="AD6" i="64" s="1"/>
  <c r="AE84" i="55"/>
  <c r="AF84" i="55"/>
  <c r="AF6" i="64" s="1"/>
  <c r="AG84" i="55"/>
  <c r="AG6" i="64" s="1"/>
  <c r="AH84" i="55"/>
  <c r="AH6" i="64" s="1"/>
  <c r="AI84" i="55"/>
  <c r="AJ84" i="55"/>
  <c r="AK84" i="55"/>
  <c r="AL84" i="55"/>
  <c r="AM84" i="55"/>
  <c r="AN84" i="55"/>
  <c r="AO84" i="55"/>
  <c r="AP84" i="55"/>
  <c r="AP6" i="64" s="1"/>
  <c r="AQ84" i="55"/>
  <c r="G6" i="64"/>
  <c r="E6" i="64"/>
  <c r="F6" i="64"/>
  <c r="K6" i="64"/>
  <c r="L6" i="64"/>
  <c r="M6" i="64"/>
  <c r="N6" i="64"/>
  <c r="O6" i="64"/>
  <c r="P6" i="64"/>
  <c r="Q6" i="64"/>
  <c r="S6" i="64"/>
  <c r="W6" i="64"/>
  <c r="X6" i="64"/>
  <c r="Y6" i="64"/>
  <c r="Z6" i="64"/>
  <c r="AA6" i="64"/>
  <c r="AB6" i="64"/>
  <c r="AC6" i="64"/>
  <c r="AE6" i="64"/>
  <c r="AI6" i="64"/>
  <c r="AJ6" i="64"/>
  <c r="AK6" i="64"/>
  <c r="AL6" i="64"/>
  <c r="AM6" i="64"/>
  <c r="AN6" i="64"/>
  <c r="AO6" i="64"/>
  <c r="AQ6" i="64"/>
  <c r="D6" i="64"/>
  <c r="E5" i="64"/>
  <c r="F5" i="64"/>
  <c r="G5" i="64"/>
  <c r="H5" i="64"/>
  <c r="I5" i="64"/>
  <c r="J5" i="64"/>
  <c r="K5" i="64"/>
  <c r="L5" i="64"/>
  <c r="M5" i="64"/>
  <c r="N5" i="64"/>
  <c r="O5" i="64"/>
  <c r="P5" i="64"/>
  <c r="Q5" i="64"/>
  <c r="R5" i="64"/>
  <c r="S5" i="64"/>
  <c r="T5" i="64"/>
  <c r="U5" i="64"/>
  <c r="V5" i="64"/>
  <c r="W5" i="64"/>
  <c r="X5" i="64"/>
  <c r="Y5" i="64"/>
  <c r="Z5" i="64"/>
  <c r="AA5" i="64"/>
  <c r="AB5" i="64"/>
  <c r="AC5" i="64"/>
  <c r="AD5" i="64"/>
  <c r="AE5" i="64"/>
  <c r="AF5" i="64"/>
  <c r="AG5" i="64"/>
  <c r="AH5" i="64"/>
  <c r="AI5" i="64"/>
  <c r="AJ5" i="64"/>
  <c r="AK5" i="64"/>
  <c r="AL5" i="64"/>
  <c r="AM5" i="64"/>
  <c r="AN5" i="64"/>
  <c r="AO5" i="64"/>
  <c r="AP5" i="64"/>
  <c r="AQ5" i="64"/>
  <c r="D5" i="64"/>
  <c r="E83" i="55"/>
  <c r="F83" i="55"/>
  <c r="G83" i="55"/>
  <c r="H83" i="55"/>
  <c r="I83" i="55"/>
  <c r="J83" i="55"/>
  <c r="K83" i="55"/>
  <c r="L83" i="55"/>
  <c r="M83" i="55"/>
  <c r="N83" i="55"/>
  <c r="O83" i="55"/>
  <c r="P83" i="55"/>
  <c r="Q83" i="55"/>
  <c r="R83" i="55"/>
  <c r="S83" i="55"/>
  <c r="T83" i="55"/>
  <c r="U83" i="55"/>
  <c r="V83" i="55"/>
  <c r="W83" i="55"/>
  <c r="X83" i="55"/>
  <c r="Y83" i="55"/>
  <c r="Z83" i="55"/>
  <c r="AA83" i="55"/>
  <c r="AB83" i="55"/>
  <c r="AC83" i="55"/>
  <c r="AD83" i="55"/>
  <c r="AE83" i="55"/>
  <c r="AF83" i="55"/>
  <c r="AG83" i="55"/>
  <c r="AH83" i="55"/>
  <c r="AI83" i="55"/>
  <c r="AJ83" i="55"/>
  <c r="AK83" i="55"/>
  <c r="AL83" i="55"/>
  <c r="AM83" i="55"/>
  <c r="AN83" i="55"/>
  <c r="AO83" i="55"/>
  <c r="AP83" i="55"/>
  <c r="AQ83" i="55"/>
  <c r="D83" i="55"/>
  <c r="E77" i="55"/>
  <c r="F77" i="55"/>
  <c r="G77" i="55"/>
  <c r="H77" i="55"/>
  <c r="I77" i="55"/>
  <c r="J77" i="55"/>
  <c r="K77" i="55"/>
  <c r="L77" i="55"/>
  <c r="M77" i="55"/>
  <c r="N77" i="55"/>
  <c r="O77" i="55"/>
  <c r="P77" i="55"/>
  <c r="Q77" i="55"/>
  <c r="R77" i="55"/>
  <c r="S77" i="55"/>
  <c r="T77" i="55"/>
  <c r="U77" i="55"/>
  <c r="V77" i="55"/>
  <c r="W77" i="55"/>
  <c r="X77" i="55"/>
  <c r="Y77" i="55"/>
  <c r="Z77" i="55"/>
  <c r="AA77" i="55"/>
  <c r="AB77" i="55"/>
  <c r="AC77" i="55"/>
  <c r="AD77" i="55"/>
  <c r="AE77" i="55"/>
  <c r="AF77" i="55"/>
  <c r="AG77" i="55"/>
  <c r="AH77" i="55"/>
  <c r="AI77" i="55"/>
  <c r="AJ77" i="55"/>
  <c r="AK77" i="55"/>
  <c r="AL77" i="55"/>
  <c r="AM77" i="55"/>
  <c r="AN77" i="55"/>
  <c r="AO77" i="55"/>
  <c r="AP77" i="55"/>
  <c r="AQ77" i="55"/>
  <c r="D77" i="55"/>
  <c r="E71" i="55"/>
  <c r="F71" i="55"/>
  <c r="G71" i="55"/>
  <c r="H71" i="55"/>
  <c r="I71" i="55"/>
  <c r="J71" i="55"/>
  <c r="K71" i="55"/>
  <c r="L71" i="55"/>
  <c r="M71" i="55"/>
  <c r="N71" i="55"/>
  <c r="O71" i="55"/>
  <c r="P71" i="55"/>
  <c r="Q71" i="55"/>
  <c r="R71" i="55"/>
  <c r="S71" i="55"/>
  <c r="T71" i="55"/>
  <c r="U71" i="55"/>
  <c r="V71" i="55"/>
  <c r="W71" i="55"/>
  <c r="X71" i="55"/>
  <c r="Y71" i="55"/>
  <c r="Z71" i="55"/>
  <c r="AA71" i="55"/>
  <c r="AB71" i="55"/>
  <c r="AC71" i="55"/>
  <c r="AD71" i="55"/>
  <c r="AE71" i="55"/>
  <c r="AF71" i="55"/>
  <c r="AG71" i="55"/>
  <c r="AH71" i="55"/>
  <c r="AI71" i="55"/>
  <c r="AJ71" i="55"/>
  <c r="AK71" i="55"/>
  <c r="AL71" i="55"/>
  <c r="AM71" i="55"/>
  <c r="AN71" i="55"/>
  <c r="AO71" i="55"/>
  <c r="AP71" i="55"/>
  <c r="AQ71" i="55"/>
  <c r="D71" i="55"/>
  <c r="E59" i="55"/>
  <c r="F59" i="55"/>
  <c r="G59" i="55"/>
  <c r="H59" i="55"/>
  <c r="I59" i="55"/>
  <c r="J59" i="55"/>
  <c r="K59" i="55"/>
  <c r="L59" i="55"/>
  <c r="M59" i="55"/>
  <c r="N59" i="55"/>
  <c r="O59" i="55"/>
  <c r="P59" i="55"/>
  <c r="Q59" i="55"/>
  <c r="R59" i="55"/>
  <c r="S59" i="55"/>
  <c r="T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AH59" i="55"/>
  <c r="AI59" i="55"/>
  <c r="AJ59" i="55"/>
  <c r="AK59" i="55"/>
  <c r="AL59" i="55"/>
  <c r="AM59" i="55"/>
  <c r="AN59" i="55"/>
  <c r="AO59" i="55"/>
  <c r="AP59" i="55"/>
  <c r="AQ59" i="55"/>
  <c r="D59" i="55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R53" i="55"/>
  <c r="S53" i="55"/>
  <c r="T53" i="55"/>
  <c r="U53" i="55"/>
  <c r="V53" i="55"/>
  <c r="W53" i="55"/>
  <c r="X53" i="55"/>
  <c r="Y53" i="55"/>
  <c r="Z53" i="55"/>
  <c r="AA53" i="55"/>
  <c r="AB53" i="55"/>
  <c r="AC53" i="55"/>
  <c r="AD53" i="55"/>
  <c r="AE53" i="55"/>
  <c r="AF53" i="55"/>
  <c r="AG53" i="55"/>
  <c r="AH53" i="55"/>
  <c r="AI53" i="55"/>
  <c r="AJ53" i="55"/>
  <c r="AK53" i="55"/>
  <c r="AL53" i="55"/>
  <c r="AM53" i="55"/>
  <c r="AN53" i="55"/>
  <c r="AO53" i="55"/>
  <c r="AP53" i="55"/>
  <c r="AQ53" i="55"/>
  <c r="D53" i="55"/>
  <c r="C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Y47" i="55"/>
  <c r="Z47" i="55"/>
  <c r="AA47" i="55"/>
  <c r="AB47" i="55"/>
  <c r="AC47" i="55"/>
  <c r="AD47" i="55"/>
  <c r="AE47" i="55"/>
  <c r="AF47" i="55"/>
  <c r="AG47" i="55"/>
  <c r="AH47" i="55"/>
  <c r="AI47" i="55"/>
  <c r="AJ47" i="55"/>
  <c r="AK47" i="55"/>
  <c r="AL47" i="55"/>
  <c r="AM47" i="55"/>
  <c r="AN47" i="55"/>
  <c r="AO47" i="55"/>
  <c r="AP47" i="55"/>
  <c r="AQ47" i="55"/>
  <c r="D47" i="55"/>
  <c r="O34" i="55"/>
  <c r="F34" i="55"/>
  <c r="E34" i="55"/>
  <c r="C34" i="55"/>
  <c r="C41" i="55" s="1"/>
  <c r="C6" i="64" l="1"/>
  <c r="J34" i="55"/>
  <c r="N34" i="55" s="1"/>
  <c r="P34" i="55" s="1"/>
  <c r="C65" i="55"/>
  <c r="D41" i="55"/>
  <c r="L34" i="55"/>
  <c r="K34" i="55"/>
  <c r="E41" i="55" l="1"/>
  <c r="D65" i="55"/>
  <c r="C71" i="55"/>
  <c r="E65" i="55" l="1"/>
  <c r="F41" i="55"/>
  <c r="G41" i="55" l="1"/>
  <c r="E84" i="55"/>
  <c r="F65" i="55"/>
  <c r="D84" i="55"/>
  <c r="G65" i="55" l="1"/>
  <c r="H41" i="55"/>
  <c r="I41" i="55" l="1"/>
  <c r="H65" i="55"/>
  <c r="F84" i="55"/>
  <c r="I65" i="55" l="1"/>
  <c r="J41" i="55"/>
  <c r="J65" i="55" l="1"/>
  <c r="K41" i="55"/>
  <c r="L41" i="55" l="1"/>
  <c r="K65" i="55"/>
  <c r="L65" i="55" l="1"/>
  <c r="M41" i="55"/>
  <c r="N41" i="55" l="1"/>
  <c r="M65" i="55"/>
  <c r="N65" i="55" l="1"/>
  <c r="O41" i="55"/>
  <c r="P41" i="55" l="1"/>
  <c r="O65" i="55"/>
  <c r="P65" i="55" l="1"/>
  <c r="Q41" i="55"/>
  <c r="R41" i="55" l="1"/>
  <c r="Q65" i="55"/>
  <c r="R65" i="55" l="1"/>
  <c r="S41" i="55"/>
  <c r="T41" i="55" l="1"/>
  <c r="S65" i="55"/>
  <c r="T65" i="55" l="1"/>
  <c r="U41" i="55"/>
  <c r="V41" i="55" l="1"/>
  <c r="U65" i="55"/>
  <c r="V65" i="55" l="1"/>
  <c r="W41" i="55"/>
  <c r="X41" i="55" l="1"/>
  <c r="W65" i="55"/>
  <c r="X65" i="55" l="1"/>
  <c r="Y41" i="55"/>
  <c r="Z41" i="55" l="1"/>
  <c r="Y65" i="55"/>
  <c r="Z65" i="55" l="1"/>
  <c r="AA41" i="55"/>
  <c r="AB41" i="55" l="1"/>
  <c r="AA65" i="55"/>
  <c r="AB65" i="55" l="1"/>
  <c r="AC41" i="55"/>
  <c r="AD41" i="55" l="1"/>
  <c r="AC65" i="55"/>
  <c r="AD65" i="55" l="1"/>
  <c r="AE41" i="55"/>
  <c r="AF41" i="55" l="1"/>
  <c r="AE65" i="55"/>
  <c r="AF65" i="55" l="1"/>
  <c r="AG41" i="55"/>
  <c r="AH41" i="55" l="1"/>
  <c r="AG65" i="55"/>
  <c r="AI41" i="55" l="1"/>
  <c r="AH65" i="55"/>
  <c r="AI65" i="55" l="1"/>
  <c r="AJ41" i="55"/>
  <c r="AK41" i="55" l="1"/>
  <c r="AJ65" i="55"/>
  <c r="AK65" i="55" l="1"/>
  <c r="AL41" i="55"/>
  <c r="AM41" i="55" l="1"/>
  <c r="AL65" i="55"/>
  <c r="AM65" i="55" l="1"/>
  <c r="AN41" i="55"/>
  <c r="AO41" i="55" l="1"/>
  <c r="AN65" i="55"/>
  <c r="AO65" i="55" l="1"/>
  <c r="AP41" i="55"/>
  <c r="AQ41" i="55" l="1"/>
  <c r="AP65" i="55"/>
  <c r="AQ65" i="55" l="1"/>
  <c r="B47" i="55"/>
  <c r="B59" i="55"/>
  <c r="B53" i="55"/>
  <c r="B41" i="55"/>
  <c r="B71" i="55" l="1"/>
  <c r="B83" i="55"/>
  <c r="B77" i="55"/>
  <c r="B65" i="55"/>
  <c r="D16" i="60" l="1"/>
  <c r="D33" i="60"/>
  <c r="D15" i="59"/>
  <c r="D16" i="80"/>
  <c r="D33" i="80"/>
  <c r="D15" i="79"/>
  <c r="C14" i="61" l="1"/>
  <c r="C6" i="61"/>
  <c r="E33" i="60"/>
  <c r="F33" i="60" s="1"/>
  <c r="E16" i="60"/>
  <c r="F16" i="60" s="1"/>
  <c r="E15" i="59"/>
  <c r="F15" i="59" s="1"/>
  <c r="O15" i="59" s="1"/>
  <c r="D6" i="30"/>
  <c r="D10" i="30" s="1"/>
  <c r="E33" i="80"/>
  <c r="F33" i="80" s="1"/>
  <c r="I33" i="80" s="1"/>
  <c r="E16" i="80"/>
  <c r="F16" i="80" s="1"/>
  <c r="P33" i="60" l="1"/>
  <c r="AE33" i="60"/>
  <c r="AJ33" i="60"/>
  <c r="H33" i="60"/>
  <c r="AK33" i="60"/>
  <c r="L33" i="60"/>
  <c r="AL33" i="60"/>
  <c r="M33" i="60"/>
  <c r="AM33" i="60"/>
  <c r="W33" i="60"/>
  <c r="AB33" i="60"/>
  <c r="AC33" i="60"/>
  <c r="AD33" i="60"/>
  <c r="N33" i="60"/>
  <c r="AR33" i="60"/>
  <c r="O33" i="60"/>
  <c r="AS33" i="60"/>
  <c r="T33" i="60"/>
  <c r="AT33" i="60"/>
  <c r="U33" i="60"/>
  <c r="AU33" i="60"/>
  <c r="V33" i="60"/>
  <c r="L16" i="60"/>
  <c r="K16" i="60"/>
  <c r="AH16" i="60"/>
  <c r="M16" i="60"/>
  <c r="AI16" i="60"/>
  <c r="O16" i="60"/>
  <c r="AK16" i="60"/>
  <c r="H16" i="60"/>
  <c r="Q16" i="60"/>
  <c r="AM16" i="60"/>
  <c r="R16" i="60"/>
  <c r="AO16" i="60"/>
  <c r="S16" i="60"/>
  <c r="AP16" i="60"/>
  <c r="U16" i="60"/>
  <c r="AQ16" i="60"/>
  <c r="AS16" i="60"/>
  <c r="Y16" i="60"/>
  <c r="AU16" i="60"/>
  <c r="Z16" i="60"/>
  <c r="AA16" i="60"/>
  <c r="AC16" i="60"/>
  <c r="I16" i="60"/>
  <c r="AE16" i="60"/>
  <c r="J16" i="60"/>
  <c r="AG16" i="60"/>
  <c r="W16" i="60"/>
  <c r="AN16" i="60"/>
  <c r="AF16" i="60"/>
  <c r="X16" i="60"/>
  <c r="P16" i="60"/>
  <c r="AT16" i="60"/>
  <c r="AL16" i="60"/>
  <c r="AD16" i="60"/>
  <c r="V16" i="60"/>
  <c r="N16" i="60"/>
  <c r="AR16" i="60"/>
  <c r="AJ16" i="60"/>
  <c r="AB16" i="60"/>
  <c r="T16" i="60"/>
  <c r="AQ33" i="60"/>
  <c r="AI33" i="60"/>
  <c r="AA33" i="60"/>
  <c r="S33" i="60"/>
  <c r="K33" i="60"/>
  <c r="AP33" i="60"/>
  <c r="AH33" i="60"/>
  <c r="Z33" i="60"/>
  <c r="R33" i="60"/>
  <c r="J33" i="60"/>
  <c r="AO33" i="60"/>
  <c r="AG33" i="60"/>
  <c r="Y33" i="60"/>
  <c r="Q33" i="60"/>
  <c r="I33" i="60"/>
  <c r="AN33" i="60"/>
  <c r="AF33" i="60"/>
  <c r="X33" i="60"/>
  <c r="AT15" i="59"/>
  <c r="AL15" i="59"/>
  <c r="AD15" i="59"/>
  <c r="V15" i="59"/>
  <c r="N15" i="59"/>
  <c r="AS15" i="59"/>
  <c r="AK15" i="59"/>
  <c r="AC15" i="59"/>
  <c r="U15" i="59"/>
  <c r="M15" i="59"/>
  <c r="AR15" i="59"/>
  <c r="AJ15" i="59"/>
  <c r="AB15" i="59"/>
  <c r="T15" i="59"/>
  <c r="L15" i="59"/>
  <c r="AQ15" i="59"/>
  <c r="AI15" i="59"/>
  <c r="AA15" i="59"/>
  <c r="S15" i="59"/>
  <c r="K15" i="59"/>
  <c r="AP15" i="59"/>
  <c r="AH15" i="59"/>
  <c r="Z15" i="59"/>
  <c r="R15" i="59"/>
  <c r="J15" i="59"/>
  <c r="H15" i="59"/>
  <c r="AO15" i="59"/>
  <c r="AG15" i="59"/>
  <c r="Y15" i="59"/>
  <c r="Q15" i="59"/>
  <c r="I15" i="59"/>
  <c r="AN15" i="59"/>
  <c r="AF15" i="59"/>
  <c r="X15" i="59"/>
  <c r="P15" i="59"/>
  <c r="AU15" i="59"/>
  <c r="AM15" i="59"/>
  <c r="AE15" i="59"/>
  <c r="W15" i="59"/>
  <c r="P16" i="80"/>
  <c r="X16" i="80"/>
  <c r="AF16" i="80"/>
  <c r="AN16" i="80"/>
  <c r="H16" i="80"/>
  <c r="R16" i="80"/>
  <c r="AH16" i="80"/>
  <c r="T16" i="80"/>
  <c r="AR16" i="80"/>
  <c r="U16" i="80"/>
  <c r="AS16" i="80"/>
  <c r="V16" i="80"/>
  <c r="W16" i="80"/>
  <c r="AU16" i="80"/>
  <c r="I16" i="80"/>
  <c r="Q16" i="80"/>
  <c r="Y16" i="80"/>
  <c r="AG16" i="80"/>
  <c r="AO16" i="80"/>
  <c r="J16" i="80"/>
  <c r="Z16" i="80"/>
  <c r="AP16" i="80"/>
  <c r="AB16" i="80"/>
  <c r="M16" i="80"/>
  <c r="AC16" i="80"/>
  <c r="AK16" i="80"/>
  <c r="AD16" i="80"/>
  <c r="AT16" i="80"/>
  <c r="O16" i="80"/>
  <c r="AM16" i="80"/>
  <c r="K16" i="80"/>
  <c r="S16" i="80"/>
  <c r="AA16" i="80"/>
  <c r="AI16" i="80"/>
  <c r="AQ16" i="80"/>
  <c r="L16" i="80"/>
  <c r="AJ16" i="80"/>
  <c r="N16" i="80"/>
  <c r="AL16" i="80"/>
  <c r="AE16" i="80"/>
  <c r="AR33" i="80"/>
  <c r="AF33" i="80"/>
  <c r="AQ33" i="80"/>
  <c r="AE33" i="80"/>
  <c r="U33" i="80"/>
  <c r="AM33" i="80"/>
  <c r="AC33" i="80"/>
  <c r="S33" i="80"/>
  <c r="H33" i="80"/>
  <c r="AL33" i="80"/>
  <c r="AB33" i="80"/>
  <c r="P33" i="80"/>
  <c r="V33" i="80"/>
  <c r="T33" i="80"/>
  <c r="AU33" i="80"/>
  <c r="O33" i="80"/>
  <c r="AT33" i="80"/>
  <c r="AJ33" i="80"/>
  <c r="X33" i="80"/>
  <c r="N33" i="80"/>
  <c r="L33" i="80"/>
  <c r="AN33" i="80"/>
  <c r="AD33" i="80"/>
  <c r="AK33" i="80"/>
  <c r="AA33" i="80"/>
  <c r="AS33" i="80"/>
  <c r="AI33" i="80"/>
  <c r="W33" i="80"/>
  <c r="M33" i="80"/>
  <c r="K33" i="80"/>
  <c r="AP33" i="80"/>
  <c r="AH33" i="80"/>
  <c r="Z33" i="80"/>
  <c r="R33" i="80"/>
  <c r="J33" i="80"/>
  <c r="AO33" i="80"/>
  <c r="AG33" i="80"/>
  <c r="Y33" i="80"/>
  <c r="Q33" i="80"/>
  <c r="E15" i="79"/>
  <c r="F15" i="79" s="1"/>
  <c r="H15" i="79" s="1"/>
  <c r="O15" i="79" l="1"/>
  <c r="W15" i="79"/>
  <c r="AE15" i="79"/>
  <c r="AM15" i="79"/>
  <c r="AU15" i="79"/>
  <c r="P15" i="79"/>
  <c r="X15" i="79"/>
  <c r="AF15" i="79"/>
  <c r="AN15" i="79"/>
  <c r="I15" i="79"/>
  <c r="Q15" i="79"/>
  <c r="Y15" i="79"/>
  <c r="AG15" i="79"/>
  <c r="AO15" i="79"/>
  <c r="J15" i="79"/>
  <c r="Z15" i="79"/>
  <c r="AH15" i="79"/>
  <c r="AA15" i="79"/>
  <c r="L15" i="79"/>
  <c r="AJ15" i="79"/>
  <c r="U15" i="79"/>
  <c r="AS15" i="79"/>
  <c r="V15" i="79"/>
  <c r="AT15" i="79"/>
  <c r="AP15" i="79"/>
  <c r="S15" i="79"/>
  <c r="AI15" i="79"/>
  <c r="T15" i="79"/>
  <c r="AR15" i="79"/>
  <c r="M15" i="79"/>
  <c r="AK15" i="79"/>
  <c r="AD15" i="79"/>
  <c r="R15" i="79"/>
  <c r="K15" i="79"/>
  <c r="AQ15" i="79"/>
  <c r="AB15" i="79"/>
  <c r="AC15" i="79"/>
  <c r="N15" i="79"/>
  <c r="AL15" i="79"/>
  <c r="E46" i="41"/>
  <c r="F46" i="41"/>
  <c r="D46" i="41"/>
  <c r="D22" i="41"/>
  <c r="C22" i="41"/>
  <c r="P5" i="40" l="1"/>
  <c r="C53" i="30" l="1"/>
  <c r="D53" i="30" s="1"/>
  <c r="C17" i="41" s="1"/>
  <c r="AO5" i="51"/>
  <c r="AP5" i="51"/>
  <c r="AQ5" i="51"/>
  <c r="AO11" i="51"/>
  <c r="AP11" i="51"/>
  <c r="AQ11" i="51"/>
  <c r="AO17" i="51"/>
  <c r="AP17" i="51"/>
  <c r="AQ17" i="51"/>
  <c r="AO18" i="51"/>
  <c r="AP18" i="51"/>
  <c r="AQ18" i="51"/>
  <c r="AO20" i="51"/>
  <c r="AP20" i="51"/>
  <c r="AQ20" i="51"/>
  <c r="AO22" i="51"/>
  <c r="AP22" i="51"/>
  <c r="AQ22" i="51"/>
  <c r="AO27" i="51"/>
  <c r="AP27" i="51"/>
  <c r="AQ27" i="51"/>
  <c r="AO28" i="51"/>
  <c r="AP28" i="51"/>
  <c r="AQ28" i="51"/>
  <c r="AO30" i="51"/>
  <c r="AP30" i="51"/>
  <c r="AQ30" i="51"/>
  <c r="AO32" i="51"/>
  <c r="AP32" i="51"/>
  <c r="AQ32" i="51"/>
  <c r="AO4" i="36"/>
  <c r="AP4" i="36" s="1"/>
  <c r="AP29" i="36"/>
  <c r="AO16" i="36"/>
  <c r="AQ29" i="36"/>
  <c r="AO28" i="36"/>
  <c r="AO29" i="36"/>
  <c r="AO32" i="36"/>
  <c r="AP32" i="36"/>
  <c r="AQ32" i="36"/>
  <c r="AO33" i="36"/>
  <c r="AP33" i="36"/>
  <c r="AQ33" i="36"/>
  <c r="AO34" i="36"/>
  <c r="AP34" i="36"/>
  <c r="AQ34" i="36"/>
  <c r="AO40" i="36"/>
  <c r="AO41" i="36"/>
  <c r="AO44" i="36"/>
  <c r="AP44" i="36"/>
  <c r="AQ44" i="36"/>
  <c r="AO45" i="36"/>
  <c r="AP45" i="36"/>
  <c r="AQ45" i="36"/>
  <c r="AO46" i="36"/>
  <c r="AP46" i="36"/>
  <c r="AQ46" i="36"/>
  <c r="AO6" i="47"/>
  <c r="AP6" i="47"/>
  <c r="AQ6" i="47"/>
  <c r="AO12" i="47"/>
  <c r="AP12" i="47"/>
  <c r="AQ12" i="47"/>
  <c r="AO18" i="47"/>
  <c r="AP18" i="47"/>
  <c r="AQ18" i="47"/>
  <c r="AO24" i="47"/>
  <c r="AP24" i="47"/>
  <c r="AQ24" i="47"/>
  <c r="AO4" i="24"/>
  <c r="AO13" i="24" s="1"/>
  <c r="AP4" i="24"/>
  <c r="AQ4" i="24" s="1"/>
  <c r="AP23" i="24"/>
  <c r="AQ23" i="24"/>
  <c r="AO22" i="24"/>
  <c r="AO23" i="24"/>
  <c r="AO32" i="24" s="1"/>
  <c r="AO31" i="24"/>
  <c r="AP31" i="24"/>
  <c r="AO5" i="46"/>
  <c r="AP5" i="46"/>
  <c r="AQ5" i="46"/>
  <c r="AO11" i="46"/>
  <c r="AP11" i="46"/>
  <c r="AQ11" i="46"/>
  <c r="AO17" i="46"/>
  <c r="AP17" i="46"/>
  <c r="AQ17" i="46"/>
  <c r="AO23" i="46"/>
  <c r="AP23" i="46"/>
  <c r="AQ23" i="46"/>
  <c r="AO4" i="35"/>
  <c r="AO34" i="35" s="1"/>
  <c r="AP4" i="35"/>
  <c r="AP34" i="35" s="1"/>
  <c r="AQ4" i="35"/>
  <c r="AQ14" i="35" s="1"/>
  <c r="AO14" i="35"/>
  <c r="AP14" i="35"/>
  <c r="AO19" i="35"/>
  <c r="AP19" i="35"/>
  <c r="AQ19" i="35"/>
  <c r="AO24" i="35"/>
  <c r="AP24" i="35"/>
  <c r="AQ24" i="35"/>
  <c r="AQ34" i="35"/>
  <c r="AO6" i="50"/>
  <c r="AP6" i="50"/>
  <c r="AQ6" i="50"/>
  <c r="AO4" i="23"/>
  <c r="AO43" i="23" s="1"/>
  <c r="AP4" i="23"/>
  <c r="AQ4" i="23"/>
  <c r="AQ13" i="23" s="1"/>
  <c r="AO5" i="23"/>
  <c r="AP5" i="23"/>
  <c r="AQ5" i="23"/>
  <c r="AO6" i="23"/>
  <c r="AO8" i="23" s="1"/>
  <c r="AP6" i="23"/>
  <c r="AP8" i="23" s="1"/>
  <c r="AQ6" i="23"/>
  <c r="AQ8" i="23" s="1"/>
  <c r="AO7" i="23"/>
  <c r="AP7" i="23"/>
  <c r="AQ7" i="23"/>
  <c r="AP13" i="23"/>
  <c r="AO14" i="23"/>
  <c r="AO23" i="23" s="1"/>
  <c r="AP14" i="23"/>
  <c r="AP23" i="23" s="1"/>
  <c r="AQ14" i="23"/>
  <c r="AO15" i="23"/>
  <c r="AP15" i="23"/>
  <c r="AQ15" i="23"/>
  <c r="AO16" i="23"/>
  <c r="AP16" i="23"/>
  <c r="AQ16" i="23"/>
  <c r="AQ25" i="23" s="1"/>
  <c r="AQ17" i="23"/>
  <c r="AO22" i="23"/>
  <c r="AP22" i="23"/>
  <c r="AQ22" i="23"/>
  <c r="AP25" i="23"/>
  <c r="AO32" i="23"/>
  <c r="AP32" i="23"/>
  <c r="AQ32" i="23"/>
  <c r="AP43" i="23"/>
  <c r="AO54" i="23"/>
  <c r="AP54" i="23"/>
  <c r="AO55" i="23"/>
  <c r="AP55" i="23"/>
  <c r="AQ55" i="23"/>
  <c r="AO56" i="23"/>
  <c r="AP56" i="23"/>
  <c r="AQ56" i="23"/>
  <c r="AO58" i="23"/>
  <c r="AP58" i="23"/>
  <c r="AQ58" i="23"/>
  <c r="AO71" i="23"/>
  <c r="AP71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AI14" i="23"/>
  <c r="AJ14" i="23"/>
  <c r="AK14" i="23"/>
  <c r="AL14" i="23"/>
  <c r="AM14" i="23"/>
  <c r="AN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AJ15" i="23"/>
  <c r="AK15" i="23"/>
  <c r="AL15" i="23"/>
  <c r="AM15" i="23"/>
  <c r="AN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AJ16" i="23"/>
  <c r="AK16" i="23"/>
  <c r="AL16" i="23"/>
  <c r="AM16" i="23"/>
  <c r="AN16" i="23"/>
  <c r="D16" i="23"/>
  <c r="D15" i="23"/>
  <c r="D14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AI6" i="23"/>
  <c r="AJ6" i="23"/>
  <c r="AK6" i="23"/>
  <c r="AL6" i="23"/>
  <c r="AM6" i="23"/>
  <c r="AN6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AH7" i="23"/>
  <c r="AI7" i="23"/>
  <c r="AJ7" i="23"/>
  <c r="AK7" i="23"/>
  <c r="AL7" i="23"/>
  <c r="AM7" i="23"/>
  <c r="AN7" i="23"/>
  <c r="D7" i="23"/>
  <c r="D6" i="23"/>
  <c r="AO6" i="49"/>
  <c r="AP6" i="49"/>
  <c r="AQ6" i="49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D48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D45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D43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D35" i="18"/>
  <c r="D34" i="18"/>
  <c r="D33" i="18"/>
  <c r="D32" i="18"/>
  <c r="D30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D14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D6" i="18"/>
  <c r="AO5" i="48"/>
  <c r="AP5" i="48"/>
  <c r="AQ5" i="48"/>
  <c r="AO6" i="48"/>
  <c r="AO26" i="48" s="1"/>
  <c r="AP6" i="48"/>
  <c r="AQ6" i="48"/>
  <c r="AO11" i="48"/>
  <c r="AP11" i="48"/>
  <c r="AQ11" i="48"/>
  <c r="AO12" i="48"/>
  <c r="AO34" i="48" s="1"/>
  <c r="AP12" i="48"/>
  <c r="AP42" i="48" s="1"/>
  <c r="AQ12" i="48"/>
  <c r="AQ32" i="48" s="1"/>
  <c r="AO17" i="48"/>
  <c r="AP17" i="48"/>
  <c r="AQ17" i="48"/>
  <c r="AP18" i="48"/>
  <c r="AQ18" i="48"/>
  <c r="AP20" i="48"/>
  <c r="AQ20" i="48"/>
  <c r="AP22" i="48"/>
  <c r="AQ22" i="48"/>
  <c r="AP24" i="48"/>
  <c r="AQ24" i="48"/>
  <c r="AP26" i="48"/>
  <c r="AQ26" i="48"/>
  <c r="AO31" i="48"/>
  <c r="AP31" i="48"/>
  <c r="AQ31" i="48"/>
  <c r="AO32" i="48"/>
  <c r="AP32" i="48"/>
  <c r="AO42" i="48"/>
  <c r="E6" i="48"/>
  <c r="F6" i="48"/>
  <c r="G6" i="48"/>
  <c r="H6" i="48"/>
  <c r="I6" i="48"/>
  <c r="J6" i="48"/>
  <c r="K6" i="48"/>
  <c r="L6" i="48"/>
  <c r="M6" i="48"/>
  <c r="N6" i="48"/>
  <c r="O6" i="48"/>
  <c r="P6" i="48"/>
  <c r="Q6" i="48"/>
  <c r="R6" i="48"/>
  <c r="S6" i="48"/>
  <c r="T6" i="48"/>
  <c r="U6" i="48"/>
  <c r="V6" i="48"/>
  <c r="W6" i="48"/>
  <c r="X6" i="48"/>
  <c r="Y6" i="48"/>
  <c r="Z6" i="48"/>
  <c r="AA6" i="48"/>
  <c r="AB6" i="48"/>
  <c r="AC6" i="48"/>
  <c r="AD6" i="48"/>
  <c r="AE6" i="48"/>
  <c r="AF6" i="48"/>
  <c r="AG6" i="48"/>
  <c r="AH6" i="48"/>
  <c r="AI6" i="48"/>
  <c r="AJ6" i="48"/>
  <c r="AK6" i="48"/>
  <c r="AL6" i="48"/>
  <c r="AM6" i="48"/>
  <c r="AN6" i="48"/>
  <c r="D6" i="48"/>
  <c r="AP31" i="41"/>
  <c r="AQ31" i="41"/>
  <c r="AP43" i="41"/>
  <c r="AQ43" i="41"/>
  <c r="AO4" i="33"/>
  <c r="AO22" i="33" s="1"/>
  <c r="AP4" i="33"/>
  <c r="AQ4" i="33"/>
  <c r="AQ13" i="33" s="1"/>
  <c r="AO13" i="33"/>
  <c r="AP13" i="33"/>
  <c r="AP22" i="33"/>
  <c r="AQ22" i="33"/>
  <c r="AO43" i="41"/>
  <c r="AN43" i="41"/>
  <c r="AM43" i="41"/>
  <c r="AL43" i="41"/>
  <c r="AK43" i="41"/>
  <c r="AJ43" i="41"/>
  <c r="AI43" i="41"/>
  <c r="AH43" i="41"/>
  <c r="AG43" i="41"/>
  <c r="AF43" i="41"/>
  <c r="AE43" i="41"/>
  <c r="AD43" i="41"/>
  <c r="AC43" i="41"/>
  <c r="AB43" i="41"/>
  <c r="AA43" i="41"/>
  <c r="Z43" i="41"/>
  <c r="Y43" i="41"/>
  <c r="X43" i="41"/>
  <c r="W43" i="41"/>
  <c r="V43" i="41"/>
  <c r="U43" i="41"/>
  <c r="T43" i="41"/>
  <c r="S43" i="41"/>
  <c r="R43" i="41"/>
  <c r="Q43" i="41"/>
  <c r="P43" i="41"/>
  <c r="O43" i="41"/>
  <c r="N43" i="41"/>
  <c r="M43" i="41"/>
  <c r="L43" i="41"/>
  <c r="K43" i="41"/>
  <c r="J43" i="41"/>
  <c r="I43" i="41"/>
  <c r="H43" i="41"/>
  <c r="G43" i="41"/>
  <c r="F43" i="41"/>
  <c r="E43" i="41"/>
  <c r="AO31" i="41"/>
  <c r="AN31" i="41"/>
  <c r="AM31" i="41"/>
  <c r="AL31" i="41"/>
  <c r="AK31" i="4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E6" i="41"/>
  <c r="D6" i="41"/>
  <c r="C6" i="41"/>
  <c r="D17" i="41" l="1"/>
  <c r="E17" i="41"/>
  <c r="G17" i="41" s="1"/>
  <c r="D26" i="41" s="1"/>
  <c r="AP26" i="23"/>
  <c r="AQ24" i="23"/>
  <c r="AO25" i="23"/>
  <c r="AQ23" i="23"/>
  <c r="AQ27" i="23" s="1"/>
  <c r="AP24" i="23"/>
  <c r="AP27" i="23" s="1"/>
  <c r="AP41" i="36"/>
  <c r="AQ41" i="36"/>
  <c r="AP16" i="36"/>
  <c r="AP28" i="36"/>
  <c r="AQ4" i="36"/>
  <c r="AP40" i="36"/>
  <c r="AQ32" i="24"/>
  <c r="AP32" i="24"/>
  <c r="AQ31" i="24"/>
  <c r="AQ22" i="24"/>
  <c r="AQ13" i="24"/>
  <c r="AP13" i="24"/>
  <c r="AP22" i="24"/>
  <c r="AO26" i="23"/>
  <c r="AQ26" i="23"/>
  <c r="AQ71" i="23"/>
  <c r="AO13" i="23"/>
  <c r="AQ54" i="23"/>
  <c r="AO24" i="23"/>
  <c r="AP17" i="23"/>
  <c r="AQ43" i="23"/>
  <c r="AO17" i="23"/>
  <c r="AQ36" i="48"/>
  <c r="AQ37" i="48" s="1"/>
  <c r="AP36" i="48"/>
  <c r="AP37" i="48" s="1"/>
  <c r="AO36" i="48"/>
  <c r="AO37" i="48" s="1"/>
  <c r="AP39" i="48"/>
  <c r="AP40" i="48" s="1"/>
  <c r="AQ34" i="48"/>
  <c r="AQ39" i="48"/>
  <c r="AQ40" i="48" s="1"/>
  <c r="AO18" i="48"/>
  <c r="AQ42" i="48"/>
  <c r="AO39" i="48"/>
  <c r="AO40" i="48" s="1"/>
  <c r="AP34" i="48"/>
  <c r="AO22" i="48"/>
  <c r="AO24" i="48"/>
  <c r="AO20" i="48"/>
  <c r="D12" i="41"/>
  <c r="J12" i="41" s="1"/>
  <c r="E12" i="41"/>
  <c r="K12" i="41" s="1"/>
  <c r="C26" i="41"/>
  <c r="C12" i="41"/>
  <c r="I12" i="41" s="1"/>
  <c r="F17" i="41"/>
  <c r="E26" i="41" l="1"/>
  <c r="AO27" i="23"/>
  <c r="AQ28" i="36"/>
  <c r="AQ40" i="36"/>
  <c r="AQ16" i="36"/>
  <c r="H17" i="41"/>
  <c r="D33" i="41"/>
  <c r="D45" i="41" s="1"/>
  <c r="E33" i="41" l="1"/>
  <c r="D34" i="41"/>
  <c r="D7" i="47" l="1"/>
  <c r="D6" i="36" s="1"/>
  <c r="D13" i="47"/>
  <c r="D7" i="36" s="1"/>
  <c r="D35" i="41"/>
  <c r="F33" i="41"/>
  <c r="E34" i="41"/>
  <c r="E45" i="41"/>
  <c r="D47" i="41"/>
  <c r="E47" i="41" l="1"/>
  <c r="E7" i="47"/>
  <c r="E6" i="36" s="1"/>
  <c r="E13" i="47"/>
  <c r="E7" i="36" s="1"/>
  <c r="E35" i="41"/>
  <c r="E19" i="47"/>
  <c r="E18" i="36" s="1"/>
  <c r="E25" i="47"/>
  <c r="E19" i="36" s="1"/>
  <c r="E48" i="41"/>
  <c r="D25" i="47"/>
  <c r="D19" i="47"/>
  <c r="D48" i="41"/>
  <c r="F45" i="41"/>
  <c r="G33" i="41"/>
  <c r="F34" i="41"/>
  <c r="D19" i="36" l="1"/>
  <c r="D18" i="36"/>
  <c r="D14" i="33"/>
  <c r="D49" i="41"/>
  <c r="F13" i="47"/>
  <c r="F7" i="36" s="1"/>
  <c r="F7" i="47"/>
  <c r="F6" i="36" s="1"/>
  <c r="F35" i="41"/>
  <c r="E49" i="41"/>
  <c r="E14" i="33"/>
  <c r="E36" i="41"/>
  <c r="E5" i="33"/>
  <c r="F47" i="41"/>
  <c r="H33" i="41"/>
  <c r="G34" i="41"/>
  <c r="G7" i="47" l="1"/>
  <c r="G6" i="36" s="1"/>
  <c r="G13" i="47"/>
  <c r="G7" i="36" s="1"/>
  <c r="G35" i="41"/>
  <c r="F25" i="47"/>
  <c r="F19" i="47"/>
  <c r="F48" i="41"/>
  <c r="E37" i="41"/>
  <c r="E7" i="33" s="1"/>
  <c r="E6" i="33"/>
  <c r="E50" i="41"/>
  <c r="E15" i="33"/>
  <c r="F36" i="41"/>
  <c r="F5" i="33"/>
  <c r="D50" i="41"/>
  <c r="D15" i="33"/>
  <c r="I33" i="41"/>
  <c r="H34" i="41"/>
  <c r="F19" i="36" l="1"/>
  <c r="F18" i="36"/>
  <c r="E16" i="33"/>
  <c r="E51" i="41"/>
  <c r="F49" i="41"/>
  <c r="F14" i="33"/>
  <c r="G36" i="41"/>
  <c r="G5" i="33"/>
  <c r="E38" i="41"/>
  <c r="F6" i="33"/>
  <c r="F37" i="41"/>
  <c r="F7" i="33" s="1"/>
  <c r="H7" i="47"/>
  <c r="H6" i="36" s="1"/>
  <c r="H13" i="47"/>
  <c r="H7" i="36" s="1"/>
  <c r="H35" i="41"/>
  <c r="D16" i="33"/>
  <c r="D51" i="41"/>
  <c r="J33" i="41"/>
  <c r="I34" i="41"/>
  <c r="G6" i="33" l="1"/>
  <c r="G37" i="41"/>
  <c r="F38" i="41"/>
  <c r="F50" i="41"/>
  <c r="F15" i="33"/>
  <c r="I13" i="47"/>
  <c r="I7" i="36" s="1"/>
  <c r="I7" i="47"/>
  <c r="I6" i="36" s="1"/>
  <c r="I35" i="41"/>
  <c r="H5" i="33"/>
  <c r="H36" i="41"/>
  <c r="J34" i="41"/>
  <c r="K33" i="41"/>
  <c r="I36" i="41" l="1"/>
  <c r="I5" i="33"/>
  <c r="J7" i="47"/>
  <c r="J6" i="36" s="1"/>
  <c r="J13" i="47"/>
  <c r="J7" i="36" s="1"/>
  <c r="J35" i="41"/>
  <c r="F16" i="33"/>
  <c r="F51" i="41"/>
  <c r="H37" i="41"/>
  <c r="H6" i="33"/>
  <c r="G7" i="33"/>
  <c r="G38" i="41"/>
  <c r="K34" i="41"/>
  <c r="L33" i="41"/>
  <c r="K7" i="47" l="1"/>
  <c r="K6" i="36" s="1"/>
  <c r="K13" i="47"/>
  <c r="K7" i="36" s="1"/>
  <c r="K35" i="41"/>
  <c r="H7" i="33"/>
  <c r="H38" i="41"/>
  <c r="J36" i="41"/>
  <c r="J5" i="33"/>
  <c r="I37" i="41"/>
  <c r="I6" i="33"/>
  <c r="M33" i="41"/>
  <c r="L34" i="41"/>
  <c r="I7" i="33" l="1"/>
  <c r="I38" i="41"/>
  <c r="J6" i="33"/>
  <c r="J37" i="41"/>
  <c r="J7" i="33" s="1"/>
  <c r="K36" i="41"/>
  <c r="K5" i="33"/>
  <c r="L7" i="47"/>
  <c r="L6" i="36" s="1"/>
  <c r="L13" i="47"/>
  <c r="L7" i="36" s="1"/>
  <c r="L35" i="41"/>
  <c r="N33" i="41"/>
  <c r="M34" i="41"/>
  <c r="J38" i="41" l="1"/>
  <c r="L36" i="41"/>
  <c r="L5" i="33"/>
  <c r="M13" i="47"/>
  <c r="M7" i="36" s="1"/>
  <c r="M7" i="47"/>
  <c r="M6" i="36" s="1"/>
  <c r="M35" i="41"/>
  <c r="K37" i="41"/>
  <c r="K6" i="33"/>
  <c r="N34" i="41"/>
  <c r="O33" i="41"/>
  <c r="K7" i="33" l="1"/>
  <c r="K38" i="41"/>
  <c r="M36" i="41"/>
  <c r="M5" i="33"/>
  <c r="N7" i="47"/>
  <c r="N6" i="36" s="1"/>
  <c r="N13" i="47"/>
  <c r="N7" i="36" s="1"/>
  <c r="N35" i="41"/>
  <c r="L6" i="33"/>
  <c r="L37" i="41"/>
  <c r="L7" i="33" s="1"/>
  <c r="P33" i="41"/>
  <c r="O34" i="41"/>
  <c r="M37" i="41" l="1"/>
  <c r="M7" i="33" s="1"/>
  <c r="M6" i="33"/>
  <c r="M38" i="41"/>
  <c r="O7" i="47"/>
  <c r="O6" i="36" s="1"/>
  <c r="O13" i="47"/>
  <c r="O7" i="36" s="1"/>
  <c r="O35" i="41"/>
  <c r="L38" i="41"/>
  <c r="N36" i="41"/>
  <c r="N5" i="33"/>
  <c r="Q33" i="41"/>
  <c r="P34" i="41"/>
  <c r="O36" i="41" l="1"/>
  <c r="O5" i="33"/>
  <c r="P7" i="47"/>
  <c r="P6" i="36" s="1"/>
  <c r="P13" i="47"/>
  <c r="P7" i="36" s="1"/>
  <c r="P35" i="41"/>
  <c r="N6" i="33"/>
  <c r="N37" i="41"/>
  <c r="R33" i="41"/>
  <c r="Q34" i="41"/>
  <c r="P5" i="33" l="1"/>
  <c r="P36" i="41"/>
  <c r="O37" i="41"/>
  <c r="O6" i="33"/>
  <c r="Q13" i="47"/>
  <c r="Q7" i="36" s="1"/>
  <c r="Q7" i="47"/>
  <c r="Q6" i="36" s="1"/>
  <c r="Q35" i="41"/>
  <c r="N7" i="33"/>
  <c r="N38" i="41"/>
  <c r="R34" i="41"/>
  <c r="S33" i="41"/>
  <c r="Q5" i="33" l="1"/>
  <c r="Q36" i="41"/>
  <c r="O7" i="33"/>
  <c r="O38" i="41"/>
  <c r="P37" i="41"/>
  <c r="P7" i="33" s="1"/>
  <c r="P6" i="33"/>
  <c r="R13" i="47"/>
  <c r="R7" i="36" s="1"/>
  <c r="R7" i="47"/>
  <c r="R6" i="36" s="1"/>
  <c r="R35" i="41"/>
  <c r="S34" i="41"/>
  <c r="T33" i="41"/>
  <c r="R36" i="41" l="1"/>
  <c r="R5" i="33"/>
  <c r="S7" i="47"/>
  <c r="S6" i="36" s="1"/>
  <c r="S13" i="47"/>
  <c r="S7" i="36" s="1"/>
  <c r="S35" i="41"/>
  <c r="P38" i="41"/>
  <c r="Q37" i="41"/>
  <c r="Q6" i="33"/>
  <c r="T34" i="41"/>
  <c r="U33" i="41"/>
  <c r="Q7" i="33" l="1"/>
  <c r="Q38" i="41"/>
  <c r="T13" i="47"/>
  <c r="T7" i="36" s="1"/>
  <c r="T7" i="47"/>
  <c r="T6" i="36" s="1"/>
  <c r="T35" i="41"/>
  <c r="S36" i="41"/>
  <c r="S5" i="33"/>
  <c r="R37" i="41"/>
  <c r="R6" i="33"/>
  <c r="V33" i="41"/>
  <c r="U34" i="41"/>
  <c r="S37" i="41" l="1"/>
  <c r="S7" i="33" s="1"/>
  <c r="S6" i="33"/>
  <c r="U7" i="47"/>
  <c r="U6" i="36" s="1"/>
  <c r="U13" i="47"/>
  <c r="U7" i="36" s="1"/>
  <c r="U35" i="41"/>
  <c r="T36" i="41"/>
  <c r="T5" i="33"/>
  <c r="S38" i="41"/>
  <c r="R7" i="33"/>
  <c r="R38" i="41"/>
  <c r="W33" i="41"/>
  <c r="V34" i="41"/>
  <c r="V7" i="47" l="1"/>
  <c r="V6" i="36" s="1"/>
  <c r="V13" i="47"/>
  <c r="V7" i="36" s="1"/>
  <c r="V35" i="41"/>
  <c r="T37" i="41"/>
  <c r="T7" i="33" s="1"/>
  <c r="T6" i="33"/>
  <c r="U5" i="33"/>
  <c r="U36" i="41"/>
  <c r="T38" i="41"/>
  <c r="X33" i="41"/>
  <c r="W34" i="41"/>
  <c r="V5" i="33" l="1"/>
  <c r="V36" i="41"/>
  <c r="W7" i="47"/>
  <c r="W6" i="36" s="1"/>
  <c r="W13" i="47"/>
  <c r="W7" i="36" s="1"/>
  <c r="W35" i="41"/>
  <c r="U37" i="41"/>
  <c r="U7" i="33" s="1"/>
  <c r="U6" i="33"/>
  <c r="Y33" i="41"/>
  <c r="X34" i="41"/>
  <c r="X7" i="47" l="1"/>
  <c r="X6" i="36" s="1"/>
  <c r="X13" i="47"/>
  <c r="X7" i="36" s="1"/>
  <c r="X35" i="41"/>
  <c r="W36" i="41"/>
  <c r="W5" i="33"/>
  <c r="V37" i="41"/>
  <c r="V7" i="33" s="1"/>
  <c r="V6" i="33"/>
  <c r="U38" i="41"/>
  <c r="Z33" i="41"/>
  <c r="Y34" i="41"/>
  <c r="W37" i="41" l="1"/>
  <c r="W6" i="33"/>
  <c r="Y7" i="47"/>
  <c r="Y6" i="36" s="1"/>
  <c r="Y13" i="47"/>
  <c r="Y7" i="36" s="1"/>
  <c r="Y35" i="41"/>
  <c r="X36" i="41"/>
  <c r="X5" i="33"/>
  <c r="V38" i="41"/>
  <c r="Z34" i="41"/>
  <c r="AA33" i="41"/>
  <c r="Z7" i="47" l="1"/>
  <c r="Z6" i="36" s="1"/>
  <c r="Z13" i="47"/>
  <c r="Z7" i="36" s="1"/>
  <c r="Z35" i="41"/>
  <c r="Y36" i="41"/>
  <c r="Y5" i="33"/>
  <c r="W7" i="33"/>
  <c r="W38" i="41"/>
  <c r="X37" i="41"/>
  <c r="X6" i="33"/>
  <c r="AA34" i="41"/>
  <c r="AB33" i="41"/>
  <c r="Y37" i="41" l="1"/>
  <c r="Y7" i="33" s="1"/>
  <c r="Y6" i="33"/>
  <c r="Y38" i="41"/>
  <c r="AA13" i="47"/>
  <c r="AA7" i="36" s="1"/>
  <c r="AA7" i="47"/>
  <c r="AA6" i="36" s="1"/>
  <c r="AA35" i="41"/>
  <c r="X7" i="33"/>
  <c r="X38" i="41"/>
  <c r="Z5" i="33"/>
  <c r="Z36" i="41"/>
  <c r="AC33" i="41"/>
  <c r="AB34" i="41"/>
  <c r="AA36" i="41" l="1"/>
  <c r="AA5" i="33"/>
  <c r="AB7" i="47"/>
  <c r="AB6" i="36" s="1"/>
  <c r="AB13" i="47"/>
  <c r="AB7" i="36" s="1"/>
  <c r="AB35" i="41"/>
  <c r="Z37" i="41"/>
  <c r="Z6" i="33"/>
  <c r="AD33" i="41"/>
  <c r="AC34" i="41"/>
  <c r="AC7" i="47" l="1"/>
  <c r="AC6" i="36" s="1"/>
  <c r="AC13" i="47"/>
  <c r="AC7" i="36" s="1"/>
  <c r="AC35" i="41"/>
  <c r="Z7" i="33"/>
  <c r="Z38" i="41"/>
  <c r="AB36" i="41"/>
  <c r="AB5" i="33"/>
  <c r="AA6" i="33"/>
  <c r="AA37" i="41"/>
  <c r="AE33" i="41"/>
  <c r="AD34" i="41"/>
  <c r="AB37" i="41" l="1"/>
  <c r="AB7" i="33" s="1"/>
  <c r="AB6" i="33"/>
  <c r="AB38" i="41"/>
  <c r="AD7" i="47"/>
  <c r="AD6" i="36" s="1"/>
  <c r="AD13" i="47"/>
  <c r="AD7" i="36" s="1"/>
  <c r="AD35" i="41"/>
  <c r="AA7" i="33"/>
  <c r="AA38" i="41"/>
  <c r="AC36" i="41"/>
  <c r="AC5" i="33"/>
  <c r="AF33" i="41"/>
  <c r="AE34" i="41"/>
  <c r="AD36" i="41" l="1"/>
  <c r="AD5" i="33"/>
  <c r="AE13" i="47"/>
  <c r="AE7" i="36" s="1"/>
  <c r="AE7" i="47"/>
  <c r="AE6" i="36" s="1"/>
  <c r="AE35" i="41"/>
  <c r="AC37" i="41"/>
  <c r="AC6" i="33"/>
  <c r="AG33" i="41"/>
  <c r="AF34" i="41"/>
  <c r="AC7" i="33" l="1"/>
  <c r="AC38" i="41"/>
  <c r="AF13" i="47"/>
  <c r="AF7" i="36" s="1"/>
  <c r="AF7" i="47"/>
  <c r="AF6" i="36" s="1"/>
  <c r="AF35" i="41"/>
  <c r="AE36" i="41"/>
  <c r="AE5" i="33"/>
  <c r="AD37" i="41"/>
  <c r="AD6" i="33"/>
  <c r="AG34" i="41"/>
  <c r="AH33" i="41"/>
  <c r="AG7" i="47" l="1"/>
  <c r="AG6" i="36" s="1"/>
  <c r="AG13" i="47"/>
  <c r="AG7" i="36" s="1"/>
  <c r="AG35" i="41"/>
  <c r="AE37" i="41"/>
  <c r="AE6" i="33"/>
  <c r="AF5" i="33"/>
  <c r="AF36" i="41"/>
  <c r="AD7" i="33"/>
  <c r="AD38" i="41"/>
  <c r="AH34" i="41"/>
  <c r="AI33" i="41"/>
  <c r="AF6" i="33" l="1"/>
  <c r="AF37" i="41"/>
  <c r="AF7" i="33" s="1"/>
  <c r="AH13" i="47"/>
  <c r="AH7" i="36" s="1"/>
  <c r="AH7" i="47"/>
  <c r="AH6" i="36" s="1"/>
  <c r="AH35" i="41"/>
  <c r="AG5" i="33"/>
  <c r="AG36" i="41"/>
  <c r="AE7" i="33"/>
  <c r="AE38" i="41"/>
  <c r="AI34" i="41"/>
  <c r="AJ33" i="41"/>
  <c r="AF38" i="41" l="1"/>
  <c r="AI7" i="47"/>
  <c r="AI6" i="36" s="1"/>
  <c r="AI13" i="47"/>
  <c r="AI7" i="36" s="1"/>
  <c r="AI35" i="41"/>
  <c r="AG37" i="41"/>
  <c r="AG7" i="33" s="1"/>
  <c r="AG6" i="33"/>
  <c r="AH5" i="33"/>
  <c r="AH36" i="41"/>
  <c r="AK33" i="41"/>
  <c r="AJ34" i="41"/>
  <c r="AJ7" i="47" l="1"/>
  <c r="AJ6" i="36" s="1"/>
  <c r="AJ13" i="47"/>
  <c r="AJ7" i="36" s="1"/>
  <c r="AJ35" i="41"/>
  <c r="AI36" i="41"/>
  <c r="AI5" i="33"/>
  <c r="AH6" i="33"/>
  <c r="AH37" i="41"/>
  <c r="AG38" i="41"/>
  <c r="AL33" i="41"/>
  <c r="AK34" i="41"/>
  <c r="AJ36" i="41" l="1"/>
  <c r="AJ5" i="33"/>
  <c r="AI37" i="41"/>
  <c r="AI7" i="33" s="1"/>
  <c r="AI6" i="33"/>
  <c r="AK13" i="47"/>
  <c r="AK7" i="36" s="1"/>
  <c r="AK7" i="47"/>
  <c r="AK6" i="36" s="1"/>
  <c r="AK35" i="41"/>
  <c r="AH7" i="33"/>
  <c r="AH38" i="41"/>
  <c r="AM33" i="41"/>
  <c r="AL34" i="41"/>
  <c r="AK36" i="41" l="1"/>
  <c r="AK5" i="33"/>
  <c r="AL7" i="47"/>
  <c r="AL6" i="36" s="1"/>
  <c r="AL13" i="47"/>
  <c r="AL7" i="36" s="1"/>
  <c r="AL35" i="41"/>
  <c r="AJ37" i="41"/>
  <c r="AJ7" i="33" s="1"/>
  <c r="AJ6" i="33"/>
  <c r="AI38" i="41"/>
  <c r="AN33" i="41"/>
  <c r="AM34" i="41"/>
  <c r="AL36" i="41" l="1"/>
  <c r="AL5" i="33"/>
  <c r="AM7" i="47"/>
  <c r="AM6" i="36" s="1"/>
  <c r="AM13" i="47"/>
  <c r="AM7" i="36" s="1"/>
  <c r="AM35" i="41"/>
  <c r="AK37" i="41"/>
  <c r="AK7" i="33" s="1"/>
  <c r="AK6" i="33"/>
  <c r="AJ38" i="41"/>
  <c r="AO33" i="41"/>
  <c r="AP33" i="41" s="1"/>
  <c r="AN34" i="41"/>
  <c r="AN7" i="47" l="1"/>
  <c r="AN6" i="36" s="1"/>
  <c r="AN13" i="47"/>
  <c r="AN7" i="36" s="1"/>
  <c r="AN35" i="41"/>
  <c r="AQ33" i="41"/>
  <c r="AP34" i="41"/>
  <c r="AK38" i="41"/>
  <c r="AM36" i="41"/>
  <c r="AM5" i="33"/>
  <c r="AL6" i="33"/>
  <c r="AL37" i="41"/>
  <c r="AO34" i="41"/>
  <c r="AO7" i="47" l="1"/>
  <c r="AO6" i="36" s="1"/>
  <c r="AO13" i="47"/>
  <c r="AO7" i="36" s="1"/>
  <c r="AO35" i="41"/>
  <c r="AP7" i="47"/>
  <c r="AP6" i="36" s="1"/>
  <c r="AP13" i="47"/>
  <c r="AP7" i="36" s="1"/>
  <c r="AP35" i="41"/>
  <c r="AN5" i="33"/>
  <c r="AN36" i="41"/>
  <c r="AQ34" i="41"/>
  <c r="AL7" i="33"/>
  <c r="AL38" i="41"/>
  <c r="AM6" i="33"/>
  <c r="AM37" i="41"/>
  <c r="AP36" i="41" l="1"/>
  <c r="AP5" i="33"/>
  <c r="AO36" i="41"/>
  <c r="AO5" i="33"/>
  <c r="AM7" i="33"/>
  <c r="AM38" i="41"/>
  <c r="AP11" i="36"/>
  <c r="AQ7" i="47"/>
  <c r="AQ6" i="36" s="1"/>
  <c r="AQ13" i="47"/>
  <c r="AQ7" i="36" s="1"/>
  <c r="AQ35" i="41"/>
  <c r="AO11" i="36"/>
  <c r="AN37" i="41"/>
  <c r="AN6" i="33"/>
  <c r="AQ11" i="36" l="1"/>
  <c r="AN7" i="33"/>
  <c r="AN38" i="41"/>
  <c r="AO6" i="33"/>
  <c r="AO37" i="41"/>
  <c r="AO7" i="33" s="1"/>
  <c r="AQ36" i="41"/>
  <c r="AQ5" i="33"/>
  <c r="AP37" i="41"/>
  <c r="AP7" i="33" s="1"/>
  <c r="AP6" i="33"/>
  <c r="AP8" i="33" l="1"/>
  <c r="AP38" i="41"/>
  <c r="AQ37" i="41"/>
  <c r="AQ6" i="33"/>
  <c r="AO8" i="33"/>
  <c r="AO38" i="41"/>
  <c r="N10" i="30"/>
  <c r="M10" i="30"/>
  <c r="L10" i="30"/>
  <c r="K10" i="30"/>
  <c r="I10" i="30"/>
  <c r="H10" i="30"/>
  <c r="F10" i="30"/>
  <c r="E10" i="30"/>
  <c r="C10" i="30"/>
  <c r="B10" i="30"/>
  <c r="AO4" i="43"/>
  <c r="AP4" i="43"/>
  <c r="AQ4" i="43"/>
  <c r="AO13" i="43"/>
  <c r="AP13" i="43"/>
  <c r="AQ13" i="43"/>
  <c r="AO22" i="43"/>
  <c r="AP22" i="43"/>
  <c r="AQ22" i="43"/>
  <c r="AO26" i="43"/>
  <c r="AP26" i="43"/>
  <c r="AQ26" i="43"/>
  <c r="AO33" i="43"/>
  <c r="AP33" i="43"/>
  <c r="AQ33" i="43"/>
  <c r="AO39" i="43"/>
  <c r="AP39" i="43"/>
  <c r="AQ39" i="43"/>
  <c r="AO48" i="43"/>
  <c r="AP48" i="43"/>
  <c r="AQ48" i="43"/>
  <c r="AO57" i="43"/>
  <c r="AP57" i="43"/>
  <c r="AQ57" i="43"/>
  <c r="AO61" i="43"/>
  <c r="AO68" i="43" s="1"/>
  <c r="AP61" i="43"/>
  <c r="AP68" i="43" s="1"/>
  <c r="AQ61" i="43"/>
  <c r="AQ68" i="43" s="1"/>
  <c r="AO6" i="45"/>
  <c r="AP6" i="45"/>
  <c r="AQ6" i="45"/>
  <c r="AO12" i="45"/>
  <c r="AP12" i="45"/>
  <c r="AQ12" i="45"/>
  <c r="AO18" i="45"/>
  <c r="AP18" i="45"/>
  <c r="AQ18" i="45"/>
  <c r="AO24" i="45"/>
  <c r="AP24" i="45"/>
  <c r="AQ24" i="45"/>
  <c r="AO30" i="45"/>
  <c r="AP30" i="45"/>
  <c r="AQ30" i="45"/>
  <c r="AO36" i="45"/>
  <c r="AP36" i="45"/>
  <c r="AQ36" i="45"/>
  <c r="AO4" i="42"/>
  <c r="AO13" i="42" s="1"/>
  <c r="AP4" i="42"/>
  <c r="AP22" i="42" s="1"/>
  <c r="AQ4" i="42"/>
  <c r="AQ59" i="42" s="1"/>
  <c r="AQ13" i="42"/>
  <c r="AQ22" i="42"/>
  <c r="AO26" i="42"/>
  <c r="AP26" i="42"/>
  <c r="AQ26" i="42"/>
  <c r="AO41" i="42"/>
  <c r="AQ50" i="42"/>
  <c r="AO59" i="42"/>
  <c r="AP59" i="42"/>
  <c r="AO63" i="42"/>
  <c r="AO87" i="42" s="1"/>
  <c r="AP63" i="42"/>
  <c r="AP87" i="42" s="1"/>
  <c r="AQ63" i="42"/>
  <c r="AQ87" i="42" s="1"/>
  <c r="AQ7" i="33" l="1"/>
  <c r="AQ8" i="33" s="1"/>
  <c r="AQ38" i="41"/>
  <c r="AO50" i="42"/>
  <c r="AO22" i="42"/>
  <c r="AQ41" i="42"/>
  <c r="AP13" i="42"/>
  <c r="AP41" i="42"/>
  <c r="AP50" i="42"/>
  <c r="AO59" i="23" l="1"/>
  <c r="AQ59" i="23"/>
  <c r="AP59" i="23"/>
  <c r="AO6" i="44" l="1"/>
  <c r="AP6" i="44"/>
  <c r="AQ6" i="44"/>
  <c r="AO12" i="44"/>
  <c r="AP12" i="44"/>
  <c r="AQ12" i="44"/>
  <c r="AO18" i="44"/>
  <c r="AP18" i="44"/>
  <c r="AQ18" i="44"/>
  <c r="AO24" i="44"/>
  <c r="AP24" i="44"/>
  <c r="AQ24" i="44"/>
  <c r="AO30" i="44"/>
  <c r="AP30" i="44"/>
  <c r="AQ30" i="44"/>
  <c r="AO36" i="44"/>
  <c r="AP36" i="44"/>
  <c r="AQ36" i="44"/>
  <c r="AO4" i="19"/>
  <c r="AP4" i="19"/>
  <c r="AQ4" i="19"/>
  <c r="AO10" i="19"/>
  <c r="AP10" i="19"/>
  <c r="AQ10" i="19"/>
  <c r="AP15" i="19"/>
  <c r="AO16" i="19"/>
  <c r="AO15" i="19" s="1"/>
  <c r="AP16" i="19"/>
  <c r="AQ16" i="19"/>
  <c r="AQ15" i="19" s="1"/>
  <c r="AO17" i="19"/>
  <c r="AP17" i="19"/>
  <c r="AQ17" i="19"/>
  <c r="AO4" i="10"/>
  <c r="AP4" i="10"/>
  <c r="AQ4" i="10"/>
  <c r="AO21" i="10"/>
  <c r="AP21" i="10"/>
  <c r="AQ21" i="10"/>
  <c r="AO38" i="10"/>
  <c r="AP38" i="10"/>
  <c r="AQ38" i="10"/>
  <c r="AO41" i="10"/>
  <c r="AO42" i="10" s="1"/>
  <c r="AO47" i="10" s="1"/>
  <c r="AP41" i="10"/>
  <c r="AP43" i="10" s="1"/>
  <c r="AP48" i="10" s="1"/>
  <c r="AQ41" i="10"/>
  <c r="AQ44" i="10" s="1"/>
  <c r="AQ49" i="10" s="1"/>
  <c r="AO44" i="10"/>
  <c r="AP44" i="10"/>
  <c r="AP49" i="10" s="1"/>
  <c r="AO49" i="10"/>
  <c r="AO4" i="4"/>
  <c r="AP4" i="4"/>
  <c r="AQ4" i="4"/>
  <c r="AQ12" i="4" s="1"/>
  <c r="AO12" i="4"/>
  <c r="AP12" i="4"/>
  <c r="AO20" i="4"/>
  <c r="AP20" i="4"/>
  <c r="AO22" i="4"/>
  <c r="AP22" i="4"/>
  <c r="AQ22" i="4"/>
  <c r="AR77" i="40"/>
  <c r="AQ77" i="40"/>
  <c r="AP77" i="40"/>
  <c r="AO77" i="40"/>
  <c r="AN77" i="40"/>
  <c r="AM77" i="40"/>
  <c r="AL77" i="40"/>
  <c r="AK77" i="40"/>
  <c r="AJ77" i="40"/>
  <c r="AI77" i="40"/>
  <c r="AH77" i="40"/>
  <c r="AG77" i="40"/>
  <c r="AF77" i="40"/>
  <c r="AE77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AR71" i="40"/>
  <c r="AQ71" i="40"/>
  <c r="AP71" i="40"/>
  <c r="AO71" i="40"/>
  <c r="AN71" i="40"/>
  <c r="AM71" i="40"/>
  <c r="AL71" i="40"/>
  <c r="AK71" i="40"/>
  <c r="AJ71" i="40"/>
  <c r="AI71" i="40"/>
  <c r="AH71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AR65" i="40"/>
  <c r="AQ65" i="40"/>
  <c r="AP65" i="40"/>
  <c r="AO65" i="40"/>
  <c r="AN65" i="40"/>
  <c r="AM65" i="40"/>
  <c r="AL65" i="40"/>
  <c r="AK65" i="40"/>
  <c r="AJ65" i="40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AR58" i="40"/>
  <c r="AQ58" i="40"/>
  <c r="AP58" i="40"/>
  <c r="AO58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AR46" i="40"/>
  <c r="AQ46" i="40"/>
  <c r="AP46" i="40"/>
  <c r="AO46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AR28" i="40"/>
  <c r="AQ28" i="40"/>
  <c r="AP28" i="40"/>
  <c r="AO28" i="40"/>
  <c r="AN28" i="40"/>
  <c r="AM28" i="40"/>
  <c r="AL28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AR22" i="40"/>
  <c r="AQ22" i="40"/>
  <c r="AP22" i="40"/>
  <c r="AO22" i="40"/>
  <c r="AN22" i="40"/>
  <c r="AM22" i="40"/>
  <c r="AL22" i="40"/>
  <c r="AK22" i="40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AR16" i="40"/>
  <c r="AQ16" i="40"/>
  <c r="AP16" i="40"/>
  <c r="AO16" i="40"/>
  <c r="AN16" i="40"/>
  <c r="AM16" i="40"/>
  <c r="AL16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AR10" i="40"/>
  <c r="AQ10" i="40"/>
  <c r="AP10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G5" i="40"/>
  <c r="F5" i="40"/>
  <c r="M5" i="40" s="1"/>
  <c r="D5" i="40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D17" i="3"/>
  <c r="AE17" i="3"/>
  <c r="AF17" i="3"/>
  <c r="AG17" i="3"/>
  <c r="AH17" i="3"/>
  <c r="AI17" i="3"/>
  <c r="AJ17" i="3"/>
  <c r="AK17" i="3"/>
  <c r="AL17" i="3"/>
  <c r="AN17" i="3"/>
  <c r="AO17" i="3"/>
  <c r="AP17" i="3"/>
  <c r="AQ17" i="3"/>
  <c r="E6" i="3"/>
  <c r="F6" i="3"/>
  <c r="G6" i="3"/>
  <c r="H6" i="3"/>
  <c r="J6" i="3"/>
  <c r="K6" i="3"/>
  <c r="L6" i="3"/>
  <c r="M6" i="3"/>
  <c r="N6" i="3"/>
  <c r="O6" i="3"/>
  <c r="P6" i="3"/>
  <c r="Q6" i="3"/>
  <c r="R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D6" i="3"/>
  <c r="D17" i="3"/>
  <c r="AM47" i="80"/>
  <c r="AM17" i="3" s="1"/>
  <c r="AC47" i="80"/>
  <c r="AC17" i="3" s="1"/>
  <c r="AQ45" i="80"/>
  <c r="AP45" i="80"/>
  <c r="AO45" i="80"/>
  <c r="AN45" i="80"/>
  <c r="AM45" i="80"/>
  <c r="AL45" i="80"/>
  <c r="AK45" i="80"/>
  <c r="AJ45" i="80"/>
  <c r="AI45" i="80"/>
  <c r="AH45" i="80"/>
  <c r="AG45" i="80"/>
  <c r="AF45" i="80"/>
  <c r="AE45" i="80"/>
  <c r="AD45" i="80"/>
  <c r="AC45" i="80"/>
  <c r="AB45" i="80"/>
  <c r="AA45" i="80"/>
  <c r="Z45" i="80"/>
  <c r="Y45" i="80"/>
  <c r="X45" i="80"/>
  <c r="W45" i="80"/>
  <c r="V45" i="80"/>
  <c r="U45" i="80"/>
  <c r="T45" i="80"/>
  <c r="S45" i="80"/>
  <c r="R45" i="80"/>
  <c r="Q45" i="80"/>
  <c r="P45" i="80"/>
  <c r="O45" i="80"/>
  <c r="N45" i="80"/>
  <c r="M45" i="80"/>
  <c r="L45" i="80"/>
  <c r="K45" i="80"/>
  <c r="J45" i="80"/>
  <c r="I45" i="80"/>
  <c r="H45" i="80"/>
  <c r="G45" i="80"/>
  <c r="F45" i="80"/>
  <c r="E45" i="80"/>
  <c r="AU39" i="80"/>
  <c r="AR39" i="80"/>
  <c r="AH39" i="80"/>
  <c r="AC39" i="80"/>
  <c r="F39" i="80"/>
  <c r="AD39" i="80" s="1"/>
  <c r="E38" i="80"/>
  <c r="F38" i="80" s="1"/>
  <c r="E36" i="80"/>
  <c r="D36" i="80"/>
  <c r="E35" i="80"/>
  <c r="F35" i="80" s="1"/>
  <c r="AG35" i="80" s="1"/>
  <c r="E34" i="80"/>
  <c r="D34" i="80"/>
  <c r="E31" i="80"/>
  <c r="E29" i="80"/>
  <c r="C23" i="30" s="1"/>
  <c r="I26" i="80"/>
  <c r="J26" i="80" s="1"/>
  <c r="K26" i="80" s="1"/>
  <c r="L26" i="80" s="1"/>
  <c r="M26" i="80" s="1"/>
  <c r="N26" i="80" s="1"/>
  <c r="O26" i="80" s="1"/>
  <c r="P26" i="80" s="1"/>
  <c r="Q26" i="80" s="1"/>
  <c r="R26" i="80" s="1"/>
  <c r="S26" i="80" s="1"/>
  <c r="T26" i="80" s="1"/>
  <c r="U26" i="80" s="1"/>
  <c r="V26" i="80" s="1"/>
  <c r="W26" i="80" s="1"/>
  <c r="X26" i="80" s="1"/>
  <c r="Y26" i="80" s="1"/>
  <c r="Z26" i="80" s="1"/>
  <c r="AA26" i="80" s="1"/>
  <c r="AB26" i="80" s="1"/>
  <c r="AC26" i="80" s="1"/>
  <c r="AD26" i="80" s="1"/>
  <c r="AE26" i="80" s="1"/>
  <c r="AF26" i="80" s="1"/>
  <c r="AG26" i="80" s="1"/>
  <c r="AH26" i="80" s="1"/>
  <c r="AI26" i="80" s="1"/>
  <c r="AJ26" i="80" s="1"/>
  <c r="AK26" i="80" s="1"/>
  <c r="AL26" i="80" s="1"/>
  <c r="AM26" i="80" s="1"/>
  <c r="AN26" i="80" s="1"/>
  <c r="AO26" i="80" s="1"/>
  <c r="AP26" i="80" s="1"/>
  <c r="AQ26" i="80" s="1"/>
  <c r="AR26" i="80" s="1"/>
  <c r="AS26" i="80" s="1"/>
  <c r="AT26" i="80" s="1"/>
  <c r="AU26" i="80" s="1"/>
  <c r="F22" i="80"/>
  <c r="X22" i="80" s="1"/>
  <c r="E21" i="80"/>
  <c r="D21" i="80"/>
  <c r="D19" i="80"/>
  <c r="D18" i="80"/>
  <c r="D17" i="80"/>
  <c r="D14" i="80"/>
  <c r="D12" i="80"/>
  <c r="I9" i="80"/>
  <c r="J9" i="80" s="1"/>
  <c r="K9" i="80" s="1"/>
  <c r="L9" i="80" s="1"/>
  <c r="M9" i="80" s="1"/>
  <c r="N9" i="80" s="1"/>
  <c r="O9" i="80" s="1"/>
  <c r="P9" i="80" s="1"/>
  <c r="Q9" i="80" s="1"/>
  <c r="R9" i="80" s="1"/>
  <c r="S9" i="80" s="1"/>
  <c r="T9" i="80" s="1"/>
  <c r="U9" i="80" s="1"/>
  <c r="V9" i="80" s="1"/>
  <c r="W9" i="80" s="1"/>
  <c r="X9" i="80" s="1"/>
  <c r="Y9" i="80" s="1"/>
  <c r="Z9" i="80" s="1"/>
  <c r="AA9" i="80" s="1"/>
  <c r="AB9" i="80" s="1"/>
  <c r="AC9" i="80" s="1"/>
  <c r="AD9" i="80" s="1"/>
  <c r="AE9" i="80" s="1"/>
  <c r="AF9" i="80" s="1"/>
  <c r="AG9" i="80" s="1"/>
  <c r="AH9" i="80" s="1"/>
  <c r="AI9" i="80" s="1"/>
  <c r="AJ9" i="80" s="1"/>
  <c r="AK9" i="80" s="1"/>
  <c r="AL9" i="80" s="1"/>
  <c r="AM9" i="80" s="1"/>
  <c r="AN9" i="80" s="1"/>
  <c r="AO9" i="80" s="1"/>
  <c r="AP9" i="80" s="1"/>
  <c r="AQ9" i="80" s="1"/>
  <c r="AR9" i="80" s="1"/>
  <c r="AS9" i="80" s="1"/>
  <c r="AT9" i="80" s="1"/>
  <c r="AU9" i="80" s="1"/>
  <c r="AQ29" i="79"/>
  <c r="AQ6" i="3" s="1"/>
  <c r="AN29" i="79"/>
  <c r="AM29" i="79"/>
  <c r="AD29" i="79"/>
  <c r="AC29" i="79"/>
  <c r="T29" i="79"/>
  <c r="T6" i="3" s="1"/>
  <c r="S29" i="79"/>
  <c r="S6" i="3" s="1"/>
  <c r="J29" i="79"/>
  <c r="I29" i="79"/>
  <c r="I6" i="3" s="1"/>
  <c r="AQ27" i="79"/>
  <c r="AP27" i="79"/>
  <c r="AO27" i="79"/>
  <c r="AN27" i="79"/>
  <c r="AM27" i="79"/>
  <c r="AL27" i="79"/>
  <c r="AK27" i="79"/>
  <c r="AJ27" i="79"/>
  <c r="AI27" i="79"/>
  <c r="AH27" i="79"/>
  <c r="AG27" i="79"/>
  <c r="AF27" i="79"/>
  <c r="AE27" i="79"/>
  <c r="AD27" i="79"/>
  <c r="AC27" i="79"/>
  <c r="AB27" i="79"/>
  <c r="AA27" i="79"/>
  <c r="Z27" i="79"/>
  <c r="Y27" i="79"/>
  <c r="X27" i="79"/>
  <c r="W27" i="79"/>
  <c r="V27" i="79"/>
  <c r="U27" i="79"/>
  <c r="T27" i="79"/>
  <c r="S27" i="79"/>
  <c r="R27" i="79"/>
  <c r="Q27" i="79"/>
  <c r="P27" i="79"/>
  <c r="O27" i="79"/>
  <c r="N27" i="79"/>
  <c r="M27" i="79"/>
  <c r="L27" i="79"/>
  <c r="K27" i="79"/>
  <c r="J27" i="79"/>
  <c r="I27" i="79"/>
  <c r="H27" i="79"/>
  <c r="G27" i="79"/>
  <c r="F27" i="79"/>
  <c r="E27" i="79"/>
  <c r="AT21" i="79"/>
  <c r="AR21" i="79"/>
  <c r="AP21" i="79"/>
  <c r="AM21" i="79"/>
  <c r="AL21" i="79"/>
  <c r="AJ21" i="79"/>
  <c r="AH21" i="79"/>
  <c r="AF21" i="79"/>
  <c r="AE21" i="79"/>
  <c r="AD21" i="79"/>
  <c r="X21" i="79"/>
  <c r="W21" i="79"/>
  <c r="V21" i="79"/>
  <c r="T21" i="79"/>
  <c r="R21" i="79"/>
  <c r="Q21" i="79"/>
  <c r="P21" i="79"/>
  <c r="N21" i="79"/>
  <c r="K21" i="79"/>
  <c r="J21" i="79"/>
  <c r="I21" i="79"/>
  <c r="H21" i="79"/>
  <c r="F21" i="79"/>
  <c r="AI21" i="79" s="1"/>
  <c r="D20" i="79"/>
  <c r="E18" i="79"/>
  <c r="F18" i="79" s="1"/>
  <c r="D18" i="79"/>
  <c r="D17" i="79"/>
  <c r="E16" i="79"/>
  <c r="D16" i="79"/>
  <c r="E13" i="79"/>
  <c r="D13" i="79"/>
  <c r="E11" i="79"/>
  <c r="B23" i="30" s="1"/>
  <c r="D11" i="79"/>
  <c r="E20" i="79"/>
  <c r="F20" i="79" s="1"/>
  <c r="L8" i="79"/>
  <c r="M8" i="79" s="1"/>
  <c r="N8" i="79" s="1"/>
  <c r="O8" i="79" s="1"/>
  <c r="P8" i="79" s="1"/>
  <c r="Q8" i="79" s="1"/>
  <c r="R8" i="79" s="1"/>
  <c r="S8" i="79" s="1"/>
  <c r="T8" i="79" s="1"/>
  <c r="U8" i="79" s="1"/>
  <c r="V8" i="79" s="1"/>
  <c r="W8" i="79" s="1"/>
  <c r="X8" i="79" s="1"/>
  <c r="Y8" i="79" s="1"/>
  <c r="Z8" i="79" s="1"/>
  <c r="AA8" i="79" s="1"/>
  <c r="AB8" i="79" s="1"/>
  <c r="AC8" i="79" s="1"/>
  <c r="AD8" i="79" s="1"/>
  <c r="AE8" i="79" s="1"/>
  <c r="AF8" i="79" s="1"/>
  <c r="AG8" i="79" s="1"/>
  <c r="AH8" i="79" s="1"/>
  <c r="AI8" i="79" s="1"/>
  <c r="AJ8" i="79" s="1"/>
  <c r="AK8" i="79" s="1"/>
  <c r="AL8" i="79" s="1"/>
  <c r="AM8" i="79" s="1"/>
  <c r="AN8" i="79" s="1"/>
  <c r="AO8" i="79" s="1"/>
  <c r="AP8" i="79" s="1"/>
  <c r="AQ8" i="79" s="1"/>
  <c r="AR8" i="79" s="1"/>
  <c r="AS8" i="79" s="1"/>
  <c r="AT8" i="79" s="1"/>
  <c r="AU8" i="79" s="1"/>
  <c r="K8" i="79"/>
  <c r="AJ6" i="81" l="1"/>
  <c r="AJ35" i="70" s="1"/>
  <c r="V6" i="81"/>
  <c r="V35" i="70" s="1"/>
  <c r="H6" i="81"/>
  <c r="H35" i="70" s="1"/>
  <c r="AI6" i="81"/>
  <c r="AI35" i="70" s="1"/>
  <c r="U6" i="81"/>
  <c r="U35" i="70" s="1"/>
  <c r="G6" i="81"/>
  <c r="AH6" i="81"/>
  <c r="AH35" i="70" s="1"/>
  <c r="T6" i="81"/>
  <c r="T35" i="70" s="1"/>
  <c r="F6" i="81"/>
  <c r="AG6" i="81"/>
  <c r="AG35" i="70" s="1"/>
  <c r="S6" i="81"/>
  <c r="S35" i="70" s="1"/>
  <c r="E6" i="81"/>
  <c r="AQ6" i="81"/>
  <c r="AQ35" i="70" s="1"/>
  <c r="O6" i="81"/>
  <c r="O35" i="70" s="1"/>
  <c r="AP6" i="81"/>
  <c r="AP35" i="70" s="1"/>
  <c r="N6" i="81"/>
  <c r="N35" i="70" s="1"/>
  <c r="AK6" i="81"/>
  <c r="AK35" i="70" s="1"/>
  <c r="AF6" i="81"/>
  <c r="AF35" i="70" s="1"/>
  <c r="R6" i="81"/>
  <c r="R35" i="70" s="1"/>
  <c r="D6" i="81"/>
  <c r="AE6" i="81"/>
  <c r="AE35" i="70" s="1"/>
  <c r="Q6" i="81"/>
  <c r="Q35" i="70" s="1"/>
  <c r="AD6" i="81"/>
  <c r="AD35" i="70" s="1"/>
  <c r="P6" i="81"/>
  <c r="P35" i="70" s="1"/>
  <c r="AC6" i="81"/>
  <c r="AC35" i="70" s="1"/>
  <c r="AB6" i="81"/>
  <c r="AB35" i="70" s="1"/>
  <c r="W6" i="81"/>
  <c r="W35" i="70" s="1"/>
  <c r="AO6" i="81"/>
  <c r="AO35" i="70" s="1"/>
  <c r="AA6" i="81"/>
  <c r="AA35" i="70" s="1"/>
  <c r="M6" i="81"/>
  <c r="M35" i="70" s="1"/>
  <c r="AN6" i="81"/>
  <c r="AN35" i="70" s="1"/>
  <c r="Z6" i="81"/>
  <c r="Z35" i="70" s="1"/>
  <c r="L6" i="81"/>
  <c r="L35" i="70" s="1"/>
  <c r="AM6" i="81"/>
  <c r="AM35" i="70" s="1"/>
  <c r="Y6" i="81"/>
  <c r="Y35" i="70" s="1"/>
  <c r="K6" i="81"/>
  <c r="K35" i="70" s="1"/>
  <c r="AL6" i="81"/>
  <c r="AL35" i="70" s="1"/>
  <c r="X6" i="81"/>
  <c r="X35" i="70" s="1"/>
  <c r="J6" i="81"/>
  <c r="J35" i="70" s="1"/>
  <c r="I6" i="81"/>
  <c r="I35" i="70" s="1"/>
  <c r="N6" i="51"/>
  <c r="N35" i="23" s="1"/>
  <c r="AB6" i="51"/>
  <c r="AB35" i="23" s="1"/>
  <c r="AP6" i="51"/>
  <c r="AP35" i="23" s="1"/>
  <c r="AP38" i="23" s="1"/>
  <c r="AC6" i="51"/>
  <c r="AC35" i="23" s="1"/>
  <c r="AQ6" i="51"/>
  <c r="AQ35" i="23" s="1"/>
  <c r="AQ38" i="23" s="1"/>
  <c r="AD6" i="51"/>
  <c r="AD35" i="23" s="1"/>
  <c r="D6" i="51"/>
  <c r="V6" i="51"/>
  <c r="V35" i="23" s="1"/>
  <c r="I6" i="51"/>
  <c r="I35" i="23" s="1"/>
  <c r="K6" i="51"/>
  <c r="K35" i="23" s="1"/>
  <c r="AA6" i="51"/>
  <c r="AA35" i="23" s="1"/>
  <c r="O6" i="51"/>
  <c r="O35" i="23" s="1"/>
  <c r="AE6" i="51"/>
  <c r="AE35" i="23" s="1"/>
  <c r="AF6" i="51"/>
  <c r="AF35" i="23" s="1"/>
  <c r="AG6" i="51"/>
  <c r="AG35" i="23" s="1"/>
  <c r="G6" i="51"/>
  <c r="G35" i="23" s="1"/>
  <c r="U6" i="51"/>
  <c r="U35" i="23" s="1"/>
  <c r="AJ6" i="51"/>
  <c r="AJ35" i="23" s="1"/>
  <c r="AL6" i="51"/>
  <c r="AL35" i="23" s="1"/>
  <c r="L6" i="51"/>
  <c r="L35" i="23" s="1"/>
  <c r="AO6" i="51"/>
  <c r="AO35" i="23" s="1"/>
  <c r="AO38" i="23" s="1"/>
  <c r="P6" i="51"/>
  <c r="P35" i="23" s="1"/>
  <c r="AH6" i="51"/>
  <c r="AH35" i="23" s="1"/>
  <c r="AI6" i="51"/>
  <c r="AI35" i="23" s="1"/>
  <c r="AK6" i="51"/>
  <c r="AK35" i="23" s="1"/>
  <c r="X6" i="51"/>
  <c r="X35" i="23" s="1"/>
  <c r="AM6" i="51"/>
  <c r="AM35" i="23" s="1"/>
  <c r="M6" i="51"/>
  <c r="M35" i="23" s="1"/>
  <c r="Q6" i="51"/>
  <c r="Q35" i="23" s="1"/>
  <c r="S6" i="51"/>
  <c r="S35" i="23" s="1"/>
  <c r="T6" i="51"/>
  <c r="T35" i="23" s="1"/>
  <c r="H6" i="51"/>
  <c r="H35" i="23" s="1"/>
  <c r="J6" i="51"/>
  <c r="J35" i="23" s="1"/>
  <c r="Y6" i="51"/>
  <c r="Y35" i="23" s="1"/>
  <c r="AN6" i="51"/>
  <c r="AN35" i="23" s="1"/>
  <c r="R6" i="51"/>
  <c r="R35" i="23" s="1"/>
  <c r="W6" i="51"/>
  <c r="W35" i="23" s="1"/>
  <c r="Z6" i="51"/>
  <c r="Z35" i="23" s="1"/>
  <c r="E6" i="51"/>
  <c r="F6" i="51"/>
  <c r="B24" i="30"/>
  <c r="T12" i="81"/>
  <c r="T48" i="70" s="1"/>
  <c r="T59" i="70" s="1"/>
  <c r="AH12" i="81"/>
  <c r="AH48" i="70" s="1"/>
  <c r="AH59" i="70" s="1"/>
  <c r="AN12" i="81"/>
  <c r="AN48" i="70" s="1"/>
  <c r="AN59" i="70" s="1"/>
  <c r="N12" i="81"/>
  <c r="N48" i="70" s="1"/>
  <c r="N59" i="70" s="1"/>
  <c r="AC12" i="81"/>
  <c r="AC48" i="70" s="1"/>
  <c r="AC59" i="70" s="1"/>
  <c r="Q12" i="81"/>
  <c r="Q48" i="70" s="1"/>
  <c r="Q59" i="70" s="1"/>
  <c r="R12" i="81"/>
  <c r="R48" i="70" s="1"/>
  <c r="R59" i="70" s="1"/>
  <c r="U12" i="81"/>
  <c r="U48" i="70" s="1"/>
  <c r="U59" i="70" s="1"/>
  <c r="AI12" i="81"/>
  <c r="AI48" i="70" s="1"/>
  <c r="AI59" i="70" s="1"/>
  <c r="AA12" i="81"/>
  <c r="AA48" i="70" s="1"/>
  <c r="AA59" i="70" s="1"/>
  <c r="AP12" i="81"/>
  <c r="AP48" i="70" s="1"/>
  <c r="AP59" i="70" s="1"/>
  <c r="P12" i="81"/>
  <c r="P48" i="70" s="1"/>
  <c r="P59" i="70" s="1"/>
  <c r="V12" i="81"/>
  <c r="V48" i="70" s="1"/>
  <c r="V59" i="70" s="1"/>
  <c r="AJ12" i="81"/>
  <c r="AJ48" i="70" s="1"/>
  <c r="AJ59" i="70" s="1"/>
  <c r="M12" i="81"/>
  <c r="M48" i="70" s="1"/>
  <c r="M59" i="70" s="1"/>
  <c r="O12" i="81"/>
  <c r="O48" i="70" s="1"/>
  <c r="O59" i="70" s="1"/>
  <c r="AE12" i="81"/>
  <c r="AE48" i="70" s="1"/>
  <c r="AE59" i="70" s="1"/>
  <c r="AG12" i="81"/>
  <c r="AG48" i="70" s="1"/>
  <c r="AG59" i="70" s="1"/>
  <c r="I12" i="81"/>
  <c r="I48" i="70" s="1"/>
  <c r="I59" i="70" s="1"/>
  <c r="W12" i="81"/>
  <c r="W48" i="70" s="1"/>
  <c r="W59" i="70" s="1"/>
  <c r="AK12" i="81"/>
  <c r="AK48" i="70" s="1"/>
  <c r="AK59" i="70" s="1"/>
  <c r="Z12" i="81"/>
  <c r="Z48" i="70" s="1"/>
  <c r="Z59" i="70" s="1"/>
  <c r="AB12" i="81"/>
  <c r="AB48" i="70" s="1"/>
  <c r="AB59" i="70" s="1"/>
  <c r="H12" i="81"/>
  <c r="J12" i="81"/>
  <c r="J48" i="70" s="1"/>
  <c r="J59" i="70" s="1"/>
  <c r="X12" i="81"/>
  <c r="X48" i="70" s="1"/>
  <c r="X59" i="70" s="1"/>
  <c r="AL12" i="81"/>
  <c r="AL48" i="70" s="1"/>
  <c r="AL59" i="70" s="1"/>
  <c r="L12" i="81"/>
  <c r="L48" i="70" s="1"/>
  <c r="L59" i="70" s="1"/>
  <c r="AQ12" i="81"/>
  <c r="AQ48" i="70" s="1"/>
  <c r="AQ59" i="70" s="1"/>
  <c r="AF12" i="81"/>
  <c r="AF48" i="70" s="1"/>
  <c r="AF59" i="70" s="1"/>
  <c r="K12" i="81"/>
  <c r="K48" i="70" s="1"/>
  <c r="K59" i="70" s="1"/>
  <c r="Y12" i="81"/>
  <c r="Y48" i="70" s="1"/>
  <c r="Y59" i="70" s="1"/>
  <c r="AM12" i="81"/>
  <c r="AM48" i="70" s="1"/>
  <c r="AM59" i="70" s="1"/>
  <c r="AO12" i="81"/>
  <c r="AO48" i="70" s="1"/>
  <c r="AO59" i="70" s="1"/>
  <c r="AD12" i="81"/>
  <c r="AD48" i="70" s="1"/>
  <c r="AD59" i="70" s="1"/>
  <c r="S12" i="81"/>
  <c r="S48" i="70" s="1"/>
  <c r="S59" i="70" s="1"/>
  <c r="G12" i="51"/>
  <c r="H12" i="51"/>
  <c r="H46" i="23" s="1"/>
  <c r="C24" i="30"/>
  <c r="AS39" i="80"/>
  <c r="C47" i="80"/>
  <c r="F21" i="80"/>
  <c r="AT21" i="80" s="1"/>
  <c r="AT39" i="80"/>
  <c r="Q39" i="80"/>
  <c r="S39" i="80"/>
  <c r="T39" i="80"/>
  <c r="AB22" i="80"/>
  <c r="U39" i="80"/>
  <c r="V39" i="80"/>
  <c r="AA22" i="80"/>
  <c r="R39" i="80"/>
  <c r="W39" i="80"/>
  <c r="AJ22" i="80"/>
  <c r="F36" i="80"/>
  <c r="I36" i="80" s="1"/>
  <c r="N22" i="80"/>
  <c r="AN22" i="80"/>
  <c r="AG39" i="80"/>
  <c r="H22" i="80"/>
  <c r="AK22" i="80"/>
  <c r="L22" i="80"/>
  <c r="AM22" i="80"/>
  <c r="T22" i="80"/>
  <c r="U22" i="80"/>
  <c r="AP22" i="80"/>
  <c r="AI39" i="80"/>
  <c r="I22" i="80"/>
  <c r="J22" i="80"/>
  <c r="K22" i="80"/>
  <c r="AL22" i="80"/>
  <c r="V22" i="80"/>
  <c r="I39" i="80"/>
  <c r="AJ39" i="80"/>
  <c r="F31" i="80"/>
  <c r="AF31" i="80" s="1"/>
  <c r="AI22" i="80"/>
  <c r="F34" i="80"/>
  <c r="AL34" i="80" s="1"/>
  <c r="M22" i="80"/>
  <c r="AO22" i="80"/>
  <c r="W22" i="80"/>
  <c r="O39" i="80"/>
  <c r="AK39" i="80"/>
  <c r="AH22" i="80"/>
  <c r="Y22" i="80"/>
  <c r="F29" i="80"/>
  <c r="Z29" i="80" s="1"/>
  <c r="P39" i="80"/>
  <c r="AQ39" i="80"/>
  <c r="F11" i="79"/>
  <c r="AL11" i="79" s="1"/>
  <c r="AK21" i="79"/>
  <c r="AS21" i="79"/>
  <c r="Y21" i="79"/>
  <c r="AB21" i="79"/>
  <c r="C29" i="79"/>
  <c r="F13" i="79"/>
  <c r="AJ13" i="79" s="1"/>
  <c r="W29" i="80"/>
  <c r="T36" i="80"/>
  <c r="R36" i="80"/>
  <c r="Q36" i="80"/>
  <c r="AQ38" i="80"/>
  <c r="AP38" i="80"/>
  <c r="AJ38" i="80"/>
  <c r="AI38" i="80"/>
  <c r="AH38" i="80"/>
  <c r="AG38" i="80"/>
  <c r="AF38" i="80"/>
  <c r="N38" i="80"/>
  <c r="H38" i="80"/>
  <c r="R31" i="80"/>
  <c r="H34" i="80"/>
  <c r="AM34" i="80"/>
  <c r="AF29" i="80"/>
  <c r="F16" i="79"/>
  <c r="V16" i="79" s="1"/>
  <c r="AH35" i="80"/>
  <c r="AE35" i="80"/>
  <c r="AF35" i="80"/>
  <c r="AI35" i="80"/>
  <c r="AJ35" i="80"/>
  <c r="AK35" i="80"/>
  <c r="D13" i="45"/>
  <c r="D6" i="43" s="1"/>
  <c r="D19" i="45"/>
  <c r="D7" i="43" s="1"/>
  <c r="D7" i="45"/>
  <c r="D5" i="43" s="1"/>
  <c r="E13" i="45"/>
  <c r="E6" i="43" s="1"/>
  <c r="E19" i="45"/>
  <c r="E7" i="43" s="1"/>
  <c r="E7" i="45"/>
  <c r="E5" i="43" s="1"/>
  <c r="D7" i="44"/>
  <c r="D13" i="44"/>
  <c r="D19" i="44"/>
  <c r="D31" i="45"/>
  <c r="D25" i="45"/>
  <c r="D37" i="45"/>
  <c r="F7" i="45"/>
  <c r="F5" i="43" s="1"/>
  <c r="F19" i="45"/>
  <c r="F7" i="43" s="1"/>
  <c r="F13" i="45"/>
  <c r="F6" i="43" s="1"/>
  <c r="E31" i="45"/>
  <c r="E41" i="43" s="1"/>
  <c r="E13" i="44"/>
  <c r="E6" i="42" s="1"/>
  <c r="E37" i="45"/>
  <c r="E42" i="43" s="1"/>
  <c r="E7" i="44"/>
  <c r="E19" i="44"/>
  <c r="E7" i="42" s="1"/>
  <c r="E25" i="45"/>
  <c r="E40" i="43" s="1"/>
  <c r="F31" i="45"/>
  <c r="F41" i="43" s="1"/>
  <c r="F37" i="45"/>
  <c r="F42" i="43" s="1"/>
  <c r="F19" i="44"/>
  <c r="F7" i="42" s="1"/>
  <c r="F7" i="44"/>
  <c r="F13" i="44"/>
  <c r="F6" i="42" s="1"/>
  <c r="F25" i="45"/>
  <c r="F40" i="43" s="1"/>
  <c r="AO50" i="10"/>
  <c r="AQ43" i="10"/>
  <c r="AQ48" i="10" s="1"/>
  <c r="AO43" i="10"/>
  <c r="AO48" i="10" s="1"/>
  <c r="AQ42" i="10"/>
  <c r="AQ47" i="10" s="1"/>
  <c r="AP42" i="10"/>
  <c r="AP47" i="10" s="1"/>
  <c r="AP50" i="10" s="1"/>
  <c r="AQ20" i="4"/>
  <c r="K5" i="40"/>
  <c r="O5" i="40" s="1"/>
  <c r="D11" i="40"/>
  <c r="L5" i="40"/>
  <c r="AF21" i="80"/>
  <c r="R21" i="80"/>
  <c r="AP21" i="80"/>
  <c r="AS21" i="80"/>
  <c r="AE21" i="80"/>
  <c r="Q21" i="80"/>
  <c r="AB21" i="80"/>
  <c r="AR21" i="80"/>
  <c r="AD21" i="80"/>
  <c r="P21" i="80"/>
  <c r="AQ21" i="80"/>
  <c r="AC21" i="80"/>
  <c r="O21" i="80"/>
  <c r="X21" i="80"/>
  <c r="AU21" i="80"/>
  <c r="W21" i="80"/>
  <c r="AN21" i="80"/>
  <c r="AO21" i="80"/>
  <c r="V21" i="80"/>
  <c r="U21" i="80"/>
  <c r="Z21" i="80"/>
  <c r="S21" i="80"/>
  <c r="Y21" i="80"/>
  <c r="T21" i="80"/>
  <c r="M21" i="80"/>
  <c r="L21" i="80"/>
  <c r="AM21" i="80"/>
  <c r="AH21" i="80"/>
  <c r="K21" i="80"/>
  <c r="I21" i="80"/>
  <c r="AL21" i="80"/>
  <c r="H21" i="80"/>
  <c r="AK21" i="80"/>
  <c r="AJ21" i="80"/>
  <c r="AI21" i="80"/>
  <c r="AG21" i="80"/>
  <c r="J21" i="80"/>
  <c r="AQ35" i="80"/>
  <c r="AC35" i="80"/>
  <c r="O35" i="80"/>
  <c r="Y35" i="80"/>
  <c r="AP35" i="80"/>
  <c r="AB35" i="80"/>
  <c r="N35" i="80"/>
  <c r="K35" i="80"/>
  <c r="AO35" i="80"/>
  <c r="AA35" i="80"/>
  <c r="M35" i="80"/>
  <c r="AN35" i="80"/>
  <c r="Z35" i="80"/>
  <c r="L35" i="80"/>
  <c r="AM35" i="80"/>
  <c r="AD35" i="80"/>
  <c r="X35" i="80"/>
  <c r="AU35" i="80"/>
  <c r="W35" i="80"/>
  <c r="AT35" i="80"/>
  <c r="V35" i="80"/>
  <c r="AS35" i="80"/>
  <c r="U35" i="80"/>
  <c r="S35" i="80"/>
  <c r="P35" i="80"/>
  <c r="AR35" i="80"/>
  <c r="AL35" i="80"/>
  <c r="R35" i="80"/>
  <c r="Q35" i="80"/>
  <c r="I35" i="80"/>
  <c r="T35" i="80"/>
  <c r="J35" i="80"/>
  <c r="H35" i="80"/>
  <c r="AO38" i="80"/>
  <c r="AA38" i="80"/>
  <c r="M38" i="80"/>
  <c r="I38" i="80"/>
  <c r="AN38" i="80"/>
  <c r="Z38" i="80"/>
  <c r="L38" i="80"/>
  <c r="AM38" i="80"/>
  <c r="Y38" i="80"/>
  <c r="K38" i="80"/>
  <c r="AL38" i="80"/>
  <c r="X38" i="80"/>
  <c r="J38" i="80"/>
  <c r="AK38" i="80"/>
  <c r="W38" i="80"/>
  <c r="AD38" i="80"/>
  <c r="AC38" i="80"/>
  <c r="AU38" i="80"/>
  <c r="AB38" i="80"/>
  <c r="AT38" i="80"/>
  <c r="V38" i="80"/>
  <c r="U38" i="80"/>
  <c r="T38" i="80"/>
  <c r="P38" i="80"/>
  <c r="S38" i="80"/>
  <c r="R38" i="80"/>
  <c r="Q38" i="80"/>
  <c r="AS38" i="80"/>
  <c r="AR38" i="80"/>
  <c r="AE38" i="80"/>
  <c r="O38" i="80"/>
  <c r="AC34" i="80"/>
  <c r="N34" i="80"/>
  <c r="AO31" i="80"/>
  <c r="V31" i="80"/>
  <c r="U31" i="80"/>
  <c r="AL31" i="80"/>
  <c r="J31" i="80"/>
  <c r="AM31" i="80"/>
  <c r="AG34" i="80"/>
  <c r="AP36" i="80"/>
  <c r="AB36" i="80"/>
  <c r="K36" i="80"/>
  <c r="X36" i="80"/>
  <c r="AD36" i="80"/>
  <c r="AK31" i="80"/>
  <c r="AI34" i="80"/>
  <c r="AP39" i="80"/>
  <c r="AB39" i="80"/>
  <c r="N39" i="80"/>
  <c r="AO39" i="80"/>
  <c r="AA39" i="80"/>
  <c r="M39" i="80"/>
  <c r="AL39" i="80"/>
  <c r="AN39" i="80"/>
  <c r="Z39" i="80"/>
  <c r="L39" i="80"/>
  <c r="J39" i="80"/>
  <c r="AM39" i="80"/>
  <c r="Y39" i="80"/>
  <c r="K39" i="80"/>
  <c r="X39" i="80"/>
  <c r="AE39" i="80"/>
  <c r="E18" i="80"/>
  <c r="F18" i="80" s="1"/>
  <c r="E17" i="80"/>
  <c r="F17" i="80" s="1"/>
  <c r="E14" i="80"/>
  <c r="F14" i="80" s="1"/>
  <c r="E12" i="80"/>
  <c r="F12" i="80" s="1"/>
  <c r="E19" i="80"/>
  <c r="F19" i="80" s="1"/>
  <c r="AU22" i="80"/>
  <c r="AG22" i="80"/>
  <c r="S22" i="80"/>
  <c r="AT22" i="80"/>
  <c r="AF22" i="80"/>
  <c r="R22" i="80"/>
  <c r="AS22" i="80"/>
  <c r="AE22" i="80"/>
  <c r="Q22" i="80"/>
  <c r="AC22" i="80"/>
  <c r="AR22" i="80"/>
  <c r="AD22" i="80"/>
  <c r="P22" i="80"/>
  <c r="AQ22" i="80"/>
  <c r="O22" i="80"/>
  <c r="Z22" i="80"/>
  <c r="H39" i="80"/>
  <c r="AF39" i="80"/>
  <c r="K11" i="79"/>
  <c r="H11" i="79"/>
  <c r="T11" i="79"/>
  <c r="AB11" i="79"/>
  <c r="Y13" i="79"/>
  <c r="AF13" i="79"/>
  <c r="O13" i="79"/>
  <c r="I16" i="79"/>
  <c r="AJ16" i="79"/>
  <c r="AI18" i="79"/>
  <c r="U18" i="79"/>
  <c r="AH18" i="79"/>
  <c r="T18" i="79"/>
  <c r="Q18" i="79"/>
  <c r="AR18" i="79"/>
  <c r="AJ18" i="79"/>
  <c r="AU18" i="79"/>
  <c r="AG18" i="79"/>
  <c r="S18" i="79"/>
  <c r="AT18" i="79"/>
  <c r="AF18" i="79"/>
  <c r="R18" i="79"/>
  <c r="P18" i="79"/>
  <c r="AS18" i="79"/>
  <c r="AE18" i="79"/>
  <c r="AD18" i="79"/>
  <c r="V18" i="79"/>
  <c r="H18" i="79"/>
  <c r="AQ18" i="79"/>
  <c r="AC18" i="79"/>
  <c r="O18" i="79"/>
  <c r="AP18" i="79"/>
  <c r="AB18" i="79"/>
  <c r="N18" i="79"/>
  <c r="AO18" i="79"/>
  <c r="AA18" i="79"/>
  <c r="M18" i="79"/>
  <c r="AM18" i="79"/>
  <c r="K18" i="79"/>
  <c r="AL18" i="79"/>
  <c r="J18" i="79"/>
  <c r="AK18" i="79"/>
  <c r="I18" i="79"/>
  <c r="AN18" i="79"/>
  <c r="Z18" i="79"/>
  <c r="L18" i="79"/>
  <c r="Y18" i="79"/>
  <c r="X18" i="79"/>
  <c r="W18" i="79"/>
  <c r="AH20" i="79"/>
  <c r="AD31" i="79" s="1"/>
  <c r="T20" i="79"/>
  <c r="P31" i="79" s="1"/>
  <c r="AU20" i="79"/>
  <c r="AG20" i="79"/>
  <c r="S20" i="79"/>
  <c r="AT20" i="79"/>
  <c r="AP31" i="79" s="1"/>
  <c r="AF20" i="79"/>
  <c r="AB31" i="79" s="1"/>
  <c r="R20" i="79"/>
  <c r="N31" i="79" s="1"/>
  <c r="AS20" i="79"/>
  <c r="AO31" i="79" s="1"/>
  <c r="AE20" i="79"/>
  <c r="AA31" i="79" s="1"/>
  <c r="Q20" i="79"/>
  <c r="M31" i="79" s="1"/>
  <c r="P20" i="79"/>
  <c r="L31" i="79" s="1"/>
  <c r="AQ20" i="79"/>
  <c r="U20" i="79"/>
  <c r="AR20" i="79"/>
  <c r="AN31" i="79" s="1"/>
  <c r="AD20" i="79"/>
  <c r="Z31" i="79" s="1"/>
  <c r="AC20" i="79"/>
  <c r="O20" i="79"/>
  <c r="AI20" i="79"/>
  <c r="AE31" i="79" s="1"/>
  <c r="AP20" i="79"/>
  <c r="AL31" i="79" s="1"/>
  <c r="AB20" i="79"/>
  <c r="X31" i="79" s="1"/>
  <c r="N20" i="79"/>
  <c r="J31" i="79" s="1"/>
  <c r="AO20" i="79"/>
  <c r="AA20" i="79"/>
  <c r="W31" i="79" s="1"/>
  <c r="M20" i="79"/>
  <c r="AN20" i="79"/>
  <c r="Z20" i="79"/>
  <c r="L20" i="79"/>
  <c r="X20" i="79"/>
  <c r="T31" i="79" s="1"/>
  <c r="W20" i="79"/>
  <c r="S31" i="79" s="1"/>
  <c r="AJ20" i="79"/>
  <c r="AF31" i="79" s="1"/>
  <c r="H20" i="79"/>
  <c r="D31" i="79" s="1"/>
  <c r="D8" i="3" s="1"/>
  <c r="AM20" i="79"/>
  <c r="AI31" i="79" s="1"/>
  <c r="Y20" i="79"/>
  <c r="U31" i="79" s="1"/>
  <c r="K20" i="79"/>
  <c r="G31" i="79" s="1"/>
  <c r="AL20" i="79"/>
  <c r="AH31" i="79" s="1"/>
  <c r="J20" i="79"/>
  <c r="F31" i="79" s="1"/>
  <c r="AK20" i="79"/>
  <c r="AG31" i="79" s="1"/>
  <c r="I20" i="79"/>
  <c r="E31" i="79" s="1"/>
  <c r="V20" i="79"/>
  <c r="R31" i="79" s="1"/>
  <c r="L21" i="79"/>
  <c r="Z21" i="79"/>
  <c r="AN21" i="79"/>
  <c r="M21" i="79"/>
  <c r="AA21" i="79"/>
  <c r="AO21" i="79"/>
  <c r="O21" i="79"/>
  <c r="AC21" i="79"/>
  <c r="AQ21" i="79"/>
  <c r="E17" i="79"/>
  <c r="F17" i="79" s="1"/>
  <c r="S21" i="79"/>
  <c r="AG21" i="79"/>
  <c r="AU21" i="79"/>
  <c r="U21" i="79"/>
  <c r="AQ22" i="61"/>
  <c r="AQ4" i="64"/>
  <c r="AQ21" i="64"/>
  <c r="AQ24" i="64"/>
  <c r="AQ26" i="64" s="1"/>
  <c r="AQ31" i="64" s="1"/>
  <c r="AQ25" i="64"/>
  <c r="AQ30" i="64" s="1"/>
  <c r="AQ38" i="64"/>
  <c r="AQ41" i="64"/>
  <c r="AQ42" i="64" s="1"/>
  <c r="AQ47" i="64" s="1"/>
  <c r="AQ50" i="64" s="1"/>
  <c r="AQ43" i="64"/>
  <c r="AQ44" i="64"/>
  <c r="AQ48" i="64"/>
  <c r="AQ49" i="64"/>
  <c r="U12" i="51" l="1"/>
  <c r="U46" i="23" s="1"/>
  <c r="Z12" i="51"/>
  <c r="Z46" i="23" s="1"/>
  <c r="AC12" i="51"/>
  <c r="AC46" i="23" s="1"/>
  <c r="AN6" i="46"/>
  <c r="AN6" i="24" s="1"/>
  <c r="V12" i="46"/>
  <c r="V7" i="24" s="1"/>
  <c r="AK6" i="46"/>
  <c r="AK6" i="24" s="1"/>
  <c r="AA12" i="46"/>
  <c r="AA7" i="24" s="1"/>
  <c r="AE12" i="46"/>
  <c r="AE7" i="24" s="1"/>
  <c r="AG12" i="46"/>
  <c r="AG7" i="24" s="1"/>
  <c r="AJ12" i="46"/>
  <c r="AJ7" i="24" s="1"/>
  <c r="AO12" i="46"/>
  <c r="AO7" i="24" s="1"/>
  <c r="D12" i="46"/>
  <c r="V6" i="46"/>
  <c r="V6" i="24" s="1"/>
  <c r="J6" i="46"/>
  <c r="J6" i="24" s="1"/>
  <c r="M6" i="46"/>
  <c r="M6" i="24" s="1"/>
  <c r="J12" i="46"/>
  <c r="J7" i="24" s="1"/>
  <c r="AF6" i="46"/>
  <c r="AF6" i="24" s="1"/>
  <c r="AJ6" i="46"/>
  <c r="AJ6" i="24" s="1"/>
  <c r="X6" i="46"/>
  <c r="X6" i="24" s="1"/>
  <c r="X12" i="46"/>
  <c r="X7" i="24" s="1"/>
  <c r="O12" i="46"/>
  <c r="O7" i="24" s="1"/>
  <c r="AP6" i="46"/>
  <c r="AP6" i="24" s="1"/>
  <c r="AP8" i="24" s="1"/>
  <c r="D6" i="46"/>
  <c r="T12" i="51"/>
  <c r="T46" i="23" s="1"/>
  <c r="P12" i="51"/>
  <c r="P46" i="23" s="1"/>
  <c r="AK12" i="46"/>
  <c r="AK7" i="24" s="1"/>
  <c r="Q12" i="51"/>
  <c r="Q46" i="23" s="1"/>
  <c r="S12" i="46"/>
  <c r="S7" i="24" s="1"/>
  <c r="AI12" i="51"/>
  <c r="AI46" i="23" s="1"/>
  <c r="AB12" i="51"/>
  <c r="AB46" i="23" s="1"/>
  <c r="AE12" i="51"/>
  <c r="AE46" i="23" s="1"/>
  <c r="AP12" i="46"/>
  <c r="AP7" i="24" s="1"/>
  <c r="AC12" i="46"/>
  <c r="AC7" i="24" s="1"/>
  <c r="AM12" i="51"/>
  <c r="AM46" i="23" s="1"/>
  <c r="AG6" i="46"/>
  <c r="AG6" i="24" s="1"/>
  <c r="H12" i="46"/>
  <c r="H7" i="24" s="1"/>
  <c r="J12" i="51"/>
  <c r="J46" i="23" s="1"/>
  <c r="AD12" i="51"/>
  <c r="AD46" i="23" s="1"/>
  <c r="S12" i="51"/>
  <c r="S46" i="23" s="1"/>
  <c r="K12" i="46"/>
  <c r="K7" i="24" s="1"/>
  <c r="AL12" i="46"/>
  <c r="AL7" i="24" s="1"/>
  <c r="H6" i="46"/>
  <c r="H6" i="24" s="1"/>
  <c r="W12" i="51"/>
  <c r="W46" i="23" s="1"/>
  <c r="I12" i="51"/>
  <c r="I46" i="23" s="1"/>
  <c r="Z12" i="46"/>
  <c r="Z7" i="24" s="1"/>
  <c r="AF12" i="51"/>
  <c r="AF46" i="23" s="1"/>
  <c r="X12" i="51"/>
  <c r="X46" i="23" s="1"/>
  <c r="R12" i="51"/>
  <c r="R46" i="23" s="1"/>
  <c r="K12" i="51"/>
  <c r="K46" i="23" s="1"/>
  <c r="Y12" i="46"/>
  <c r="Y7" i="24" s="1"/>
  <c r="AA6" i="46"/>
  <c r="AA6" i="24" s="1"/>
  <c r="I6" i="46"/>
  <c r="I6" i="24" s="1"/>
  <c r="AQ6" i="46"/>
  <c r="AQ6" i="24" s="1"/>
  <c r="AQ8" i="24" s="1"/>
  <c r="AD6" i="46"/>
  <c r="AD6" i="24" s="1"/>
  <c r="F12" i="46"/>
  <c r="F7" i="24" s="1"/>
  <c r="AB12" i="46"/>
  <c r="AB7" i="24" s="1"/>
  <c r="AQ12" i="46"/>
  <c r="AQ7" i="24" s="1"/>
  <c r="AK12" i="51"/>
  <c r="AK46" i="23" s="1"/>
  <c r="AD12" i="46"/>
  <c r="AD7" i="24" s="1"/>
  <c r="V12" i="51"/>
  <c r="V46" i="23" s="1"/>
  <c r="Z6" i="46"/>
  <c r="Z6" i="24" s="1"/>
  <c r="AL12" i="51"/>
  <c r="AL46" i="23" s="1"/>
  <c r="AG12" i="51"/>
  <c r="AG46" i="23" s="1"/>
  <c r="Y12" i="51"/>
  <c r="Y46" i="23" s="1"/>
  <c r="AM12" i="46"/>
  <c r="AM7" i="24" s="1"/>
  <c r="AL6" i="46"/>
  <c r="AL6" i="24" s="1"/>
  <c r="F6" i="46"/>
  <c r="F6" i="24" s="1"/>
  <c r="W12" i="46"/>
  <c r="W7" i="24" s="1"/>
  <c r="AH6" i="46"/>
  <c r="AH6" i="24" s="1"/>
  <c r="E6" i="46"/>
  <c r="E6" i="24" s="1"/>
  <c r="P12" i="46"/>
  <c r="P7" i="24" s="1"/>
  <c r="G12" i="46"/>
  <c r="G7" i="24" s="1"/>
  <c r="S6" i="46"/>
  <c r="S6" i="24" s="1"/>
  <c r="Y6" i="46"/>
  <c r="Y6" i="24" s="1"/>
  <c r="M12" i="51"/>
  <c r="M46" i="23" s="1"/>
  <c r="R6" i="46"/>
  <c r="R6" i="24" s="1"/>
  <c r="L6" i="46"/>
  <c r="L6" i="24" s="1"/>
  <c r="AO6" i="46"/>
  <c r="AO6" i="24" s="1"/>
  <c r="AE6" i="46"/>
  <c r="AE6" i="24" s="1"/>
  <c r="AI6" i="46"/>
  <c r="AI6" i="24" s="1"/>
  <c r="E12" i="46"/>
  <c r="E7" i="24" s="1"/>
  <c r="AJ12" i="51"/>
  <c r="AJ46" i="23" s="1"/>
  <c r="Q12" i="46"/>
  <c r="Q7" i="24" s="1"/>
  <c r="N12" i="51"/>
  <c r="N46" i="23" s="1"/>
  <c r="O6" i="46"/>
  <c r="O6" i="24" s="1"/>
  <c r="AB6" i="46"/>
  <c r="AB6" i="24" s="1"/>
  <c r="AM6" i="46"/>
  <c r="AM6" i="24" s="1"/>
  <c r="AI12" i="46"/>
  <c r="AI7" i="24" s="1"/>
  <c r="AF12" i="46"/>
  <c r="AF7" i="24" s="1"/>
  <c r="Q6" i="46"/>
  <c r="Q6" i="24" s="1"/>
  <c r="U6" i="46"/>
  <c r="U6" i="24" s="1"/>
  <c r="P6" i="46"/>
  <c r="P6" i="24" s="1"/>
  <c r="AO12" i="51"/>
  <c r="AO46" i="23" s="1"/>
  <c r="AP12" i="51"/>
  <c r="AP46" i="23" s="1"/>
  <c r="R12" i="46"/>
  <c r="R7" i="24" s="1"/>
  <c r="O12" i="51"/>
  <c r="O46" i="23" s="1"/>
  <c r="AH12" i="51"/>
  <c r="AH46" i="23" s="1"/>
  <c r="L12" i="51"/>
  <c r="L46" i="23" s="1"/>
  <c r="N12" i="46"/>
  <c r="N7" i="24" s="1"/>
  <c r="I12" i="46"/>
  <c r="I7" i="24" s="1"/>
  <c r="AC6" i="46"/>
  <c r="AC6" i="24" s="1"/>
  <c r="T6" i="46"/>
  <c r="T6" i="24" s="1"/>
  <c r="T12" i="46"/>
  <c r="T7" i="24" s="1"/>
  <c r="AQ12" i="51"/>
  <c r="AQ46" i="23" s="1"/>
  <c r="AH12" i="46"/>
  <c r="AH7" i="24" s="1"/>
  <c r="L12" i="46"/>
  <c r="L7" i="24" s="1"/>
  <c r="K6" i="46"/>
  <c r="K6" i="24" s="1"/>
  <c r="AN12" i="51"/>
  <c r="AN46" i="23" s="1"/>
  <c r="N6" i="46"/>
  <c r="N6" i="24" s="1"/>
  <c r="U12" i="46"/>
  <c r="U7" i="24" s="1"/>
  <c r="AN12" i="46"/>
  <c r="AN7" i="24" s="1"/>
  <c r="G6" i="46"/>
  <c r="G6" i="24" s="1"/>
  <c r="AA12" i="51"/>
  <c r="AA46" i="23" s="1"/>
  <c r="W6" i="46"/>
  <c r="W6" i="24" s="1"/>
  <c r="M12" i="46"/>
  <c r="M7" i="24" s="1"/>
  <c r="E35" i="23"/>
  <c r="E12" i="51"/>
  <c r="E46" i="23" s="1"/>
  <c r="Z16" i="79"/>
  <c r="AP11" i="79"/>
  <c r="AF11" i="79"/>
  <c r="L11" i="79"/>
  <c r="O11" i="79"/>
  <c r="AQ38" i="70"/>
  <c r="AQ57" i="70"/>
  <c r="AQ60" i="70" s="1"/>
  <c r="AQ61" i="70" s="1"/>
  <c r="AQ66" i="70" s="1"/>
  <c r="AQ72" i="70" s="1"/>
  <c r="AM11" i="79"/>
  <c r="E12" i="81"/>
  <c r="E48" i="70" s="1"/>
  <c r="E59" i="70" s="1"/>
  <c r="E35" i="70"/>
  <c r="AE11" i="79"/>
  <c r="F12" i="81"/>
  <c r="F48" i="70" s="1"/>
  <c r="F59" i="70" s="1"/>
  <c r="F35" i="70"/>
  <c r="N11" i="79"/>
  <c r="R11" i="79"/>
  <c r="AK11" i="79"/>
  <c r="L16" i="79"/>
  <c r="AQ11" i="79"/>
  <c r="AT11" i="79"/>
  <c r="AH11" i="79"/>
  <c r="D12" i="81"/>
  <c r="D48" i="70" s="1"/>
  <c r="D59" i="70" s="1"/>
  <c r="C6" i="81"/>
  <c r="D35" i="70"/>
  <c r="C35" i="70" s="1"/>
  <c r="G12" i="81"/>
  <c r="G48" i="70" s="1"/>
  <c r="G59" i="70" s="1"/>
  <c r="G35" i="70"/>
  <c r="AS11" i="79"/>
  <c r="I11" i="79"/>
  <c r="AC11" i="79"/>
  <c r="AN16" i="79"/>
  <c r="P11" i="79"/>
  <c r="S11" i="79"/>
  <c r="U11" i="79"/>
  <c r="D12" i="51"/>
  <c r="D46" i="23" s="1"/>
  <c r="C6" i="51"/>
  <c r="D35" i="23"/>
  <c r="AJ11" i="79"/>
  <c r="AC16" i="79"/>
  <c r="AD11" i="79"/>
  <c r="AG11" i="79"/>
  <c r="AI11" i="79"/>
  <c r="Y11" i="79"/>
  <c r="V11" i="79"/>
  <c r="W11" i="79"/>
  <c r="J16" i="79"/>
  <c r="AR11" i="79"/>
  <c r="AU11" i="79"/>
  <c r="J11" i="79"/>
  <c r="Q11" i="79"/>
  <c r="AL16" i="79"/>
  <c r="M11" i="79"/>
  <c r="AN11" i="79"/>
  <c r="X11" i="79"/>
  <c r="F35" i="23"/>
  <c r="F12" i="51"/>
  <c r="F46" i="23" s="1"/>
  <c r="AA11" i="79"/>
  <c r="AU16" i="79"/>
  <c r="AO11" i="79"/>
  <c r="Z11" i="79"/>
  <c r="T29" i="80"/>
  <c r="AG36" i="80"/>
  <c r="AG29" i="80"/>
  <c r="AM36" i="80"/>
  <c r="AN29" i="80"/>
  <c r="AH36" i="80"/>
  <c r="G46" i="23"/>
  <c r="AO29" i="80"/>
  <c r="AJ36" i="80"/>
  <c r="Z36" i="80"/>
  <c r="AN31" i="80"/>
  <c r="N29" i="80"/>
  <c r="AQ36" i="80"/>
  <c r="Y36" i="80"/>
  <c r="H36" i="80"/>
  <c r="AI29" i="80"/>
  <c r="U36" i="80"/>
  <c r="AN36" i="80"/>
  <c r="AB29" i="80"/>
  <c r="AR36" i="80"/>
  <c r="AK36" i="80"/>
  <c r="H48" i="70"/>
  <c r="AI36" i="80"/>
  <c r="L29" i="80"/>
  <c r="W36" i="80"/>
  <c r="AE29" i="80"/>
  <c r="S36" i="80"/>
  <c r="J36" i="80"/>
  <c r="AA29" i="80"/>
  <c r="AL36" i="80"/>
  <c r="AU36" i="80"/>
  <c r="M36" i="80"/>
  <c r="AE31" i="80"/>
  <c r="O29" i="80"/>
  <c r="AS36" i="80"/>
  <c r="AC18" i="46"/>
  <c r="AC15" i="24" s="1"/>
  <c r="AK24" i="46"/>
  <c r="AK16" i="24" s="1"/>
  <c r="M18" i="46"/>
  <c r="M15" i="24" s="1"/>
  <c r="AP24" i="46"/>
  <c r="AP16" i="24" s="1"/>
  <c r="R24" i="46"/>
  <c r="R16" i="24" s="1"/>
  <c r="AG24" i="46"/>
  <c r="AG16" i="24" s="1"/>
  <c r="AE24" i="46"/>
  <c r="AE16" i="24" s="1"/>
  <c r="E18" i="46"/>
  <c r="E15" i="24" s="1"/>
  <c r="T24" i="46"/>
  <c r="T16" i="24" s="1"/>
  <c r="K24" i="46"/>
  <c r="K16" i="24" s="1"/>
  <c r="AB24" i="46"/>
  <c r="AB16" i="24" s="1"/>
  <c r="Q18" i="46"/>
  <c r="Q15" i="24" s="1"/>
  <c r="N18" i="46"/>
  <c r="N15" i="24" s="1"/>
  <c r="AI24" i="46"/>
  <c r="AI16" i="24" s="1"/>
  <c r="AD18" i="46"/>
  <c r="AD15" i="24" s="1"/>
  <c r="I18" i="46"/>
  <c r="I15" i="24" s="1"/>
  <c r="D24" i="46"/>
  <c r="AL18" i="46"/>
  <c r="AL15" i="24" s="1"/>
  <c r="AF18" i="46"/>
  <c r="AF15" i="24" s="1"/>
  <c r="P18" i="46"/>
  <c r="P15" i="24" s="1"/>
  <c r="K18" i="46"/>
  <c r="K15" i="24" s="1"/>
  <c r="N24" i="46"/>
  <c r="N16" i="24" s="1"/>
  <c r="F24" i="46"/>
  <c r="F16" i="24" s="1"/>
  <c r="AQ24" i="46"/>
  <c r="AQ16" i="24" s="1"/>
  <c r="AQ25" i="24" s="1"/>
  <c r="AQ34" i="24" s="1"/>
  <c r="AN24" i="46"/>
  <c r="AN16" i="24" s="1"/>
  <c r="AJ18" i="46"/>
  <c r="AJ15" i="24" s="1"/>
  <c r="P24" i="46"/>
  <c r="P16" i="24" s="1"/>
  <c r="J18" i="46"/>
  <c r="J15" i="24" s="1"/>
  <c r="X18" i="46"/>
  <c r="X15" i="24" s="1"/>
  <c r="AA24" i="46"/>
  <c r="AA16" i="24" s="1"/>
  <c r="AM24" i="46"/>
  <c r="AM16" i="24" s="1"/>
  <c r="I24" i="46"/>
  <c r="I16" i="24" s="1"/>
  <c r="AO18" i="46"/>
  <c r="AO15" i="24" s="1"/>
  <c r="D18" i="46"/>
  <c r="Y18" i="46"/>
  <c r="Y15" i="24" s="1"/>
  <c r="O24" i="46"/>
  <c r="O16" i="24" s="1"/>
  <c r="H18" i="46"/>
  <c r="H15" i="24" s="1"/>
  <c r="V18" i="46"/>
  <c r="V15" i="24" s="1"/>
  <c r="AE18" i="46"/>
  <c r="AE15" i="24" s="1"/>
  <c r="AJ24" i="46"/>
  <c r="AJ16" i="24" s="1"/>
  <c r="M24" i="46"/>
  <c r="M16" i="24" s="1"/>
  <c r="AL24" i="46"/>
  <c r="AL16" i="24" s="1"/>
  <c r="Y24" i="46"/>
  <c r="Y16" i="24" s="1"/>
  <c r="AA18" i="46"/>
  <c r="AA15" i="24" s="1"/>
  <c r="S18" i="46"/>
  <c r="S15" i="24" s="1"/>
  <c r="F18" i="46"/>
  <c r="F15" i="24" s="1"/>
  <c r="AM18" i="46"/>
  <c r="AM15" i="24" s="1"/>
  <c r="L24" i="46"/>
  <c r="L16" i="24" s="1"/>
  <c r="AC24" i="46"/>
  <c r="AC16" i="24" s="1"/>
  <c r="AH24" i="46"/>
  <c r="AH16" i="24" s="1"/>
  <c r="Z24" i="46"/>
  <c r="Z16" i="24" s="1"/>
  <c r="H24" i="46"/>
  <c r="H16" i="24" s="1"/>
  <c r="T18" i="46"/>
  <c r="T15" i="24" s="1"/>
  <c r="AD24" i="46"/>
  <c r="AD16" i="24" s="1"/>
  <c r="AI18" i="46"/>
  <c r="AI15" i="24" s="1"/>
  <c r="Z18" i="46"/>
  <c r="Z15" i="24" s="1"/>
  <c r="AN18" i="46"/>
  <c r="AN15" i="24" s="1"/>
  <c r="AH18" i="46"/>
  <c r="AH15" i="24" s="1"/>
  <c r="AP18" i="46"/>
  <c r="AP15" i="24" s="1"/>
  <c r="W18" i="46"/>
  <c r="W15" i="24" s="1"/>
  <c r="R18" i="46"/>
  <c r="R15" i="24" s="1"/>
  <c r="AO24" i="46"/>
  <c r="AO16" i="24" s="1"/>
  <c r="E24" i="46"/>
  <c r="E16" i="24" s="1"/>
  <c r="AQ18" i="46"/>
  <c r="AQ15" i="24" s="1"/>
  <c r="G24" i="46"/>
  <c r="G16" i="24" s="1"/>
  <c r="AG18" i="46"/>
  <c r="AG15" i="24" s="1"/>
  <c r="G18" i="46"/>
  <c r="G15" i="24" s="1"/>
  <c r="U18" i="46"/>
  <c r="U15" i="24" s="1"/>
  <c r="O18" i="46"/>
  <c r="O15" i="24" s="1"/>
  <c r="U24" i="46"/>
  <c r="U16" i="24" s="1"/>
  <c r="V24" i="46"/>
  <c r="V16" i="24" s="1"/>
  <c r="AF24" i="46"/>
  <c r="AF16" i="24" s="1"/>
  <c r="AB18" i="46"/>
  <c r="AB15" i="24" s="1"/>
  <c r="J24" i="46"/>
  <c r="J16" i="24" s="1"/>
  <c r="X24" i="46"/>
  <c r="X16" i="24" s="1"/>
  <c r="AK18" i="46"/>
  <c r="AK15" i="24" s="1"/>
  <c r="L18" i="46"/>
  <c r="L15" i="24" s="1"/>
  <c r="Q24" i="46"/>
  <c r="Q16" i="24" s="1"/>
  <c r="W24" i="46"/>
  <c r="W16" i="24" s="1"/>
  <c r="S24" i="46"/>
  <c r="S16" i="24" s="1"/>
  <c r="AL29" i="80"/>
  <c r="L36" i="80"/>
  <c r="AA36" i="80"/>
  <c r="AC36" i="80"/>
  <c r="AO36" i="80"/>
  <c r="AR29" i="80"/>
  <c r="S29" i="80"/>
  <c r="AF36" i="80"/>
  <c r="V36" i="80"/>
  <c r="P29" i="80"/>
  <c r="O36" i="80"/>
  <c r="AT36" i="80"/>
  <c r="N36" i="80"/>
  <c r="H31" i="80"/>
  <c r="Q29" i="80"/>
  <c r="P36" i="80"/>
  <c r="U29" i="80"/>
  <c r="AA21" i="80"/>
  <c r="N21" i="80"/>
  <c r="O31" i="80"/>
  <c r="AC31" i="80"/>
  <c r="AP31" i="80"/>
  <c r="AQ31" i="80"/>
  <c r="S31" i="80"/>
  <c r="W31" i="80"/>
  <c r="P31" i="80"/>
  <c r="T31" i="80"/>
  <c r="AR31" i="80"/>
  <c r="L31" i="80"/>
  <c r="AP29" i="80"/>
  <c r="AU29" i="80"/>
  <c r="AT29" i="80"/>
  <c r="V29" i="80"/>
  <c r="AC29" i="80"/>
  <c r="Y29" i="80"/>
  <c r="AQ29" i="80"/>
  <c r="AH29" i="80"/>
  <c r="AS29" i="80"/>
  <c r="AJ29" i="80"/>
  <c r="R29" i="80"/>
  <c r="M29" i="80"/>
  <c r="AD29" i="80"/>
  <c r="X29" i="80"/>
  <c r="S34" i="80"/>
  <c r="I31" i="80"/>
  <c r="AA31" i="80"/>
  <c r="AI31" i="80"/>
  <c r="AU31" i="80"/>
  <c r="AS31" i="80"/>
  <c r="Y31" i="80"/>
  <c r="AJ34" i="80"/>
  <c r="M31" i="80"/>
  <c r="U34" i="80"/>
  <c r="N31" i="80"/>
  <c r="W34" i="80"/>
  <c r="AC49" i="80"/>
  <c r="AC50" i="80" s="1"/>
  <c r="K31" i="80"/>
  <c r="AB31" i="80"/>
  <c r="Z34" i="80"/>
  <c r="AS34" i="80"/>
  <c r="AB34" i="80"/>
  <c r="I34" i="80"/>
  <c r="V34" i="80"/>
  <c r="AP34" i="80"/>
  <c r="T34" i="80"/>
  <c r="AT34" i="80"/>
  <c r="O34" i="80"/>
  <c r="J34" i="80"/>
  <c r="Q34" i="80"/>
  <c r="AT31" i="80"/>
  <c r="AD31" i="80"/>
  <c r="Y34" i="80"/>
  <c r="AD34" i="80"/>
  <c r="R34" i="80"/>
  <c r="AE36" i="80"/>
  <c r="AK29" i="80"/>
  <c r="AU34" i="80"/>
  <c r="K34" i="80"/>
  <c r="X34" i="80"/>
  <c r="P34" i="80"/>
  <c r="L34" i="80"/>
  <c r="AR34" i="80"/>
  <c r="AF49" i="80"/>
  <c r="AF50" i="80" s="1"/>
  <c r="AG31" i="80"/>
  <c r="AE34" i="80"/>
  <c r="AQ34" i="80"/>
  <c r="AN34" i="80"/>
  <c r="X31" i="80"/>
  <c r="Q31" i="80"/>
  <c r="M34" i="80"/>
  <c r="AJ31" i="80"/>
  <c r="AF34" i="80"/>
  <c r="AH31" i="80"/>
  <c r="AH34" i="80"/>
  <c r="AA34" i="80"/>
  <c r="AK34" i="80"/>
  <c r="Z31" i="80"/>
  <c r="AO34" i="80"/>
  <c r="AM29" i="80"/>
  <c r="AK31" i="79"/>
  <c r="AQ31" i="79"/>
  <c r="AQ8" i="3" s="1"/>
  <c r="H31" i="79"/>
  <c r="H8" i="3" s="1"/>
  <c r="AD49" i="80"/>
  <c r="AD19" i="3" s="1"/>
  <c r="Z13" i="79"/>
  <c r="K13" i="79"/>
  <c r="AK13" i="79"/>
  <c r="W13" i="79"/>
  <c r="S13" i="79"/>
  <c r="J13" i="79"/>
  <c r="AB13" i="79"/>
  <c r="AH13" i="79"/>
  <c r="X13" i="79"/>
  <c r="AC13" i="79"/>
  <c r="AN13" i="79"/>
  <c r="Q13" i="79"/>
  <c r="AI13" i="79"/>
  <c r="I13" i="79"/>
  <c r="AU13" i="79"/>
  <c r="AA13" i="79"/>
  <c r="AM13" i="79"/>
  <c r="AL13" i="79"/>
  <c r="AD13" i="79"/>
  <c r="AR13" i="79"/>
  <c r="L13" i="79"/>
  <c r="U13" i="79"/>
  <c r="M13" i="79"/>
  <c r="AE13" i="79"/>
  <c r="H13" i="79"/>
  <c r="AQ13" i="79"/>
  <c r="AO13" i="79"/>
  <c r="AS13" i="79"/>
  <c r="V13" i="79"/>
  <c r="AT13" i="79"/>
  <c r="P13" i="79"/>
  <c r="AG13" i="79"/>
  <c r="T13" i="79"/>
  <c r="N13" i="79"/>
  <c r="AP13" i="79"/>
  <c r="R13" i="79"/>
  <c r="I49" i="80"/>
  <c r="I50" i="80" s="1"/>
  <c r="Y49" i="80"/>
  <c r="Y19" i="3" s="1"/>
  <c r="AM49" i="80"/>
  <c r="AM50" i="80" s="1"/>
  <c r="AE49" i="80"/>
  <c r="AE50" i="80" s="1"/>
  <c r="AA16" i="79"/>
  <c r="AF16" i="79"/>
  <c r="W16" i="79"/>
  <c r="O16" i="79"/>
  <c r="S16" i="79"/>
  <c r="AK16" i="79"/>
  <c r="AQ16" i="79"/>
  <c r="AT16" i="79"/>
  <c r="Y16" i="79"/>
  <c r="M16" i="79"/>
  <c r="T16" i="79"/>
  <c r="AD16" i="79"/>
  <c r="N16" i="79"/>
  <c r="AR16" i="79"/>
  <c r="AI16" i="79"/>
  <c r="P16" i="79"/>
  <c r="AB16" i="79"/>
  <c r="Q16" i="79"/>
  <c r="R16" i="79"/>
  <c r="AP16" i="79"/>
  <c r="AE16" i="79"/>
  <c r="AG16" i="79"/>
  <c r="AH16" i="79"/>
  <c r="AO16" i="79"/>
  <c r="K16" i="79"/>
  <c r="AS16" i="79"/>
  <c r="H16" i="79"/>
  <c r="U16" i="79"/>
  <c r="AM16" i="79"/>
  <c r="X16" i="79"/>
  <c r="AG49" i="80"/>
  <c r="AG50" i="80" s="1"/>
  <c r="F49" i="80"/>
  <c r="F50" i="80" s="1"/>
  <c r="D49" i="80"/>
  <c r="D19" i="3" s="1"/>
  <c r="O49" i="80"/>
  <c r="O19" i="3" s="1"/>
  <c r="AH49" i="80"/>
  <c r="AH19" i="3" s="1"/>
  <c r="Z32" i="79"/>
  <c r="Z8" i="3"/>
  <c r="L32" i="79"/>
  <c r="L8" i="3"/>
  <c r="AG32" i="79"/>
  <c r="AG8" i="3"/>
  <c r="W32" i="79"/>
  <c r="W8" i="3"/>
  <c r="AA32" i="79"/>
  <c r="AA8" i="3"/>
  <c r="AQ32" i="79"/>
  <c r="S32" i="79"/>
  <c r="S8" i="3"/>
  <c r="P32" i="79"/>
  <c r="P8" i="3"/>
  <c r="T32" i="79"/>
  <c r="T8" i="3"/>
  <c r="H32" i="79"/>
  <c r="R32" i="79"/>
  <c r="R8" i="3"/>
  <c r="M32" i="79"/>
  <c r="M8" i="3"/>
  <c r="AO32" i="79"/>
  <c r="AO8" i="3"/>
  <c r="AH32" i="79"/>
  <c r="AH8" i="3"/>
  <c r="AB32" i="79"/>
  <c r="AB8" i="3"/>
  <c r="U32" i="79"/>
  <c r="U8" i="3"/>
  <c r="AL32" i="79"/>
  <c r="AL8" i="3"/>
  <c r="AP32" i="79"/>
  <c r="AP8" i="3"/>
  <c r="AN32" i="79"/>
  <c r="AN8" i="3"/>
  <c r="E32" i="79"/>
  <c r="E8" i="3"/>
  <c r="AK32" i="79"/>
  <c r="AK8" i="3"/>
  <c r="N32" i="79"/>
  <c r="N8" i="3"/>
  <c r="X32" i="79"/>
  <c r="X8" i="3"/>
  <c r="AI32" i="79"/>
  <c r="AI8" i="3"/>
  <c r="AE32" i="79"/>
  <c r="AE8" i="3"/>
  <c r="AF32" i="79"/>
  <c r="AF8" i="3"/>
  <c r="AD32" i="79"/>
  <c r="AD8" i="3"/>
  <c r="F32" i="79"/>
  <c r="F8" i="3"/>
  <c r="J32" i="79"/>
  <c r="J8" i="3"/>
  <c r="G32" i="79"/>
  <c r="G8" i="3"/>
  <c r="D17" i="40"/>
  <c r="E11" i="40"/>
  <c r="D40" i="43"/>
  <c r="D41" i="43"/>
  <c r="D7" i="42"/>
  <c r="D6" i="42"/>
  <c r="D42" i="43"/>
  <c r="G7" i="64"/>
  <c r="D7" i="50"/>
  <c r="D5" i="42"/>
  <c r="F7" i="50"/>
  <c r="F5" i="35" s="1"/>
  <c r="F5" i="42"/>
  <c r="E7" i="50"/>
  <c r="E5" i="35" s="1"/>
  <c r="E5" i="42"/>
  <c r="AQ50" i="10"/>
  <c r="Z49" i="80"/>
  <c r="L49" i="80"/>
  <c r="P49" i="80"/>
  <c r="U49" i="80"/>
  <c r="AI17" i="80"/>
  <c r="U17" i="80"/>
  <c r="AH17" i="80"/>
  <c r="T17" i="80"/>
  <c r="AU17" i="80"/>
  <c r="AG17" i="80"/>
  <c r="S17" i="80"/>
  <c r="AT17" i="80"/>
  <c r="AF17" i="80"/>
  <c r="R17" i="80"/>
  <c r="AJ17" i="80"/>
  <c r="N17" i="80"/>
  <c r="K17" i="80"/>
  <c r="AE17" i="80"/>
  <c r="M17" i="80"/>
  <c r="AD17" i="80"/>
  <c r="L17" i="80"/>
  <c r="AC17" i="80"/>
  <c r="AR17" i="80"/>
  <c r="V17" i="80"/>
  <c r="O17" i="80"/>
  <c r="AN17" i="80"/>
  <c r="AQ17" i="80"/>
  <c r="Q17" i="80"/>
  <c r="AP17" i="80"/>
  <c r="P17" i="80"/>
  <c r="AO17" i="80"/>
  <c r="J17" i="80"/>
  <c r="AM17" i="80"/>
  <c r="AS17" i="80"/>
  <c r="W17" i="80"/>
  <c r="I17" i="80"/>
  <c r="X17" i="80"/>
  <c r="H17" i="80"/>
  <c r="AK17" i="80"/>
  <c r="AA17" i="80"/>
  <c r="Y17" i="80"/>
  <c r="AL17" i="80"/>
  <c r="AB17" i="80"/>
  <c r="Z17" i="80"/>
  <c r="AH18" i="80"/>
  <c r="T18" i="80"/>
  <c r="AU18" i="80"/>
  <c r="AG18" i="80"/>
  <c r="S18" i="80"/>
  <c r="AT18" i="80"/>
  <c r="AF18" i="80"/>
  <c r="R18" i="80"/>
  <c r="AS18" i="80"/>
  <c r="AE18" i="80"/>
  <c r="Q18" i="80"/>
  <c r="AB18" i="80"/>
  <c r="J18" i="80"/>
  <c r="AA18" i="80"/>
  <c r="I18" i="80"/>
  <c r="AR18" i="80"/>
  <c r="Z18" i="80"/>
  <c r="H18" i="80"/>
  <c r="AQ18" i="80"/>
  <c r="Y18" i="80"/>
  <c r="AD18" i="80"/>
  <c r="AC18" i="80"/>
  <c r="X18" i="80"/>
  <c r="W18" i="80"/>
  <c r="V18" i="80"/>
  <c r="U18" i="80"/>
  <c r="AI18" i="80"/>
  <c r="AJ18" i="80"/>
  <c r="N18" i="80"/>
  <c r="M18" i="80"/>
  <c r="L18" i="80"/>
  <c r="AN18" i="80"/>
  <c r="AL18" i="80"/>
  <c r="P18" i="80"/>
  <c r="AP18" i="80"/>
  <c r="O18" i="80"/>
  <c r="K18" i="80"/>
  <c r="AO18" i="80"/>
  <c r="AM18" i="80"/>
  <c r="AK18" i="80"/>
  <c r="M49" i="80"/>
  <c r="AJ14" i="80"/>
  <c r="V14" i="80"/>
  <c r="H14" i="80"/>
  <c r="AI14" i="80"/>
  <c r="U14" i="80"/>
  <c r="AH14" i="80"/>
  <c r="T14" i="80"/>
  <c r="AU14" i="80"/>
  <c r="AG14" i="80"/>
  <c r="S14" i="80"/>
  <c r="AN14" i="80"/>
  <c r="R14" i="80"/>
  <c r="AM14" i="80"/>
  <c r="Q14" i="80"/>
  <c r="O14" i="80"/>
  <c r="AL14" i="80"/>
  <c r="P14" i="80"/>
  <c r="AK14" i="80"/>
  <c r="AF14" i="80"/>
  <c r="J14" i="80"/>
  <c r="AE14" i="80"/>
  <c r="I14" i="80"/>
  <c r="AD14" i="80"/>
  <c r="AC14" i="80"/>
  <c r="AO14" i="80"/>
  <c r="K14" i="80"/>
  <c r="AB14" i="80"/>
  <c r="M14" i="80"/>
  <c r="AA14" i="80"/>
  <c r="Z14" i="80"/>
  <c r="X14" i="80"/>
  <c r="N14" i="80"/>
  <c r="L14" i="80"/>
  <c r="AT14" i="80"/>
  <c r="AS14" i="80"/>
  <c r="Y14" i="80"/>
  <c r="W14" i="80"/>
  <c r="AR14" i="80"/>
  <c r="AQ14" i="80"/>
  <c r="AP14" i="80"/>
  <c r="H49" i="80"/>
  <c r="K49" i="80"/>
  <c r="AN49" i="80"/>
  <c r="X49" i="80"/>
  <c r="R49" i="80"/>
  <c r="AA49" i="80"/>
  <c r="E49" i="80"/>
  <c r="AO49" i="80"/>
  <c r="G49" i="80"/>
  <c r="AL49" i="80"/>
  <c r="AQ49" i="80"/>
  <c r="N49" i="80"/>
  <c r="AU19" i="80"/>
  <c r="AG19" i="80"/>
  <c r="S19" i="80"/>
  <c r="O19" i="80"/>
  <c r="AT19" i="80"/>
  <c r="AF19" i="80"/>
  <c r="R19" i="80"/>
  <c r="AS19" i="80"/>
  <c r="AE19" i="80"/>
  <c r="Q19" i="80"/>
  <c r="AC19" i="80"/>
  <c r="AR19" i="80"/>
  <c r="AD19" i="80"/>
  <c r="P19" i="80"/>
  <c r="Y19" i="80"/>
  <c r="V19" i="80"/>
  <c r="AQ19" i="80"/>
  <c r="X19" i="80"/>
  <c r="AP19" i="80"/>
  <c r="W19" i="80"/>
  <c r="AO19" i="80"/>
  <c r="AM19" i="80"/>
  <c r="K19" i="80"/>
  <c r="AL19" i="80"/>
  <c r="J19" i="80"/>
  <c r="AK19" i="80"/>
  <c r="I19" i="80"/>
  <c r="AJ19" i="80"/>
  <c r="H19" i="80"/>
  <c r="AN19" i="80"/>
  <c r="L19" i="80"/>
  <c r="AI19" i="80"/>
  <c r="AH19" i="80"/>
  <c r="AB19" i="80"/>
  <c r="AA19" i="80"/>
  <c r="N19" i="80"/>
  <c r="M19" i="80"/>
  <c r="Z19" i="80"/>
  <c r="U19" i="80"/>
  <c r="T19" i="80"/>
  <c r="AI49" i="80"/>
  <c r="T49" i="80"/>
  <c r="AB49" i="80"/>
  <c r="AK12" i="80"/>
  <c r="W12" i="80"/>
  <c r="I12" i="80"/>
  <c r="AJ12" i="80"/>
  <c r="V12" i="80"/>
  <c r="H12" i="80"/>
  <c r="AI12" i="80"/>
  <c r="U12" i="80"/>
  <c r="AH12" i="80"/>
  <c r="T12" i="80"/>
  <c r="AR12" i="80"/>
  <c r="Z12" i="80"/>
  <c r="AQ12" i="80"/>
  <c r="AO12" i="80"/>
  <c r="Y12" i="80"/>
  <c r="AP12" i="80"/>
  <c r="X12" i="80"/>
  <c r="S12" i="80"/>
  <c r="AB12" i="80"/>
  <c r="AA12" i="80"/>
  <c r="R12" i="80"/>
  <c r="Q12" i="80"/>
  <c r="AT12" i="80"/>
  <c r="P12" i="80"/>
  <c r="AS12" i="80"/>
  <c r="AC12" i="80"/>
  <c r="AU12" i="80"/>
  <c r="K12" i="80"/>
  <c r="AG12" i="80"/>
  <c r="AF12" i="80"/>
  <c r="J12" i="80"/>
  <c r="AL12" i="80"/>
  <c r="L12" i="80"/>
  <c r="AN12" i="80"/>
  <c r="AM12" i="80"/>
  <c r="AE12" i="80"/>
  <c r="AD12" i="80"/>
  <c r="O12" i="80"/>
  <c r="N12" i="80"/>
  <c r="M12" i="80"/>
  <c r="V49" i="80"/>
  <c r="Q49" i="80"/>
  <c r="AK49" i="80"/>
  <c r="AJ49" i="80"/>
  <c r="S49" i="80"/>
  <c r="W49" i="80"/>
  <c r="J49" i="80"/>
  <c r="AP49" i="80"/>
  <c r="O31" i="79"/>
  <c r="D32" i="79"/>
  <c r="AC31" i="79"/>
  <c r="Y31" i="79"/>
  <c r="AJ17" i="79"/>
  <c r="AF28" i="79" s="1"/>
  <c r="V17" i="79"/>
  <c r="R28" i="79" s="1"/>
  <c r="H17" i="79"/>
  <c r="AI17" i="79"/>
  <c r="U17" i="79"/>
  <c r="Q17" i="79"/>
  <c r="I17" i="79"/>
  <c r="AH17" i="79"/>
  <c r="T17" i="79"/>
  <c r="AU17" i="79"/>
  <c r="AG17" i="79"/>
  <c r="S17" i="79"/>
  <c r="O28" i="79" s="1"/>
  <c r="R17" i="79"/>
  <c r="W17" i="79"/>
  <c r="AT17" i="79"/>
  <c r="AF17" i="79"/>
  <c r="AE17" i="79"/>
  <c r="AK17" i="79"/>
  <c r="AS17" i="79"/>
  <c r="AR17" i="79"/>
  <c r="AD17" i="79"/>
  <c r="P17" i="79"/>
  <c r="AQ17" i="79"/>
  <c r="AC17" i="79"/>
  <c r="O17" i="79"/>
  <c r="Z17" i="79"/>
  <c r="V28" i="79" s="1"/>
  <c r="V5" i="3" s="1"/>
  <c r="AP17" i="79"/>
  <c r="AB17" i="79"/>
  <c r="N17" i="79"/>
  <c r="L17" i="79"/>
  <c r="H28" i="79" s="1"/>
  <c r="Y17" i="79"/>
  <c r="X17" i="79"/>
  <c r="AO17" i="79"/>
  <c r="AA17" i="79"/>
  <c r="M17" i="79"/>
  <c r="AN17" i="79"/>
  <c r="AM17" i="79"/>
  <c r="K17" i="79"/>
  <c r="AL17" i="79"/>
  <c r="J17" i="79"/>
  <c r="K31" i="79"/>
  <c r="Q31" i="79"/>
  <c r="V31" i="79"/>
  <c r="AM31" i="79"/>
  <c r="AJ31" i="79"/>
  <c r="I31" i="79"/>
  <c r="AQ27" i="64"/>
  <c r="AQ32" i="64" s="1"/>
  <c r="AQ33" i="64" s="1"/>
  <c r="C12" i="46" l="1"/>
  <c r="D7" i="24"/>
  <c r="AO8" i="24"/>
  <c r="AP25" i="24"/>
  <c r="AP34" i="24" s="1"/>
  <c r="F28" i="79"/>
  <c r="F5" i="3" s="1"/>
  <c r="C6" i="46"/>
  <c r="D6" i="24"/>
  <c r="AQ57" i="23"/>
  <c r="AQ60" i="23" s="1"/>
  <c r="AQ61" i="23" s="1"/>
  <c r="AQ66" i="23" s="1"/>
  <c r="AQ72" i="23" s="1"/>
  <c r="AQ19" i="19" s="1"/>
  <c r="AQ49" i="23"/>
  <c r="AO25" i="24"/>
  <c r="AO34" i="24" s="1"/>
  <c r="AQ28" i="79"/>
  <c r="AQ5" i="3" s="1"/>
  <c r="C12" i="81"/>
  <c r="C12" i="51"/>
  <c r="AP57" i="23"/>
  <c r="AP60" i="23" s="1"/>
  <c r="AP61" i="23" s="1"/>
  <c r="AP66" i="23" s="1"/>
  <c r="AP72" i="23" s="1"/>
  <c r="AP19" i="19" s="1"/>
  <c r="AP49" i="23"/>
  <c r="AO57" i="23"/>
  <c r="AO60" i="23" s="1"/>
  <c r="AO61" i="23" s="1"/>
  <c r="AO66" i="23" s="1"/>
  <c r="AO72" i="23" s="1"/>
  <c r="AO19" i="19" s="1"/>
  <c r="AO49" i="23"/>
  <c r="AG28" i="79"/>
  <c r="AG5" i="3" s="1"/>
  <c r="U28" i="79"/>
  <c r="AO17" i="24"/>
  <c r="AO24" i="24"/>
  <c r="D16" i="24"/>
  <c r="C24" i="46"/>
  <c r="AP24" i="24"/>
  <c r="AP17" i="24"/>
  <c r="O50" i="80"/>
  <c r="AQ17" i="24"/>
  <c r="AQ24" i="24"/>
  <c r="H59" i="70"/>
  <c r="C48" i="70"/>
  <c r="AG19" i="3"/>
  <c r="D15" i="24"/>
  <c r="C18" i="46"/>
  <c r="AD50" i="80"/>
  <c r="D50" i="80"/>
  <c r="AF19" i="3"/>
  <c r="AC19" i="3"/>
  <c r="H46" i="80"/>
  <c r="AH28" i="79"/>
  <c r="AH5" i="3" s="1"/>
  <c r="K28" i="79"/>
  <c r="K5" i="3" s="1"/>
  <c r="AC28" i="79"/>
  <c r="AC5" i="3" s="1"/>
  <c r="Q28" i="79"/>
  <c r="Q5" i="3" s="1"/>
  <c r="Y28" i="79"/>
  <c r="Y5" i="3" s="1"/>
  <c r="AM19" i="3"/>
  <c r="Y50" i="80"/>
  <c r="AE19" i="3"/>
  <c r="I19" i="3"/>
  <c r="X46" i="80"/>
  <c r="R46" i="80"/>
  <c r="AF46" i="80"/>
  <c r="AM28" i="79"/>
  <c r="AM5" i="3" s="1"/>
  <c r="AB28" i="79"/>
  <c r="AB30" i="79" s="1"/>
  <c r="AB33" i="79" s="1"/>
  <c r="AI28" i="79"/>
  <c r="AI5" i="3" s="1"/>
  <c r="AJ28" i="79"/>
  <c r="AJ5" i="3" s="1"/>
  <c r="L28" i="79"/>
  <c r="L5" i="3" s="1"/>
  <c r="E28" i="79"/>
  <c r="E5" i="3" s="1"/>
  <c r="AK28" i="79"/>
  <c r="AK30" i="79" s="1"/>
  <c r="AK33" i="79" s="1"/>
  <c r="W28" i="79"/>
  <c r="W5" i="3" s="1"/>
  <c r="M28" i="79"/>
  <c r="M5" i="3" s="1"/>
  <c r="T28" i="79"/>
  <c r="T30" i="79" s="1"/>
  <c r="T33" i="79" s="1"/>
  <c r="AE28" i="79"/>
  <c r="AE30" i="79" s="1"/>
  <c r="AE33" i="79" s="1"/>
  <c r="AH50" i="80"/>
  <c r="F19" i="3"/>
  <c r="AL46" i="80"/>
  <c r="K46" i="80"/>
  <c r="L46" i="80"/>
  <c r="P46" i="80"/>
  <c r="AD46" i="80"/>
  <c r="Z46" i="80"/>
  <c r="J28" i="79"/>
  <c r="J5" i="3" s="1"/>
  <c r="AL28" i="79"/>
  <c r="AL5" i="3" s="1"/>
  <c r="N28" i="79"/>
  <c r="N5" i="3" s="1"/>
  <c r="P28" i="79"/>
  <c r="P5" i="3" s="1"/>
  <c r="AD28" i="79"/>
  <c r="AD5" i="3" s="1"/>
  <c r="D28" i="79"/>
  <c r="D5" i="3" s="1"/>
  <c r="G28" i="79"/>
  <c r="G5" i="3" s="1"/>
  <c r="Z28" i="79"/>
  <c r="Z5" i="3" s="1"/>
  <c r="D46" i="80"/>
  <c r="D16" i="3" s="1"/>
  <c r="AA46" i="80"/>
  <c r="M46" i="80"/>
  <c r="Q46" i="80"/>
  <c r="E50" i="80"/>
  <c r="E19" i="3"/>
  <c r="AP50" i="80"/>
  <c r="AP19" i="3"/>
  <c r="AI46" i="80"/>
  <c r="N46" i="80"/>
  <c r="AE46" i="80"/>
  <c r="AA50" i="80"/>
  <c r="AA19" i="3"/>
  <c r="S50" i="80"/>
  <c r="S19" i="3"/>
  <c r="AH46" i="80"/>
  <c r="O46" i="80"/>
  <c r="AJ46" i="80"/>
  <c r="F46" i="80"/>
  <c r="AK50" i="80"/>
  <c r="AK19" i="3"/>
  <c r="AB46" i="80"/>
  <c r="S46" i="80"/>
  <c r="U50" i="80"/>
  <c r="U19" i="3"/>
  <c r="AP46" i="80"/>
  <c r="W46" i="80"/>
  <c r="AC46" i="80"/>
  <c r="AC16" i="3" s="1"/>
  <c r="U46" i="80"/>
  <c r="AG46" i="80"/>
  <c r="X50" i="80"/>
  <c r="X19" i="3"/>
  <c r="P50" i="80"/>
  <c r="P19" i="3"/>
  <c r="AO50" i="80"/>
  <c r="AO19" i="3"/>
  <c r="W50" i="80"/>
  <c r="W19" i="3"/>
  <c r="AJ50" i="80"/>
  <c r="AJ19" i="3"/>
  <c r="Q50" i="80"/>
  <c r="Q19" i="3"/>
  <c r="G46" i="80"/>
  <c r="AK46" i="80"/>
  <c r="AB50" i="80"/>
  <c r="AB19" i="3"/>
  <c r="AN50" i="80"/>
  <c r="AN19" i="3"/>
  <c r="L50" i="80"/>
  <c r="L19" i="3"/>
  <c r="R50" i="80"/>
  <c r="R19" i="3"/>
  <c r="E46" i="80"/>
  <c r="V50" i="80"/>
  <c r="V19" i="3"/>
  <c r="AQ46" i="80"/>
  <c r="AM46" i="80"/>
  <c r="T50" i="80"/>
  <c r="T19" i="3"/>
  <c r="N50" i="80"/>
  <c r="N19" i="3"/>
  <c r="K50" i="80"/>
  <c r="K19" i="3"/>
  <c r="M50" i="80"/>
  <c r="M19" i="3"/>
  <c r="Z50" i="80"/>
  <c r="Z19" i="3"/>
  <c r="T46" i="80"/>
  <c r="I46" i="80"/>
  <c r="Y46" i="80"/>
  <c r="V46" i="80"/>
  <c r="AI50" i="80"/>
  <c r="AI19" i="3"/>
  <c r="AQ50" i="80"/>
  <c r="AQ19" i="3"/>
  <c r="H50" i="80"/>
  <c r="H19" i="3"/>
  <c r="G50" i="80"/>
  <c r="G19" i="3"/>
  <c r="J50" i="80"/>
  <c r="J19" i="3"/>
  <c r="J46" i="80"/>
  <c r="AO46" i="80"/>
  <c r="AN46" i="80"/>
  <c r="AL50" i="80"/>
  <c r="AL19" i="3"/>
  <c r="U5" i="3"/>
  <c r="U30" i="79"/>
  <c r="U33" i="79" s="1"/>
  <c r="O5" i="3"/>
  <c r="O30" i="79"/>
  <c r="H5" i="3"/>
  <c r="H30" i="79"/>
  <c r="H33" i="79" s="1"/>
  <c r="AF5" i="3"/>
  <c r="AF30" i="79"/>
  <c r="AF33" i="79" s="1"/>
  <c r="R5" i="3"/>
  <c r="R30" i="79"/>
  <c r="R33" i="79" s="1"/>
  <c r="AJ32" i="79"/>
  <c r="AJ8" i="3"/>
  <c r="K32" i="79"/>
  <c r="K8" i="3"/>
  <c r="I28" i="79"/>
  <c r="I5" i="3" s="1"/>
  <c r="AO28" i="79"/>
  <c r="AO5" i="3" s="1"/>
  <c r="AN28" i="79"/>
  <c r="AN5" i="3" s="1"/>
  <c r="V30" i="79"/>
  <c r="AM32" i="79"/>
  <c r="AM8" i="3"/>
  <c r="O32" i="79"/>
  <c r="O8" i="3"/>
  <c r="Q32" i="79"/>
  <c r="Q8" i="3"/>
  <c r="Y32" i="79"/>
  <c r="Y8" i="3"/>
  <c r="V32" i="79"/>
  <c r="V8" i="3"/>
  <c r="F30" i="79"/>
  <c r="F33" i="79" s="1"/>
  <c r="AA28" i="79"/>
  <c r="AA5" i="3" s="1"/>
  <c r="S28" i="79"/>
  <c r="S5" i="3" s="1"/>
  <c r="I32" i="79"/>
  <c r="I8" i="3"/>
  <c r="AG30" i="79"/>
  <c r="AG33" i="79" s="1"/>
  <c r="X28" i="79"/>
  <c r="X5" i="3" s="1"/>
  <c r="AC32" i="79"/>
  <c r="AC8" i="3"/>
  <c r="AP28" i="79"/>
  <c r="AP5" i="3" s="1"/>
  <c r="E23" i="40"/>
  <c r="E29" i="40"/>
  <c r="D5" i="35"/>
  <c r="R5" i="40"/>
  <c r="E17" i="40"/>
  <c r="D5" i="4" s="1"/>
  <c r="D5" i="61" s="1"/>
  <c r="E41" i="40"/>
  <c r="F11" i="40"/>
  <c r="C49" i="80"/>
  <c r="C31" i="79"/>
  <c r="E21" i="60"/>
  <c r="E19" i="60"/>
  <c r="E18" i="60"/>
  <c r="E17" i="60"/>
  <c r="E14" i="60"/>
  <c r="E20" i="59"/>
  <c r="E18" i="59"/>
  <c r="E17" i="59"/>
  <c r="E16" i="59"/>
  <c r="E13" i="59"/>
  <c r="E11" i="59"/>
  <c r="AQ30" i="79" l="1"/>
  <c r="AQ33" i="79" s="1"/>
  <c r="AP33" i="24"/>
  <c r="AP35" i="24" s="1"/>
  <c r="AP22" i="19" s="1"/>
  <c r="AP26" i="24"/>
  <c r="AO33" i="24"/>
  <c r="AO35" i="24" s="1"/>
  <c r="AO22" i="19" s="1"/>
  <c r="AO26" i="24"/>
  <c r="AQ33" i="24"/>
  <c r="AQ35" i="24" s="1"/>
  <c r="AQ22" i="19" s="1"/>
  <c r="AQ26" i="24"/>
  <c r="AK5" i="3"/>
  <c r="AI30" i="79"/>
  <c r="AI33" i="79" s="1"/>
  <c r="AH30" i="79"/>
  <c r="AH33" i="79" s="1"/>
  <c r="AE5" i="3"/>
  <c r="Q30" i="79"/>
  <c r="AL30" i="79"/>
  <c r="AL33" i="79" s="1"/>
  <c r="T5" i="3"/>
  <c r="Y30" i="79"/>
  <c r="Y33" i="79" s="1"/>
  <c r="P30" i="79"/>
  <c r="P33" i="79" s="1"/>
  <c r="AC30" i="79"/>
  <c r="AJ30" i="79"/>
  <c r="E30" i="79"/>
  <c r="E33" i="79" s="1"/>
  <c r="K30" i="79"/>
  <c r="K33" i="79" s="1"/>
  <c r="L30" i="79"/>
  <c r="L33" i="79" s="1"/>
  <c r="N30" i="79"/>
  <c r="N33" i="79" s="1"/>
  <c r="AD30" i="79"/>
  <c r="AD33" i="79" s="1"/>
  <c r="AM30" i="79"/>
  <c r="AM33" i="79" s="1"/>
  <c r="G30" i="79"/>
  <c r="G33" i="79" s="1"/>
  <c r="D30" i="79"/>
  <c r="D33" i="79" s="1"/>
  <c r="J30" i="79"/>
  <c r="J33" i="79" s="1"/>
  <c r="AB5" i="3"/>
  <c r="W30" i="79"/>
  <c r="W33" i="79" s="1"/>
  <c r="M30" i="79"/>
  <c r="M33" i="79" s="1"/>
  <c r="C50" i="80"/>
  <c r="O33" i="79"/>
  <c r="C32" i="79"/>
  <c r="S30" i="79"/>
  <c r="S33" i="79" s="1"/>
  <c r="AC33" i="79"/>
  <c r="AA30" i="79"/>
  <c r="AA33" i="79" s="1"/>
  <c r="Z30" i="79"/>
  <c r="Z33" i="79" s="1"/>
  <c r="AC48" i="80"/>
  <c r="AC51" i="80" s="1"/>
  <c r="AN30" i="79"/>
  <c r="AN33" i="79" s="1"/>
  <c r="I30" i="79"/>
  <c r="I33" i="79" s="1"/>
  <c r="Q33" i="79"/>
  <c r="V33" i="79"/>
  <c r="C28" i="79"/>
  <c r="X30" i="79"/>
  <c r="X33" i="79" s="1"/>
  <c r="AP30" i="79"/>
  <c r="AP33" i="79" s="1"/>
  <c r="AO30" i="79"/>
  <c r="AO33" i="79" s="1"/>
  <c r="AJ33" i="79"/>
  <c r="O48" i="80"/>
  <c r="O51" i="80" s="1"/>
  <c r="O16" i="3"/>
  <c r="AD48" i="80"/>
  <c r="AD51" i="80" s="1"/>
  <c r="AD16" i="3"/>
  <c r="AG48" i="80"/>
  <c r="AG51" i="80" s="1"/>
  <c r="AG16" i="3"/>
  <c r="AO48" i="80"/>
  <c r="AO51" i="80" s="1"/>
  <c r="AO16" i="3"/>
  <c r="X48" i="80"/>
  <c r="X51" i="80" s="1"/>
  <c r="X16" i="3"/>
  <c r="AF48" i="80"/>
  <c r="AF51" i="80" s="1"/>
  <c r="AF16" i="3"/>
  <c r="Q48" i="80"/>
  <c r="Q51" i="80" s="1"/>
  <c r="Q16" i="3"/>
  <c r="M48" i="80"/>
  <c r="M51" i="80" s="1"/>
  <c r="M16" i="3"/>
  <c r="P48" i="80"/>
  <c r="P51" i="80" s="1"/>
  <c r="P16" i="3"/>
  <c r="I48" i="80"/>
  <c r="I51" i="80" s="1"/>
  <c r="I16" i="3"/>
  <c r="AB48" i="80"/>
  <c r="AB51" i="80" s="1"/>
  <c r="AB16" i="3"/>
  <c r="AL48" i="80"/>
  <c r="AL51" i="80" s="1"/>
  <c r="AL16" i="3"/>
  <c r="F48" i="80"/>
  <c r="F51" i="80" s="1"/>
  <c r="F16" i="3"/>
  <c r="AI48" i="80"/>
  <c r="AI51" i="80" s="1"/>
  <c r="AI16" i="3"/>
  <c r="AA48" i="80"/>
  <c r="AA51" i="80" s="1"/>
  <c r="AA16" i="3"/>
  <c r="L48" i="80"/>
  <c r="L51" i="80" s="1"/>
  <c r="L16" i="3"/>
  <c r="U48" i="80"/>
  <c r="U51" i="80" s="1"/>
  <c r="U16" i="3"/>
  <c r="W48" i="80"/>
  <c r="W51" i="80" s="1"/>
  <c r="W16" i="3"/>
  <c r="AQ48" i="80"/>
  <c r="AQ51" i="80" s="1"/>
  <c r="AQ16" i="3"/>
  <c r="T48" i="80"/>
  <c r="T51" i="80" s="1"/>
  <c r="T16" i="3"/>
  <c r="AP48" i="80"/>
  <c r="AP51" i="80" s="1"/>
  <c r="AP16" i="3"/>
  <c r="K48" i="80"/>
  <c r="K51" i="80" s="1"/>
  <c r="K16" i="3"/>
  <c r="AH48" i="80"/>
  <c r="AH51" i="80" s="1"/>
  <c r="AH16" i="3"/>
  <c r="E48" i="80"/>
  <c r="E51" i="80" s="1"/>
  <c r="E16" i="3"/>
  <c r="Z48" i="80"/>
  <c r="Z51" i="80" s="1"/>
  <c r="Z16" i="3"/>
  <c r="AJ48" i="80"/>
  <c r="AJ51" i="80" s="1"/>
  <c r="AJ16" i="3"/>
  <c r="AN48" i="80"/>
  <c r="AN51" i="80" s="1"/>
  <c r="AN16" i="3"/>
  <c r="AM48" i="80"/>
  <c r="AM51" i="80" s="1"/>
  <c r="AM16" i="3"/>
  <c r="J48" i="80"/>
  <c r="J51" i="80" s="1"/>
  <c r="J16" i="3"/>
  <c r="R48" i="80"/>
  <c r="R51" i="80" s="1"/>
  <c r="R16" i="3"/>
  <c r="AE48" i="80"/>
  <c r="AE51" i="80" s="1"/>
  <c r="AE16" i="3"/>
  <c r="V48" i="80"/>
  <c r="V51" i="80" s="1"/>
  <c r="V16" i="3"/>
  <c r="N48" i="80"/>
  <c r="N51" i="80" s="1"/>
  <c r="N16" i="3"/>
  <c r="AK48" i="80"/>
  <c r="AK51" i="80" s="1"/>
  <c r="AK16" i="3"/>
  <c r="Y48" i="80"/>
  <c r="Y51" i="80" s="1"/>
  <c r="Y16" i="3"/>
  <c r="H48" i="80"/>
  <c r="H51" i="80" s="1"/>
  <c r="H16" i="3"/>
  <c r="S48" i="80"/>
  <c r="S51" i="80" s="1"/>
  <c r="S16" i="3"/>
  <c r="G48" i="80"/>
  <c r="G51" i="80" s="1"/>
  <c r="G16" i="3"/>
  <c r="F66" i="40"/>
  <c r="E66" i="40"/>
  <c r="G66" i="40"/>
  <c r="F29" i="40"/>
  <c r="F17" i="40"/>
  <c r="E5" i="4" s="1"/>
  <c r="E5" i="61" s="1"/>
  <c r="F41" i="40"/>
  <c r="G11" i="40"/>
  <c r="F23" i="40"/>
  <c r="E59" i="40"/>
  <c r="E53" i="40"/>
  <c r="E47" i="40"/>
  <c r="D13" i="4" s="1"/>
  <c r="D48" i="80"/>
  <c r="C46" i="80"/>
  <c r="AO28" i="3"/>
  <c r="AO39" i="3" s="1"/>
  <c r="AQ28" i="3"/>
  <c r="AQ39" i="3" s="1"/>
  <c r="AO4" i="3"/>
  <c r="AP4" i="3"/>
  <c r="AQ4" i="3"/>
  <c r="AO15" i="3"/>
  <c r="AP15" i="3"/>
  <c r="AQ15" i="3"/>
  <c r="AP28" i="3"/>
  <c r="AP39" i="3" s="1"/>
  <c r="AO26" i="3"/>
  <c r="AP26" i="3"/>
  <c r="AQ26" i="3"/>
  <c r="AO37" i="3"/>
  <c r="AP37" i="3"/>
  <c r="AQ37" i="3"/>
  <c r="AM46" i="60"/>
  <c r="AC46" i="60"/>
  <c r="I29" i="59"/>
  <c r="G13" i="9"/>
  <c r="G18" i="9" s="1"/>
  <c r="I10" i="2" s="1"/>
  <c r="E62" i="2"/>
  <c r="D58" i="2"/>
  <c r="E55" i="2"/>
  <c r="E56" i="2"/>
  <c r="E57" i="2"/>
  <c r="G14" i="9" l="1"/>
  <c r="G6" i="2" s="1"/>
  <c r="G15" i="9"/>
  <c r="H7" i="2" s="1"/>
  <c r="G16" i="9"/>
  <c r="I8" i="2" s="1"/>
  <c r="G17" i="9"/>
  <c r="I9" i="2" s="1"/>
  <c r="C33" i="79"/>
  <c r="C30" i="79"/>
  <c r="F59" i="40"/>
  <c r="G29" i="40"/>
  <c r="G17" i="40"/>
  <c r="F5" i="4" s="1"/>
  <c r="F5" i="61" s="1"/>
  <c r="G23" i="40"/>
  <c r="G41" i="40"/>
  <c r="H11" i="40"/>
  <c r="H35" i="40" s="1"/>
  <c r="F47" i="40"/>
  <c r="E13" i="4" s="1"/>
  <c r="F53" i="40"/>
  <c r="D51" i="80"/>
  <c r="C51" i="80" s="1"/>
  <c r="C48" i="80"/>
  <c r="G10" i="2"/>
  <c r="H9" i="2"/>
  <c r="I7" i="2"/>
  <c r="I6" i="2"/>
  <c r="G9" i="2"/>
  <c r="G8" i="2"/>
  <c r="G7" i="2"/>
  <c r="H6" i="2"/>
  <c r="H10" i="2"/>
  <c r="H8" i="2"/>
  <c r="C46" i="60"/>
  <c r="AQ44" i="60"/>
  <c r="H78" i="40" l="1"/>
  <c r="H72" i="40"/>
  <c r="G46" i="41"/>
  <c r="H66" i="40"/>
  <c r="G23" i="10" s="1"/>
  <c r="G59" i="40"/>
  <c r="G53" i="40"/>
  <c r="G47" i="40"/>
  <c r="F13" i="4" s="1"/>
  <c r="H23" i="40"/>
  <c r="H17" i="40"/>
  <c r="G5" i="4" s="1"/>
  <c r="G5" i="61" s="1"/>
  <c r="H29" i="40"/>
  <c r="H41" i="40"/>
  <c r="I11" i="40"/>
  <c r="I35" i="40" s="1"/>
  <c r="AO20" i="3"/>
  <c r="AP20" i="3"/>
  <c r="AQ20" i="3"/>
  <c r="AP9" i="3"/>
  <c r="AQ27" i="59"/>
  <c r="AQ29" i="59"/>
  <c r="AQ6" i="58" s="1"/>
  <c r="AQ4" i="58"/>
  <c r="AQ37" i="58" s="1"/>
  <c r="AQ15" i="58"/>
  <c r="AQ17" i="58"/>
  <c r="AQ26" i="58"/>
  <c r="AP5" i="74"/>
  <c r="AO5" i="74"/>
  <c r="AN5" i="74"/>
  <c r="AM5" i="74"/>
  <c r="AL5" i="74"/>
  <c r="AK5" i="74"/>
  <c r="AJ5" i="74"/>
  <c r="AI5" i="74"/>
  <c r="AH5" i="74"/>
  <c r="AG5" i="74"/>
  <c r="AF5" i="74"/>
  <c r="AE5" i="74"/>
  <c r="AD5" i="74"/>
  <c r="AC5" i="74"/>
  <c r="AB5" i="74"/>
  <c r="AA5" i="74"/>
  <c r="Z5" i="74"/>
  <c r="Y5" i="74"/>
  <c r="X5" i="74"/>
  <c r="W5" i="74"/>
  <c r="V5" i="74"/>
  <c r="U5" i="74"/>
  <c r="T5" i="74"/>
  <c r="S5" i="74"/>
  <c r="R5" i="74"/>
  <c r="Q5" i="74"/>
  <c r="P5" i="74"/>
  <c r="O5" i="74"/>
  <c r="AP4" i="74"/>
  <c r="AO4" i="74"/>
  <c r="AN4" i="74"/>
  <c r="AM4" i="74"/>
  <c r="AL4" i="74"/>
  <c r="AK4" i="74"/>
  <c r="AH4" i="74"/>
  <c r="AG4" i="74"/>
  <c r="AE4" i="74"/>
  <c r="AD4" i="74"/>
  <c r="AC4" i="74"/>
  <c r="AB4" i="74"/>
  <c r="AA4" i="74"/>
  <c r="Z4" i="74"/>
  <c r="Y4" i="74"/>
  <c r="X4" i="74"/>
  <c r="W4" i="74"/>
  <c r="T4" i="74"/>
  <c r="S4" i="74"/>
  <c r="Q4" i="74"/>
  <c r="P4" i="74"/>
  <c r="O4" i="74"/>
  <c r="N4" i="74"/>
  <c r="M4" i="74"/>
  <c r="L4" i="74"/>
  <c r="K4" i="74"/>
  <c r="J4" i="74"/>
  <c r="I4" i="74"/>
  <c r="F4" i="74"/>
  <c r="E4" i="74"/>
  <c r="D4" i="74"/>
  <c r="AJ4" i="74" s="1"/>
  <c r="D40" i="73"/>
  <c r="AO35" i="73"/>
  <c r="AA35" i="73"/>
  <c r="M35" i="73"/>
  <c r="AP34" i="73"/>
  <c r="AO34" i="73"/>
  <c r="AN34" i="73"/>
  <c r="AM34" i="73"/>
  <c r="AL34" i="73"/>
  <c r="AK34" i="73"/>
  <c r="AJ34" i="73"/>
  <c r="AI34" i="73"/>
  <c r="AH34" i="73"/>
  <c r="AG34" i="73"/>
  <c r="AF34" i="73"/>
  <c r="AE34" i="73"/>
  <c r="AD34" i="73"/>
  <c r="AC34" i="73"/>
  <c r="AB34" i="73"/>
  <c r="AA34" i="73"/>
  <c r="Z34" i="73"/>
  <c r="Y34" i="73"/>
  <c r="X34" i="73"/>
  <c r="W34" i="73"/>
  <c r="V34" i="73"/>
  <c r="U34" i="73"/>
  <c r="T34" i="73"/>
  <c r="S34" i="73"/>
  <c r="R34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E34" i="73"/>
  <c r="D34" i="73"/>
  <c r="C34" i="73" s="1"/>
  <c r="AP33" i="73"/>
  <c r="AO33" i="73"/>
  <c r="AN33" i="73"/>
  <c r="AM33" i="73"/>
  <c r="AL33" i="73"/>
  <c r="AK33" i="73"/>
  <c r="AJ33" i="73"/>
  <c r="AI33" i="73"/>
  <c r="AH33" i="73"/>
  <c r="AG33" i="73"/>
  <c r="AF33" i="73"/>
  <c r="AE33" i="73"/>
  <c r="AD33" i="73"/>
  <c r="AC33" i="73"/>
  <c r="AB33" i="73"/>
  <c r="AA33" i="73"/>
  <c r="Z33" i="73"/>
  <c r="Y33" i="73"/>
  <c r="X33" i="73"/>
  <c r="W33" i="73"/>
  <c r="V33" i="73"/>
  <c r="U33" i="73"/>
  <c r="T33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C33" i="73" s="1"/>
  <c r="AP32" i="73"/>
  <c r="AO32" i="73"/>
  <c r="AN32" i="73"/>
  <c r="AM32" i="73"/>
  <c r="AL32" i="73"/>
  <c r="AK32" i="73"/>
  <c r="AJ32" i="73"/>
  <c r="AI32" i="73"/>
  <c r="AH32" i="73"/>
  <c r="AG32" i="73"/>
  <c r="AF32" i="73"/>
  <c r="AE32" i="73"/>
  <c r="AD32" i="73"/>
  <c r="AC32" i="73"/>
  <c r="AB32" i="73"/>
  <c r="AA32" i="73"/>
  <c r="Z32" i="73"/>
  <c r="Y32" i="73"/>
  <c r="X32" i="73"/>
  <c r="W32" i="73"/>
  <c r="V32" i="73"/>
  <c r="U32" i="73"/>
  <c r="T32" i="73"/>
  <c r="S32" i="73"/>
  <c r="R32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E32" i="73"/>
  <c r="D32" i="73"/>
  <c r="C32" i="73" s="1"/>
  <c r="AP31" i="73"/>
  <c r="AO31" i="73"/>
  <c r="AN31" i="73"/>
  <c r="AN35" i="73" s="1"/>
  <c r="AM31" i="73"/>
  <c r="AL31" i="73"/>
  <c r="AK31" i="73"/>
  <c r="AJ31" i="73"/>
  <c r="AI31" i="73"/>
  <c r="AH31" i="73"/>
  <c r="AG31" i="73"/>
  <c r="AF31" i="73"/>
  <c r="AE31" i="73"/>
  <c r="AD31" i="73"/>
  <c r="AC31" i="73"/>
  <c r="AB31" i="73"/>
  <c r="AA31" i="73"/>
  <c r="Z31" i="73"/>
  <c r="Z35" i="73" s="1"/>
  <c r="Y31" i="73"/>
  <c r="X31" i="73"/>
  <c r="W31" i="73"/>
  <c r="V31" i="73"/>
  <c r="U31" i="73"/>
  <c r="T31" i="73"/>
  <c r="S31" i="73"/>
  <c r="R31" i="73"/>
  <c r="Q31" i="73"/>
  <c r="P31" i="73"/>
  <c r="O31" i="73"/>
  <c r="N31" i="73"/>
  <c r="M31" i="73"/>
  <c r="L31" i="73"/>
  <c r="L35" i="73" s="1"/>
  <c r="K31" i="73"/>
  <c r="J31" i="73"/>
  <c r="I31" i="73"/>
  <c r="H31" i="73"/>
  <c r="G31" i="73"/>
  <c r="F31" i="73"/>
  <c r="E31" i="73"/>
  <c r="D31" i="73"/>
  <c r="C31" i="73" s="1"/>
  <c r="AP30" i="73"/>
  <c r="AO30" i="73"/>
  <c r="AN30" i="73"/>
  <c r="AM30" i="73"/>
  <c r="AL30" i="73"/>
  <c r="AK30" i="73"/>
  <c r="AJ30" i="73"/>
  <c r="AI30" i="73"/>
  <c r="AH30" i="73"/>
  <c r="AG30" i="73"/>
  <c r="AF30" i="73"/>
  <c r="AE30" i="73"/>
  <c r="AD30" i="73"/>
  <c r="AC30" i="73"/>
  <c r="AB30" i="73"/>
  <c r="AA30" i="73"/>
  <c r="Z30" i="73"/>
  <c r="Y30" i="73"/>
  <c r="X30" i="73"/>
  <c r="W30" i="73"/>
  <c r="V30" i="73"/>
  <c r="U30" i="73"/>
  <c r="T30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E30" i="73"/>
  <c r="D30" i="73"/>
  <c r="C30" i="73"/>
  <c r="AP29" i="73"/>
  <c r="AP35" i="73" s="1"/>
  <c r="AO29" i="73"/>
  <c r="AN29" i="73"/>
  <c r="AM29" i="73"/>
  <c r="AM35" i="73" s="1"/>
  <c r="AL29" i="73"/>
  <c r="AL35" i="73" s="1"/>
  <c r="AK29" i="73"/>
  <c r="AK35" i="73" s="1"/>
  <c r="AJ29" i="73"/>
  <c r="AJ35" i="73" s="1"/>
  <c r="AI29" i="73"/>
  <c r="AI35" i="73" s="1"/>
  <c r="AH29" i="73"/>
  <c r="AG29" i="73"/>
  <c r="AG35" i="73" s="1"/>
  <c r="AF29" i="73"/>
  <c r="AF35" i="73" s="1"/>
  <c r="AE29" i="73"/>
  <c r="AD29" i="73"/>
  <c r="AD35" i="73" s="1"/>
  <c r="AC29" i="73"/>
  <c r="AC35" i="73" s="1"/>
  <c r="AB29" i="73"/>
  <c r="AB35" i="73" s="1"/>
  <c r="AA29" i="73"/>
  <c r="Z29" i="73"/>
  <c r="Y29" i="73"/>
  <c r="Y35" i="73" s="1"/>
  <c r="X29" i="73"/>
  <c r="X35" i="73" s="1"/>
  <c r="W29" i="73"/>
  <c r="W35" i="73" s="1"/>
  <c r="V29" i="73"/>
  <c r="V35" i="73" s="1"/>
  <c r="U29" i="73"/>
  <c r="U35" i="73" s="1"/>
  <c r="T29" i="73"/>
  <c r="S29" i="73"/>
  <c r="S35" i="73" s="1"/>
  <c r="R29" i="73"/>
  <c r="R35" i="73" s="1"/>
  <c r="Q29" i="73"/>
  <c r="P29" i="73"/>
  <c r="P35" i="73" s="1"/>
  <c r="O29" i="73"/>
  <c r="O35" i="73" s="1"/>
  <c r="N29" i="73"/>
  <c r="N35" i="73" s="1"/>
  <c r="M29" i="73"/>
  <c r="L29" i="73"/>
  <c r="K29" i="73"/>
  <c r="K35" i="73" s="1"/>
  <c r="J29" i="73"/>
  <c r="J35" i="73" s="1"/>
  <c r="I29" i="73"/>
  <c r="I35" i="73" s="1"/>
  <c r="H29" i="73"/>
  <c r="H35" i="73" s="1"/>
  <c r="G29" i="73"/>
  <c r="G35" i="73" s="1"/>
  <c r="F29" i="73"/>
  <c r="E29" i="73"/>
  <c r="E35" i="73" s="1"/>
  <c r="D29" i="73"/>
  <c r="C29" i="73" s="1"/>
  <c r="D28" i="73"/>
  <c r="AP23" i="73"/>
  <c r="AO23" i="73"/>
  <c r="AN23" i="73"/>
  <c r="AM23" i="73"/>
  <c r="AL23" i="73"/>
  <c r="AK23" i="73"/>
  <c r="AJ23" i="73"/>
  <c r="AI23" i="73"/>
  <c r="AH23" i="73"/>
  <c r="AG23" i="73"/>
  <c r="AF23" i="73"/>
  <c r="AE23" i="73"/>
  <c r="AD23" i="73"/>
  <c r="AC23" i="73"/>
  <c r="AB23" i="73"/>
  <c r="AA23" i="73"/>
  <c r="Z23" i="73"/>
  <c r="Y23" i="73"/>
  <c r="X23" i="73"/>
  <c r="W23" i="73"/>
  <c r="V23" i="73"/>
  <c r="U23" i="73"/>
  <c r="T23" i="73"/>
  <c r="S23" i="73"/>
  <c r="R23" i="73"/>
  <c r="Q23" i="73"/>
  <c r="P23" i="73"/>
  <c r="O23" i="73"/>
  <c r="N23" i="73"/>
  <c r="M23" i="73"/>
  <c r="L23" i="73"/>
  <c r="K23" i="73"/>
  <c r="J23" i="73"/>
  <c r="I23" i="73"/>
  <c r="H23" i="73"/>
  <c r="G23" i="73"/>
  <c r="F23" i="73"/>
  <c r="E23" i="73"/>
  <c r="D23" i="73"/>
  <c r="C22" i="73"/>
  <c r="C21" i="73"/>
  <c r="C20" i="73"/>
  <c r="C19" i="73"/>
  <c r="C18" i="73"/>
  <c r="C17" i="73"/>
  <c r="E16" i="73"/>
  <c r="D16" i="73"/>
  <c r="AP11" i="73"/>
  <c r="AO11" i="73"/>
  <c r="AN11" i="73"/>
  <c r="AM11" i="73"/>
  <c r="AL11" i="73"/>
  <c r="AK11" i="73"/>
  <c r="AJ11" i="73"/>
  <c r="AI11" i="73"/>
  <c r="AH11" i="73"/>
  <c r="AG11" i="73"/>
  <c r="AF11" i="73"/>
  <c r="AE11" i="73"/>
  <c r="AD11" i="73"/>
  <c r="AC11" i="73"/>
  <c r="AB11" i="73"/>
  <c r="AA11" i="73"/>
  <c r="Z11" i="73"/>
  <c r="Y11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C10" i="73"/>
  <c r="C9" i="73"/>
  <c r="C8" i="73"/>
  <c r="C7" i="73"/>
  <c r="C6" i="73"/>
  <c r="C5" i="73"/>
  <c r="E4" i="73"/>
  <c r="AM26" i="72"/>
  <c r="AL26" i="72"/>
  <c r="AK26" i="72"/>
  <c r="AI26" i="72"/>
  <c r="AG26" i="72"/>
  <c r="Y26" i="72"/>
  <c r="X26" i="72"/>
  <c r="W26" i="72"/>
  <c r="U26" i="72"/>
  <c r="S26" i="72"/>
  <c r="R26" i="72"/>
  <c r="K26" i="72"/>
  <c r="J26" i="72"/>
  <c r="I26" i="72"/>
  <c r="G26" i="72"/>
  <c r="E26" i="72"/>
  <c r="AP25" i="72"/>
  <c r="AO25" i="72"/>
  <c r="AN25" i="72"/>
  <c r="AM25" i="72"/>
  <c r="AL25" i="72"/>
  <c r="AK25" i="72"/>
  <c r="AJ25" i="72"/>
  <c r="AI25" i="72"/>
  <c r="AH25" i="72"/>
  <c r="AG25" i="72"/>
  <c r="AF25" i="72"/>
  <c r="AE25" i="72"/>
  <c r="AD25" i="72"/>
  <c r="AC25" i="72"/>
  <c r="AB25" i="72"/>
  <c r="AA25" i="72"/>
  <c r="Z25" i="72"/>
  <c r="Y25" i="72"/>
  <c r="X25" i="72"/>
  <c r="W25" i="72"/>
  <c r="V25" i="72"/>
  <c r="U25" i="72"/>
  <c r="T25" i="72"/>
  <c r="S25" i="72"/>
  <c r="R25" i="72"/>
  <c r="Q25" i="72"/>
  <c r="P25" i="72"/>
  <c r="O25" i="72"/>
  <c r="N25" i="72"/>
  <c r="M25" i="72"/>
  <c r="L25" i="72"/>
  <c r="K25" i="72"/>
  <c r="J25" i="72"/>
  <c r="I25" i="72"/>
  <c r="H25" i="72"/>
  <c r="G25" i="72"/>
  <c r="F25" i="72"/>
  <c r="E25" i="72"/>
  <c r="D25" i="72"/>
  <c r="AP24" i="72"/>
  <c r="AO24" i="72"/>
  <c r="AN24" i="72"/>
  <c r="AM24" i="72"/>
  <c r="AL24" i="72"/>
  <c r="AK24" i="72"/>
  <c r="AJ24" i="72"/>
  <c r="AI24" i="72"/>
  <c r="AH24" i="72"/>
  <c r="AG24" i="72"/>
  <c r="AF24" i="72"/>
  <c r="AE24" i="72"/>
  <c r="AD24" i="72"/>
  <c r="AC24" i="72"/>
  <c r="AB24" i="72"/>
  <c r="AA24" i="72"/>
  <c r="Z24" i="72"/>
  <c r="Y24" i="72"/>
  <c r="X24" i="72"/>
  <c r="W24" i="72"/>
  <c r="V24" i="72"/>
  <c r="U24" i="72"/>
  <c r="T24" i="72"/>
  <c r="S24" i="72"/>
  <c r="R24" i="72"/>
  <c r="Q24" i="72"/>
  <c r="P24" i="72"/>
  <c r="O24" i="72"/>
  <c r="N24" i="72"/>
  <c r="M24" i="72"/>
  <c r="L24" i="72"/>
  <c r="K24" i="72"/>
  <c r="J24" i="72"/>
  <c r="I24" i="72"/>
  <c r="H24" i="72"/>
  <c r="G24" i="72"/>
  <c r="F24" i="72"/>
  <c r="E24" i="72"/>
  <c r="D24" i="72"/>
  <c r="AP23" i="72"/>
  <c r="AO23" i="72"/>
  <c r="AN23" i="72"/>
  <c r="AN26" i="72" s="1"/>
  <c r="AM23" i="72"/>
  <c r="AL23" i="72"/>
  <c r="AK23" i="72"/>
  <c r="AJ23" i="72"/>
  <c r="AI23" i="72"/>
  <c r="AH23" i="72"/>
  <c r="AG23" i="72"/>
  <c r="AF23" i="72"/>
  <c r="AE23" i="72"/>
  <c r="AE26" i="72" s="1"/>
  <c r="AD23" i="72"/>
  <c r="AC23" i="72"/>
  <c r="AB23" i="72"/>
  <c r="AA23" i="72"/>
  <c r="Z23" i="72"/>
  <c r="Y23" i="72"/>
  <c r="X23" i="72"/>
  <c r="W23" i="72"/>
  <c r="V23" i="72"/>
  <c r="U23" i="72"/>
  <c r="T23" i="72"/>
  <c r="S23" i="72"/>
  <c r="R23" i="72"/>
  <c r="Q23" i="72"/>
  <c r="Q26" i="72" s="1"/>
  <c r="P23" i="72"/>
  <c r="O23" i="72"/>
  <c r="N23" i="72"/>
  <c r="M23" i="72"/>
  <c r="L23" i="72"/>
  <c r="L26" i="72" s="1"/>
  <c r="K23" i="72"/>
  <c r="J23" i="72"/>
  <c r="I23" i="72"/>
  <c r="H23" i="72"/>
  <c r="G23" i="72"/>
  <c r="F23" i="72"/>
  <c r="E23" i="72"/>
  <c r="D23" i="72"/>
  <c r="E22" i="72"/>
  <c r="AP17" i="72"/>
  <c r="AO17" i="72"/>
  <c r="AN17" i="72"/>
  <c r="AM17" i="72"/>
  <c r="AL17" i="72"/>
  <c r="AK17" i="72"/>
  <c r="AJ17" i="72"/>
  <c r="AI17" i="72"/>
  <c r="AH17" i="72"/>
  <c r="AG17" i="72"/>
  <c r="AF17" i="72"/>
  <c r="AE17" i="72"/>
  <c r="AD17" i="72"/>
  <c r="AC17" i="72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C16" i="72"/>
  <c r="C15" i="72"/>
  <c r="C14" i="72"/>
  <c r="D13" i="72"/>
  <c r="AP8" i="72"/>
  <c r="AO8" i="72"/>
  <c r="AN8" i="72"/>
  <c r="AM8" i="72"/>
  <c r="AL8" i="72"/>
  <c r="AK8" i="72"/>
  <c r="AJ8" i="72"/>
  <c r="AI8" i="72"/>
  <c r="AH8" i="72"/>
  <c r="AG8" i="72"/>
  <c r="AF8" i="72"/>
  <c r="AE8" i="72"/>
  <c r="AD8" i="72"/>
  <c r="AC8" i="72"/>
  <c r="AB8" i="72"/>
  <c r="AA8" i="72"/>
  <c r="Z8" i="72"/>
  <c r="Y8" i="72"/>
  <c r="X8" i="72"/>
  <c r="W8" i="72"/>
  <c r="V8" i="72"/>
  <c r="U8" i="72"/>
  <c r="T8" i="72"/>
  <c r="S8" i="72"/>
  <c r="R8" i="72"/>
  <c r="Q8" i="72"/>
  <c r="P8" i="72"/>
  <c r="O8" i="72"/>
  <c r="N8" i="72"/>
  <c r="M8" i="72"/>
  <c r="L8" i="72"/>
  <c r="K8" i="72"/>
  <c r="J8" i="72"/>
  <c r="I8" i="72"/>
  <c r="H8" i="72"/>
  <c r="G8" i="72"/>
  <c r="F8" i="72"/>
  <c r="E8" i="72"/>
  <c r="D8" i="72"/>
  <c r="C7" i="72"/>
  <c r="C6" i="72"/>
  <c r="C5" i="72"/>
  <c r="F4" i="72"/>
  <c r="E4" i="72"/>
  <c r="E31" i="72" s="1"/>
  <c r="D4" i="72"/>
  <c r="D31" i="72" s="1"/>
  <c r="AM34" i="71"/>
  <c r="AL34" i="71"/>
  <c r="AJ34" i="71"/>
  <c r="AI34" i="71"/>
  <c r="AH34" i="71"/>
  <c r="AE34" i="71"/>
  <c r="Y34" i="71"/>
  <c r="X34" i="71"/>
  <c r="V34" i="71"/>
  <c r="U34" i="71"/>
  <c r="T34" i="71"/>
  <c r="K34" i="71"/>
  <c r="J34" i="71"/>
  <c r="H34" i="71"/>
  <c r="G34" i="71"/>
  <c r="F34" i="71"/>
  <c r="D34" i="71"/>
  <c r="AO30" i="71"/>
  <c r="AN30" i="71"/>
  <c r="AC30" i="71"/>
  <c r="AA30" i="71"/>
  <c r="Z30" i="71"/>
  <c r="R30" i="71"/>
  <c r="O30" i="71"/>
  <c r="O35" i="71" s="1"/>
  <c r="O20" i="74" s="1"/>
  <c r="M30" i="71"/>
  <c r="L30" i="71"/>
  <c r="AO29" i="71"/>
  <c r="AL29" i="71"/>
  <c r="AC29" i="71"/>
  <c r="AA29" i="71"/>
  <c r="Z29" i="71"/>
  <c r="O29" i="71"/>
  <c r="M29" i="71"/>
  <c r="AP28" i="71"/>
  <c r="AO28" i="71"/>
  <c r="AN28" i="71"/>
  <c r="AM28" i="71"/>
  <c r="AM29" i="71" s="1"/>
  <c r="AL28" i="71"/>
  <c r="AK28" i="71"/>
  <c r="AJ28" i="71"/>
  <c r="AI28" i="71"/>
  <c r="AH28" i="71"/>
  <c r="AG28" i="71"/>
  <c r="AF28" i="71"/>
  <c r="AE28" i="71"/>
  <c r="AD28" i="71"/>
  <c r="AC28" i="71"/>
  <c r="AB28" i="71"/>
  <c r="AB29" i="71" s="1"/>
  <c r="AA28" i="71"/>
  <c r="Z28" i="71"/>
  <c r="Y28" i="71"/>
  <c r="Y29" i="71" s="1"/>
  <c r="X28" i="71"/>
  <c r="X29" i="71" s="1"/>
  <c r="W28" i="71"/>
  <c r="V28" i="71"/>
  <c r="U28" i="71"/>
  <c r="T28" i="71"/>
  <c r="S28" i="71"/>
  <c r="R28" i="71"/>
  <c r="Q28" i="71"/>
  <c r="P28" i="71"/>
  <c r="O28" i="71"/>
  <c r="N28" i="71"/>
  <c r="N29" i="71" s="1"/>
  <c r="M28" i="71"/>
  <c r="L28" i="71"/>
  <c r="K28" i="71"/>
  <c r="K29" i="71" s="1"/>
  <c r="J28" i="71"/>
  <c r="J29" i="71" s="1"/>
  <c r="I28" i="71"/>
  <c r="H28" i="71"/>
  <c r="G28" i="71"/>
  <c r="F28" i="71"/>
  <c r="E28" i="71"/>
  <c r="D28" i="71"/>
  <c r="AP27" i="71"/>
  <c r="AO27" i="71"/>
  <c r="AN27" i="71"/>
  <c r="AN29" i="71" s="1"/>
  <c r="AM27" i="71"/>
  <c r="AL27" i="71"/>
  <c r="AK27" i="71"/>
  <c r="AJ27" i="71"/>
  <c r="AI27" i="71"/>
  <c r="AH27" i="71"/>
  <c r="AG27" i="71"/>
  <c r="AF27" i="71"/>
  <c r="AE27" i="71"/>
  <c r="AD27" i="71"/>
  <c r="AC27" i="71"/>
  <c r="AB27" i="71"/>
  <c r="AA27" i="71"/>
  <c r="Z27" i="71"/>
  <c r="Y27" i="71"/>
  <c r="X27" i="71"/>
  <c r="W27" i="71"/>
  <c r="V27" i="71"/>
  <c r="U27" i="71"/>
  <c r="T27" i="71"/>
  <c r="S27" i="71"/>
  <c r="R27" i="71"/>
  <c r="Q27" i="71"/>
  <c r="P27" i="71"/>
  <c r="O27" i="71"/>
  <c r="N27" i="71"/>
  <c r="M27" i="71"/>
  <c r="L27" i="71"/>
  <c r="L29" i="71" s="1"/>
  <c r="K27" i="71"/>
  <c r="J27" i="71"/>
  <c r="I27" i="71"/>
  <c r="H27" i="71"/>
  <c r="G27" i="71"/>
  <c r="F27" i="71"/>
  <c r="E27" i="71"/>
  <c r="D27" i="71"/>
  <c r="AP26" i="71"/>
  <c r="AO26" i="71"/>
  <c r="AN26" i="71"/>
  <c r="AM26" i="71"/>
  <c r="AL26" i="71"/>
  <c r="AK26" i="71"/>
  <c r="AJ26" i="71"/>
  <c r="AI26" i="71"/>
  <c r="AH26" i="71"/>
  <c r="AG26" i="71"/>
  <c r="AF26" i="71"/>
  <c r="AE26" i="71"/>
  <c r="AD26" i="71"/>
  <c r="AC26" i="71"/>
  <c r="AB26" i="71"/>
  <c r="AA26" i="71"/>
  <c r="Z26" i="71"/>
  <c r="Y26" i="71"/>
  <c r="X26" i="71"/>
  <c r="W26" i="71"/>
  <c r="V26" i="71"/>
  <c r="U26" i="71"/>
  <c r="T26" i="71"/>
  <c r="S26" i="71"/>
  <c r="R26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D26" i="71"/>
  <c r="AP25" i="71"/>
  <c r="AO25" i="71"/>
  <c r="AN25" i="71"/>
  <c r="AM25" i="71"/>
  <c r="AL25" i="71"/>
  <c r="AK25" i="71"/>
  <c r="AJ25" i="71"/>
  <c r="AI25" i="71"/>
  <c r="AH25" i="71"/>
  <c r="AG25" i="71"/>
  <c r="AF25" i="71"/>
  <c r="AE25" i="71"/>
  <c r="AD25" i="71"/>
  <c r="AC25" i="71"/>
  <c r="AB25" i="71"/>
  <c r="AA25" i="71"/>
  <c r="Z25" i="71"/>
  <c r="Y25" i="71"/>
  <c r="X25" i="71"/>
  <c r="W25" i="71"/>
  <c r="V25" i="71"/>
  <c r="U25" i="71"/>
  <c r="T25" i="71"/>
  <c r="S25" i="71"/>
  <c r="R25" i="71"/>
  <c r="Q25" i="71"/>
  <c r="P25" i="71"/>
  <c r="O25" i="71"/>
  <c r="N25" i="71"/>
  <c r="M25" i="71"/>
  <c r="L25" i="71"/>
  <c r="K25" i="71"/>
  <c r="J25" i="71"/>
  <c r="I25" i="71"/>
  <c r="H25" i="71"/>
  <c r="G25" i="71"/>
  <c r="F25" i="71"/>
  <c r="E25" i="71"/>
  <c r="D25" i="71"/>
  <c r="C25" i="71"/>
  <c r="AP24" i="71"/>
  <c r="AL24" i="71"/>
  <c r="AK24" i="71"/>
  <c r="AI24" i="71"/>
  <c r="AH24" i="71"/>
  <c r="AE24" i="71"/>
  <c r="X24" i="71"/>
  <c r="W24" i="71"/>
  <c r="U24" i="71"/>
  <c r="T24" i="71"/>
  <c r="Q24" i="71"/>
  <c r="P24" i="71"/>
  <c r="N24" i="71"/>
  <c r="J24" i="71"/>
  <c r="I24" i="71"/>
  <c r="G24" i="71"/>
  <c r="F24" i="71"/>
  <c r="D24" i="71"/>
  <c r="AP19" i="71"/>
  <c r="AO19" i="71"/>
  <c r="AN19" i="71"/>
  <c r="AM19" i="71"/>
  <c r="AL19" i="71"/>
  <c r="AK19" i="71"/>
  <c r="AJ19" i="71"/>
  <c r="AI19" i="71"/>
  <c r="AH19" i="71"/>
  <c r="AG19" i="71"/>
  <c r="AF19" i="71"/>
  <c r="AE19" i="71"/>
  <c r="AD19" i="71"/>
  <c r="AC19" i="71"/>
  <c r="AB19" i="71"/>
  <c r="AA19" i="71"/>
  <c r="Z19" i="71"/>
  <c r="Y19" i="71"/>
  <c r="X19" i="71"/>
  <c r="W19" i="71"/>
  <c r="V19" i="71"/>
  <c r="U19" i="71"/>
  <c r="T19" i="71"/>
  <c r="S19" i="71"/>
  <c r="R19" i="71"/>
  <c r="Q19" i="71"/>
  <c r="P19" i="71"/>
  <c r="O19" i="71"/>
  <c r="N19" i="71"/>
  <c r="M19" i="71"/>
  <c r="L19" i="71"/>
  <c r="K19" i="71"/>
  <c r="C19" i="71" s="1"/>
  <c r="J19" i="71"/>
  <c r="I19" i="71"/>
  <c r="H19" i="71"/>
  <c r="G19" i="71"/>
  <c r="F19" i="71"/>
  <c r="E19" i="71"/>
  <c r="D19" i="71"/>
  <c r="C18" i="71"/>
  <c r="C17" i="71"/>
  <c r="C16" i="71"/>
  <c r="C15" i="71"/>
  <c r="AO14" i="71"/>
  <c r="AK14" i="71"/>
  <c r="AH14" i="71"/>
  <c r="AG14" i="71"/>
  <c r="AD14" i="71"/>
  <c r="AB14" i="71"/>
  <c r="W14" i="71"/>
  <c r="T14" i="71"/>
  <c r="S14" i="71"/>
  <c r="M14" i="71"/>
  <c r="I14" i="71"/>
  <c r="F14" i="71"/>
  <c r="E14" i="71"/>
  <c r="D14" i="71"/>
  <c r="AP9" i="71"/>
  <c r="AO9" i="71"/>
  <c r="AN9" i="71"/>
  <c r="AM9" i="71"/>
  <c r="AL9" i="71"/>
  <c r="AK9" i="71"/>
  <c r="AJ9" i="71"/>
  <c r="AI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C9" i="71" s="1"/>
  <c r="I9" i="71"/>
  <c r="H9" i="71"/>
  <c r="G9" i="71"/>
  <c r="F9" i="71"/>
  <c r="E9" i="71"/>
  <c r="D9" i="71"/>
  <c r="C8" i="71"/>
  <c r="C7" i="71"/>
  <c r="C6" i="71"/>
  <c r="C5" i="71"/>
  <c r="AP4" i="71"/>
  <c r="AO4" i="71"/>
  <c r="AN4" i="71"/>
  <c r="AM4" i="71"/>
  <c r="AM14" i="71" s="1"/>
  <c r="AL4" i="71"/>
  <c r="AL14" i="71" s="1"/>
  <c r="AK4" i="71"/>
  <c r="AK34" i="71" s="1"/>
  <c r="AJ4" i="71"/>
  <c r="AJ14" i="71" s="1"/>
  <c r="AI4" i="71"/>
  <c r="AI14" i="71" s="1"/>
  <c r="AH4" i="71"/>
  <c r="AG4" i="71"/>
  <c r="AG24" i="71" s="1"/>
  <c r="AF4" i="71"/>
  <c r="AE4" i="71"/>
  <c r="AE14" i="71" s="1"/>
  <c r="AD4" i="71"/>
  <c r="AD24" i="71" s="1"/>
  <c r="AC4" i="71"/>
  <c r="AB4" i="71"/>
  <c r="AA4" i="71"/>
  <c r="Z4" i="71"/>
  <c r="Y4" i="71"/>
  <c r="Y14" i="71" s="1"/>
  <c r="X4" i="71"/>
  <c r="X14" i="71" s="1"/>
  <c r="W4" i="71"/>
  <c r="W34" i="71" s="1"/>
  <c r="V4" i="71"/>
  <c r="V14" i="71" s="1"/>
  <c r="U4" i="71"/>
  <c r="U14" i="71" s="1"/>
  <c r="T4" i="71"/>
  <c r="S4" i="71"/>
  <c r="S24" i="71" s="1"/>
  <c r="R4" i="71"/>
  <c r="Q4" i="71"/>
  <c r="Q14" i="71" s="1"/>
  <c r="P4" i="71"/>
  <c r="O4" i="71"/>
  <c r="N4" i="71"/>
  <c r="M4" i="71"/>
  <c r="L4" i="71"/>
  <c r="K4" i="71"/>
  <c r="K14" i="71" s="1"/>
  <c r="J4" i="71"/>
  <c r="J14" i="71" s="1"/>
  <c r="I4" i="71"/>
  <c r="I34" i="71" s="1"/>
  <c r="H4" i="71"/>
  <c r="H14" i="71" s="1"/>
  <c r="G4" i="71"/>
  <c r="G14" i="71" s="1"/>
  <c r="F4" i="71"/>
  <c r="E4" i="71"/>
  <c r="E24" i="71" s="1"/>
  <c r="C59" i="70"/>
  <c r="AP58" i="70"/>
  <c r="AO58" i="70"/>
  <c r="AN58" i="70"/>
  <c r="AM58" i="70"/>
  <c r="AL58" i="70"/>
  <c r="AK58" i="70"/>
  <c r="AJ58" i="70"/>
  <c r="AI58" i="70"/>
  <c r="AH58" i="70"/>
  <c r="AG58" i="70"/>
  <c r="AF58" i="70"/>
  <c r="AE58" i="70"/>
  <c r="AD58" i="70"/>
  <c r="AC58" i="70"/>
  <c r="AB58" i="70"/>
  <c r="AA58" i="70"/>
  <c r="Z58" i="70"/>
  <c r="Y58" i="70"/>
  <c r="X58" i="70"/>
  <c r="W58" i="70"/>
  <c r="V58" i="70"/>
  <c r="U58" i="70"/>
  <c r="T58" i="70"/>
  <c r="S58" i="70"/>
  <c r="R58" i="70"/>
  <c r="Q58" i="70"/>
  <c r="P58" i="70"/>
  <c r="O58" i="70"/>
  <c r="N58" i="70"/>
  <c r="M58" i="70"/>
  <c r="L58" i="70"/>
  <c r="K58" i="70"/>
  <c r="J58" i="70"/>
  <c r="I58" i="70"/>
  <c r="H58" i="70"/>
  <c r="G58" i="70"/>
  <c r="F58" i="70"/>
  <c r="E58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7" i="70"/>
  <c r="AP56" i="70"/>
  <c r="AO56" i="70"/>
  <c r="AN56" i="70"/>
  <c r="AM56" i="70"/>
  <c r="AL56" i="70"/>
  <c r="AK56" i="70"/>
  <c r="AJ56" i="70"/>
  <c r="AI56" i="70"/>
  <c r="AH56" i="70"/>
  <c r="AG56" i="70"/>
  <c r="AF56" i="70"/>
  <c r="AE56" i="70"/>
  <c r="AD56" i="70"/>
  <c r="AC56" i="70"/>
  <c r="AB56" i="70"/>
  <c r="AA56" i="70"/>
  <c r="Z56" i="70"/>
  <c r="Y56" i="70"/>
  <c r="X56" i="70"/>
  <c r="W56" i="70"/>
  <c r="V56" i="70"/>
  <c r="U56" i="70"/>
  <c r="T56" i="70"/>
  <c r="S56" i="70"/>
  <c r="R56" i="70"/>
  <c r="Q56" i="70"/>
  <c r="P56" i="70"/>
  <c r="O56" i="70"/>
  <c r="N56" i="70"/>
  <c r="M56" i="70"/>
  <c r="L56" i="70"/>
  <c r="K56" i="70"/>
  <c r="J56" i="70"/>
  <c r="I56" i="70"/>
  <c r="H56" i="70"/>
  <c r="G56" i="70"/>
  <c r="F56" i="70"/>
  <c r="E56" i="70"/>
  <c r="D56" i="70"/>
  <c r="AP55" i="70"/>
  <c r="AO55" i="70"/>
  <c r="AN55" i="70"/>
  <c r="AM55" i="70"/>
  <c r="AL55" i="70"/>
  <c r="AK55" i="70"/>
  <c r="AJ55" i="70"/>
  <c r="AI55" i="70"/>
  <c r="AH55" i="70"/>
  <c r="AG55" i="70"/>
  <c r="AF55" i="70"/>
  <c r="AE55" i="70"/>
  <c r="AD55" i="70"/>
  <c r="AC55" i="70"/>
  <c r="AB55" i="70"/>
  <c r="AA55" i="70"/>
  <c r="Z55" i="70"/>
  <c r="Y55" i="70"/>
  <c r="X55" i="70"/>
  <c r="W55" i="70"/>
  <c r="V55" i="70"/>
  <c r="U55" i="70"/>
  <c r="T55" i="70"/>
  <c r="S55" i="70"/>
  <c r="R55" i="70"/>
  <c r="Q55" i="70"/>
  <c r="P55" i="70"/>
  <c r="O55" i="70"/>
  <c r="N55" i="70"/>
  <c r="M55" i="70"/>
  <c r="L55" i="70"/>
  <c r="K55" i="70"/>
  <c r="J55" i="70"/>
  <c r="I55" i="70"/>
  <c r="H55" i="70"/>
  <c r="G55" i="70"/>
  <c r="F55" i="70"/>
  <c r="E55" i="70"/>
  <c r="D55" i="70"/>
  <c r="AP49" i="70"/>
  <c r="AO49" i="70"/>
  <c r="AN49" i="70"/>
  <c r="AM49" i="70"/>
  <c r="AL49" i="70"/>
  <c r="AK49" i="70"/>
  <c r="AJ49" i="70"/>
  <c r="AI49" i="70"/>
  <c r="AH49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U49" i="70"/>
  <c r="T49" i="70"/>
  <c r="S49" i="70"/>
  <c r="R49" i="70"/>
  <c r="Q49" i="70"/>
  <c r="P49" i="70"/>
  <c r="O49" i="70"/>
  <c r="N49" i="70"/>
  <c r="M49" i="70"/>
  <c r="L49" i="70"/>
  <c r="K49" i="70"/>
  <c r="J49" i="70"/>
  <c r="I49" i="70"/>
  <c r="H49" i="70"/>
  <c r="G49" i="70"/>
  <c r="F49" i="70"/>
  <c r="E49" i="70"/>
  <c r="D49" i="70"/>
  <c r="AP38" i="70"/>
  <c r="AO38" i="70"/>
  <c r="AN38" i="70"/>
  <c r="AM38" i="70"/>
  <c r="AL38" i="70"/>
  <c r="AK38" i="70"/>
  <c r="AJ38" i="70"/>
  <c r="AI38" i="70"/>
  <c r="AH38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D38" i="70"/>
  <c r="M27" i="70"/>
  <c r="AP25" i="70"/>
  <c r="AO25" i="70"/>
  <c r="AN25" i="70"/>
  <c r="AM25" i="70"/>
  <c r="AL25" i="70"/>
  <c r="AK25" i="70"/>
  <c r="AJ25" i="70"/>
  <c r="AI25" i="70"/>
  <c r="AH25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U25" i="70"/>
  <c r="T25" i="70"/>
  <c r="S25" i="70"/>
  <c r="R25" i="70"/>
  <c r="Q25" i="70"/>
  <c r="P25" i="70"/>
  <c r="O25" i="70"/>
  <c r="N25" i="70"/>
  <c r="M25" i="70"/>
  <c r="L25" i="70"/>
  <c r="K25" i="70"/>
  <c r="J25" i="70"/>
  <c r="I25" i="70"/>
  <c r="H25" i="70"/>
  <c r="G25" i="70"/>
  <c r="F25" i="70"/>
  <c r="E25" i="70"/>
  <c r="D25" i="70"/>
  <c r="C25" i="70" s="1"/>
  <c r="AP24" i="70"/>
  <c r="AO24" i="70"/>
  <c r="AN24" i="70"/>
  <c r="AM24" i="70"/>
  <c r="AL24" i="70"/>
  <c r="AK24" i="70"/>
  <c r="AJ24" i="70"/>
  <c r="AI24" i="70"/>
  <c r="AH24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U24" i="70"/>
  <c r="T24" i="70"/>
  <c r="S24" i="70"/>
  <c r="R24" i="70"/>
  <c r="Q24" i="70"/>
  <c r="P24" i="70"/>
  <c r="O24" i="70"/>
  <c r="N24" i="70"/>
  <c r="M24" i="70"/>
  <c r="L24" i="70"/>
  <c r="K24" i="70"/>
  <c r="J24" i="70"/>
  <c r="I24" i="70"/>
  <c r="H24" i="70"/>
  <c r="G24" i="70"/>
  <c r="F24" i="70"/>
  <c r="E24" i="70"/>
  <c r="D24" i="70"/>
  <c r="AL23" i="70"/>
  <c r="AK23" i="70"/>
  <c r="AJ23" i="70"/>
  <c r="J23" i="70"/>
  <c r="I23" i="70"/>
  <c r="AP17" i="70"/>
  <c r="AO17" i="70"/>
  <c r="AN17" i="70"/>
  <c r="AM17" i="70"/>
  <c r="AL17" i="70"/>
  <c r="AK17" i="70"/>
  <c r="AJ17" i="70"/>
  <c r="AI17" i="70"/>
  <c r="AH17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U17" i="70"/>
  <c r="T17" i="70"/>
  <c r="S17" i="70"/>
  <c r="R17" i="70"/>
  <c r="Q17" i="70"/>
  <c r="P17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AC8" i="70"/>
  <c r="AP5" i="70"/>
  <c r="AP23" i="70" s="1"/>
  <c r="AP27" i="70" s="1"/>
  <c r="AO5" i="70"/>
  <c r="AO23" i="70" s="1"/>
  <c r="AN5" i="70"/>
  <c r="AM5" i="70"/>
  <c r="AL5" i="70"/>
  <c r="AL8" i="70" s="1"/>
  <c r="AK5" i="70"/>
  <c r="AK8" i="70" s="1"/>
  <c r="AJ5" i="70"/>
  <c r="AJ8" i="70" s="1"/>
  <c r="AI5" i="70"/>
  <c r="AI8" i="70" s="1"/>
  <c r="AH5" i="70"/>
  <c r="AH8" i="70" s="1"/>
  <c r="AG5" i="70"/>
  <c r="AG8" i="70" s="1"/>
  <c r="AF5" i="70"/>
  <c r="AF8" i="70" s="1"/>
  <c r="AE5" i="70"/>
  <c r="AE23" i="70" s="1"/>
  <c r="AD5" i="70"/>
  <c r="AC5" i="70"/>
  <c r="AC23" i="70" s="1"/>
  <c r="AB5" i="70"/>
  <c r="AB23" i="70" s="1"/>
  <c r="AB27" i="70" s="1"/>
  <c r="AA5" i="70"/>
  <c r="AA23" i="70" s="1"/>
  <c r="Z5" i="70"/>
  <c r="Y5" i="70"/>
  <c r="X5" i="70"/>
  <c r="X8" i="70" s="1"/>
  <c r="W5" i="70"/>
  <c r="W8" i="70" s="1"/>
  <c r="V5" i="70"/>
  <c r="V8" i="70" s="1"/>
  <c r="U5" i="70"/>
  <c r="U8" i="70" s="1"/>
  <c r="T5" i="70"/>
  <c r="T8" i="70" s="1"/>
  <c r="S5" i="70"/>
  <c r="S8" i="70" s="1"/>
  <c r="R5" i="70"/>
  <c r="R23" i="70" s="1"/>
  <c r="Q5" i="70"/>
  <c r="Q23" i="70" s="1"/>
  <c r="P5" i="70"/>
  <c r="O5" i="70"/>
  <c r="N5" i="70"/>
  <c r="M5" i="70"/>
  <c r="M23" i="70" s="1"/>
  <c r="L5" i="70"/>
  <c r="K5" i="70"/>
  <c r="K8" i="70" s="1"/>
  <c r="J5" i="70"/>
  <c r="J8" i="70" s="1"/>
  <c r="I5" i="70"/>
  <c r="I8" i="70" s="1"/>
  <c r="H5" i="70"/>
  <c r="H8" i="70" s="1"/>
  <c r="G5" i="70"/>
  <c r="G8" i="70" s="1"/>
  <c r="F5" i="70"/>
  <c r="F8" i="70" s="1"/>
  <c r="E5" i="70"/>
  <c r="E8" i="70" s="1"/>
  <c r="D5" i="70"/>
  <c r="AL4" i="70"/>
  <c r="N4" i="70"/>
  <c r="N13" i="70" s="1"/>
  <c r="M4" i="70"/>
  <c r="M71" i="70" s="1"/>
  <c r="D4" i="70"/>
  <c r="AA4" i="70" s="1"/>
  <c r="AA71" i="70" s="1"/>
  <c r="D50" i="69"/>
  <c r="D48" i="69"/>
  <c r="D47" i="69"/>
  <c r="E43" i="69"/>
  <c r="D43" i="69"/>
  <c r="T38" i="69"/>
  <c r="Q38" i="69"/>
  <c r="O38" i="69"/>
  <c r="AP37" i="69"/>
  <c r="AO37" i="69"/>
  <c r="AN37" i="69"/>
  <c r="AM37" i="69"/>
  <c r="AL37" i="69"/>
  <c r="AK37" i="69"/>
  <c r="AJ37" i="69"/>
  <c r="AI37" i="69"/>
  <c r="AH37" i="69"/>
  <c r="AG37" i="69"/>
  <c r="AF37" i="69"/>
  <c r="AE37" i="69"/>
  <c r="AD37" i="69"/>
  <c r="AC37" i="69"/>
  <c r="AB37" i="69"/>
  <c r="AA37" i="69"/>
  <c r="Z37" i="69"/>
  <c r="Y37" i="69"/>
  <c r="X37" i="69"/>
  <c r="W37" i="69"/>
  <c r="V37" i="69"/>
  <c r="U37" i="69"/>
  <c r="T37" i="69"/>
  <c r="S37" i="69"/>
  <c r="R37" i="69"/>
  <c r="Q37" i="69"/>
  <c r="P37" i="69"/>
  <c r="O37" i="69"/>
  <c r="N37" i="69"/>
  <c r="M37" i="69"/>
  <c r="L37" i="69"/>
  <c r="K37" i="69"/>
  <c r="J37" i="69"/>
  <c r="I37" i="69"/>
  <c r="H37" i="69"/>
  <c r="G37" i="69"/>
  <c r="F37" i="69"/>
  <c r="E37" i="69"/>
  <c r="D37" i="69"/>
  <c r="AP36" i="69"/>
  <c r="AO36" i="69"/>
  <c r="AN36" i="69"/>
  <c r="AM36" i="69"/>
  <c r="AL36" i="69"/>
  <c r="AK36" i="69"/>
  <c r="AJ36" i="69"/>
  <c r="AI36" i="69"/>
  <c r="AH36" i="69"/>
  <c r="AG36" i="69"/>
  <c r="AF36" i="69"/>
  <c r="AE36" i="69"/>
  <c r="AD36" i="69"/>
  <c r="AC36" i="69"/>
  <c r="AB36" i="69"/>
  <c r="AA36" i="69"/>
  <c r="Z36" i="69"/>
  <c r="Y36" i="69"/>
  <c r="X36" i="69"/>
  <c r="W36" i="69"/>
  <c r="V36" i="69"/>
  <c r="U36" i="69"/>
  <c r="T36" i="69"/>
  <c r="S36" i="69"/>
  <c r="R36" i="69"/>
  <c r="Q36" i="69"/>
  <c r="P36" i="69"/>
  <c r="O36" i="69"/>
  <c r="N36" i="69"/>
  <c r="M36" i="69"/>
  <c r="L36" i="69"/>
  <c r="K36" i="69"/>
  <c r="J36" i="69"/>
  <c r="I36" i="69"/>
  <c r="H36" i="69"/>
  <c r="G36" i="69"/>
  <c r="F36" i="69"/>
  <c r="E36" i="69"/>
  <c r="D36" i="69"/>
  <c r="D49" i="69" s="1"/>
  <c r="AP35" i="69"/>
  <c r="AO35" i="69"/>
  <c r="AN35" i="69"/>
  <c r="AM35" i="69"/>
  <c r="AL35" i="69"/>
  <c r="AK35" i="69"/>
  <c r="AJ35" i="69"/>
  <c r="AI35" i="69"/>
  <c r="AH35" i="69"/>
  <c r="AG35" i="69"/>
  <c r="AF35" i="69"/>
  <c r="AE35" i="69"/>
  <c r="AD35" i="69"/>
  <c r="AC35" i="69"/>
  <c r="AB35" i="69"/>
  <c r="AA35" i="69"/>
  <c r="Z35" i="69"/>
  <c r="Y35" i="69"/>
  <c r="X35" i="69"/>
  <c r="W35" i="69"/>
  <c r="V35" i="69"/>
  <c r="U35" i="69"/>
  <c r="T35" i="69"/>
  <c r="S35" i="69"/>
  <c r="R35" i="69"/>
  <c r="Q35" i="69"/>
  <c r="P35" i="69"/>
  <c r="O35" i="69"/>
  <c r="N35" i="69"/>
  <c r="M35" i="69"/>
  <c r="L35" i="69"/>
  <c r="K35" i="69"/>
  <c r="J35" i="69"/>
  <c r="I35" i="69"/>
  <c r="H35" i="69"/>
  <c r="G35" i="69"/>
  <c r="F35" i="69"/>
  <c r="E35" i="69"/>
  <c r="D35" i="69"/>
  <c r="AP34" i="69"/>
  <c r="AO34" i="69"/>
  <c r="AN34" i="69"/>
  <c r="AM34" i="69"/>
  <c r="AL34" i="69"/>
  <c r="AK34" i="69"/>
  <c r="AJ34" i="69"/>
  <c r="AI34" i="69"/>
  <c r="AH34" i="69"/>
  <c r="AG34" i="69"/>
  <c r="AF34" i="69"/>
  <c r="AE34" i="69"/>
  <c r="AD34" i="69"/>
  <c r="AC34" i="69"/>
  <c r="AB34" i="69"/>
  <c r="AA34" i="69"/>
  <c r="Z34" i="69"/>
  <c r="Y34" i="69"/>
  <c r="X34" i="69"/>
  <c r="W34" i="69"/>
  <c r="V34" i="69"/>
  <c r="U34" i="69"/>
  <c r="T34" i="69"/>
  <c r="S34" i="69"/>
  <c r="R34" i="69"/>
  <c r="Q34" i="69"/>
  <c r="P34" i="69"/>
  <c r="O34" i="69"/>
  <c r="N34" i="69"/>
  <c r="M34" i="69"/>
  <c r="L34" i="69"/>
  <c r="K34" i="69"/>
  <c r="J34" i="69"/>
  <c r="I34" i="69"/>
  <c r="H34" i="69"/>
  <c r="G34" i="69"/>
  <c r="F34" i="69"/>
  <c r="E34" i="69"/>
  <c r="D34" i="69"/>
  <c r="AP33" i="69"/>
  <c r="AO33" i="69"/>
  <c r="AN33" i="69"/>
  <c r="AM33" i="69"/>
  <c r="AL33" i="69"/>
  <c r="AK33" i="69"/>
  <c r="AJ33" i="69"/>
  <c r="AI33" i="69"/>
  <c r="AH33" i="69"/>
  <c r="AG33" i="69"/>
  <c r="AF33" i="69"/>
  <c r="AE33" i="69"/>
  <c r="AD33" i="69"/>
  <c r="AC33" i="69"/>
  <c r="AB33" i="69"/>
  <c r="AA33" i="69"/>
  <c r="Z33" i="69"/>
  <c r="Y33" i="69"/>
  <c r="X33" i="69"/>
  <c r="W33" i="69"/>
  <c r="V33" i="69"/>
  <c r="U33" i="69"/>
  <c r="T33" i="69"/>
  <c r="S33" i="69"/>
  <c r="R33" i="69"/>
  <c r="Q33" i="69"/>
  <c r="P33" i="69"/>
  <c r="O33" i="69"/>
  <c r="N33" i="69"/>
  <c r="M33" i="69"/>
  <c r="L33" i="69"/>
  <c r="K33" i="69"/>
  <c r="J33" i="69"/>
  <c r="I33" i="69"/>
  <c r="H33" i="69"/>
  <c r="G33" i="69"/>
  <c r="F33" i="69"/>
  <c r="E33" i="69"/>
  <c r="D33" i="69"/>
  <c r="D46" i="69" s="1"/>
  <c r="AP32" i="69"/>
  <c r="AO32" i="69"/>
  <c r="AN32" i="69"/>
  <c r="AM32" i="69"/>
  <c r="AL32" i="69"/>
  <c r="AK32" i="69"/>
  <c r="AJ32" i="69"/>
  <c r="AI32" i="69"/>
  <c r="AH32" i="69"/>
  <c r="AG32" i="69"/>
  <c r="AF32" i="69"/>
  <c r="AE32" i="69"/>
  <c r="AD32" i="69"/>
  <c r="AC32" i="69"/>
  <c r="AB32" i="69"/>
  <c r="AA32" i="69"/>
  <c r="Z32" i="69"/>
  <c r="Y32" i="69"/>
  <c r="X32" i="69"/>
  <c r="W32" i="69"/>
  <c r="V32" i="69"/>
  <c r="U32" i="69"/>
  <c r="T32" i="69"/>
  <c r="S32" i="69"/>
  <c r="R32" i="69"/>
  <c r="Q32" i="69"/>
  <c r="P32" i="69"/>
  <c r="O32" i="69"/>
  <c r="N32" i="69"/>
  <c r="M32" i="69"/>
  <c r="L32" i="69"/>
  <c r="K32" i="69"/>
  <c r="J32" i="69"/>
  <c r="I32" i="69"/>
  <c r="H32" i="69"/>
  <c r="G32" i="69"/>
  <c r="F32" i="69"/>
  <c r="E32" i="69"/>
  <c r="D32" i="69"/>
  <c r="D45" i="69" s="1"/>
  <c r="AP31" i="69"/>
  <c r="AO31" i="69"/>
  <c r="AN31" i="69"/>
  <c r="AM31" i="69"/>
  <c r="AL31" i="69"/>
  <c r="AK31" i="69"/>
  <c r="AJ31" i="69"/>
  <c r="AI31" i="69"/>
  <c r="AH31" i="69"/>
  <c r="AG31" i="69"/>
  <c r="AF31" i="69"/>
  <c r="AE31" i="69"/>
  <c r="AD31" i="69"/>
  <c r="AC31" i="69"/>
  <c r="AB31" i="69"/>
  <c r="AA31" i="69"/>
  <c r="Z31" i="69"/>
  <c r="Y31" i="69"/>
  <c r="X31" i="69"/>
  <c r="W31" i="69"/>
  <c r="V31" i="69"/>
  <c r="U31" i="69"/>
  <c r="T31" i="69"/>
  <c r="S31" i="69"/>
  <c r="R31" i="69"/>
  <c r="Q31" i="69"/>
  <c r="P31" i="69"/>
  <c r="O31" i="69"/>
  <c r="N31" i="69"/>
  <c r="M31" i="69"/>
  <c r="L31" i="69"/>
  <c r="K31" i="69"/>
  <c r="J31" i="69"/>
  <c r="I31" i="69"/>
  <c r="H31" i="69"/>
  <c r="G31" i="69"/>
  <c r="F31" i="69"/>
  <c r="E31" i="69"/>
  <c r="D31" i="69"/>
  <c r="D30" i="69"/>
  <c r="AP25" i="69"/>
  <c r="AO25" i="69"/>
  <c r="AN25" i="69"/>
  <c r="AM25" i="69"/>
  <c r="AL25" i="69"/>
  <c r="AK25" i="69"/>
  <c r="AJ25" i="69"/>
  <c r="AI25" i="69"/>
  <c r="AH25" i="69"/>
  <c r="AG25" i="69"/>
  <c r="AF25" i="69"/>
  <c r="AE25" i="69"/>
  <c r="AD25" i="69"/>
  <c r="AC25" i="69"/>
  <c r="AB25" i="69"/>
  <c r="AA25" i="69"/>
  <c r="Z25" i="69"/>
  <c r="Y25" i="69"/>
  <c r="X25" i="69"/>
  <c r="W25" i="69"/>
  <c r="V25" i="69"/>
  <c r="U25" i="69"/>
  <c r="T25" i="69"/>
  <c r="S25" i="69"/>
  <c r="R25" i="69"/>
  <c r="Q25" i="69"/>
  <c r="P25" i="69"/>
  <c r="O25" i="69"/>
  <c r="N25" i="69"/>
  <c r="M25" i="69"/>
  <c r="L25" i="69"/>
  <c r="K25" i="69"/>
  <c r="J25" i="69"/>
  <c r="I25" i="69"/>
  <c r="H25" i="69"/>
  <c r="G25" i="69"/>
  <c r="F25" i="69"/>
  <c r="E25" i="69"/>
  <c r="D25" i="69"/>
  <c r="C24" i="69"/>
  <c r="C23" i="69"/>
  <c r="C22" i="69"/>
  <c r="C21" i="69"/>
  <c r="C20" i="69"/>
  <c r="C19" i="69"/>
  <c r="C18" i="69"/>
  <c r="F17" i="69"/>
  <c r="E17" i="69"/>
  <c r="D17" i="69"/>
  <c r="AP12" i="69"/>
  <c r="AO12" i="69"/>
  <c r="AN12" i="69"/>
  <c r="AM12" i="69"/>
  <c r="AL12" i="69"/>
  <c r="AK12" i="69"/>
  <c r="AJ12" i="69"/>
  <c r="AI12" i="69"/>
  <c r="AH12" i="69"/>
  <c r="AG12" i="69"/>
  <c r="AF12" i="69"/>
  <c r="AE12" i="69"/>
  <c r="AD12" i="69"/>
  <c r="AC12" i="69"/>
  <c r="AB12" i="69"/>
  <c r="AA12" i="69"/>
  <c r="Z12" i="69"/>
  <c r="Y12" i="69"/>
  <c r="X12" i="69"/>
  <c r="W12" i="69"/>
  <c r="V12" i="69"/>
  <c r="U12" i="69"/>
  <c r="T12" i="69"/>
  <c r="S12" i="69"/>
  <c r="R12" i="69"/>
  <c r="Q12" i="69"/>
  <c r="P12" i="69"/>
  <c r="O12" i="69"/>
  <c r="N12" i="69"/>
  <c r="M12" i="69"/>
  <c r="L12" i="69"/>
  <c r="K12" i="69"/>
  <c r="J12" i="69"/>
  <c r="I12" i="69"/>
  <c r="H12" i="69"/>
  <c r="G12" i="69"/>
  <c r="F12" i="69"/>
  <c r="E12" i="69"/>
  <c r="D12" i="69"/>
  <c r="C12" i="69"/>
  <c r="C11" i="69"/>
  <c r="C10" i="69"/>
  <c r="C9" i="69"/>
  <c r="C8" i="69"/>
  <c r="C7" i="69"/>
  <c r="C6" i="69"/>
  <c r="C5" i="69"/>
  <c r="F4" i="69"/>
  <c r="E4" i="69"/>
  <c r="E30" i="69" s="1"/>
  <c r="D73" i="68"/>
  <c r="G62" i="68"/>
  <c r="D62" i="68"/>
  <c r="AP61" i="68"/>
  <c r="AO61" i="68"/>
  <c r="AN61" i="68"/>
  <c r="AM61" i="68"/>
  <c r="AL61" i="68"/>
  <c r="AK61" i="68"/>
  <c r="AJ61" i="68"/>
  <c r="AI61" i="68"/>
  <c r="AH61" i="68"/>
  <c r="AG61" i="68"/>
  <c r="AF61" i="68"/>
  <c r="AE61" i="68"/>
  <c r="AD61" i="68"/>
  <c r="AC61" i="68"/>
  <c r="AB61" i="68"/>
  <c r="AA61" i="68"/>
  <c r="Z61" i="68"/>
  <c r="Y61" i="68"/>
  <c r="X61" i="68"/>
  <c r="W61" i="68"/>
  <c r="V61" i="68"/>
  <c r="U61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AP60" i="68"/>
  <c r="AO60" i="68"/>
  <c r="AN60" i="68"/>
  <c r="AM60" i="68"/>
  <c r="AL60" i="68"/>
  <c r="AK60" i="68"/>
  <c r="AJ60" i="68"/>
  <c r="AI60" i="68"/>
  <c r="AH60" i="68"/>
  <c r="AG60" i="68"/>
  <c r="AF60" i="68"/>
  <c r="AE60" i="68"/>
  <c r="AD60" i="68"/>
  <c r="AC60" i="68"/>
  <c r="AB60" i="68"/>
  <c r="AA60" i="68"/>
  <c r="Z60" i="68"/>
  <c r="Y60" i="68"/>
  <c r="X60" i="68"/>
  <c r="W60" i="68"/>
  <c r="V60" i="68"/>
  <c r="U60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AP59" i="68"/>
  <c r="AO59" i="68"/>
  <c r="AN59" i="68"/>
  <c r="AM59" i="68"/>
  <c r="AL59" i="68"/>
  <c r="AK59" i="68"/>
  <c r="AJ59" i="68"/>
  <c r="AI59" i="68"/>
  <c r="AH59" i="68"/>
  <c r="AG59" i="68"/>
  <c r="AF59" i="68"/>
  <c r="AE59" i="68"/>
  <c r="AD59" i="68"/>
  <c r="AC59" i="68"/>
  <c r="AB59" i="68"/>
  <c r="AA59" i="68"/>
  <c r="Z59" i="68"/>
  <c r="Y59" i="68"/>
  <c r="X59" i="68"/>
  <c r="W59" i="68"/>
  <c r="V59" i="68"/>
  <c r="U59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E59" i="68"/>
  <c r="D59" i="68"/>
  <c r="D72" i="68" s="1"/>
  <c r="AP58" i="68"/>
  <c r="AO58" i="68"/>
  <c r="AN58" i="68"/>
  <c r="AM58" i="68"/>
  <c r="AL58" i="68"/>
  <c r="AK58" i="68"/>
  <c r="AJ58" i="68"/>
  <c r="AI58" i="68"/>
  <c r="AH58" i="68"/>
  <c r="AG58" i="68"/>
  <c r="AF58" i="68"/>
  <c r="AE58" i="68"/>
  <c r="AD58" i="68"/>
  <c r="AC58" i="68"/>
  <c r="AB58" i="68"/>
  <c r="AA58" i="68"/>
  <c r="Z58" i="68"/>
  <c r="Y58" i="68"/>
  <c r="X58" i="68"/>
  <c r="W58" i="68"/>
  <c r="V58" i="68"/>
  <c r="U58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D71" i="68" s="1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D70" i="68" s="1"/>
  <c r="AP56" i="68"/>
  <c r="AO56" i="68"/>
  <c r="AN56" i="68"/>
  <c r="AM56" i="68"/>
  <c r="AL56" i="68"/>
  <c r="AK56" i="68"/>
  <c r="AJ56" i="68"/>
  <c r="AI56" i="68"/>
  <c r="AH56" i="68"/>
  <c r="AG56" i="68"/>
  <c r="AF56" i="68"/>
  <c r="AE56" i="68"/>
  <c r="AD56" i="68"/>
  <c r="AC56" i="68"/>
  <c r="AB56" i="68"/>
  <c r="AA56" i="68"/>
  <c r="Z56" i="68"/>
  <c r="Y56" i="68"/>
  <c r="X56" i="68"/>
  <c r="W56" i="68"/>
  <c r="V56" i="68"/>
  <c r="U56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AP55" i="68"/>
  <c r="AO55" i="68"/>
  <c r="AN55" i="68"/>
  <c r="AM55" i="68"/>
  <c r="AL55" i="68"/>
  <c r="AK55" i="68"/>
  <c r="AJ55" i="68"/>
  <c r="AI55" i="68"/>
  <c r="AH55" i="68"/>
  <c r="AG55" i="68"/>
  <c r="AF55" i="68"/>
  <c r="AE55" i="68"/>
  <c r="AD55" i="68"/>
  <c r="AC55" i="68"/>
  <c r="AB55" i="68"/>
  <c r="AA55" i="68"/>
  <c r="Z55" i="68"/>
  <c r="Y55" i="68"/>
  <c r="X55" i="68"/>
  <c r="W55" i="68"/>
  <c r="V55" i="68"/>
  <c r="U55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D68" i="68" s="1"/>
  <c r="AP49" i="68"/>
  <c r="AO49" i="68"/>
  <c r="AN49" i="68"/>
  <c r="AM49" i="68"/>
  <c r="AL49" i="68"/>
  <c r="AK49" i="68"/>
  <c r="AJ49" i="68"/>
  <c r="AI49" i="68"/>
  <c r="AH49" i="68"/>
  <c r="AG49" i="68"/>
  <c r="AF49" i="68"/>
  <c r="AE49" i="68"/>
  <c r="AD49" i="68"/>
  <c r="AC49" i="68"/>
  <c r="AB49" i="68"/>
  <c r="AA49" i="68"/>
  <c r="Z49" i="68"/>
  <c r="Y49" i="68"/>
  <c r="X49" i="68"/>
  <c r="W49" i="68"/>
  <c r="V49" i="68"/>
  <c r="U49" i="68"/>
  <c r="T49" i="68"/>
  <c r="S49" i="68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E49" i="68"/>
  <c r="D49" i="68"/>
  <c r="C48" i="68"/>
  <c r="C47" i="68"/>
  <c r="C46" i="68"/>
  <c r="C45" i="68"/>
  <c r="C44" i="68"/>
  <c r="C43" i="68"/>
  <c r="C42" i="68"/>
  <c r="E41" i="68"/>
  <c r="D41" i="68"/>
  <c r="AP36" i="68"/>
  <c r="AO36" i="68"/>
  <c r="AN36" i="68"/>
  <c r="AM36" i="68"/>
  <c r="AL36" i="68"/>
  <c r="AK36" i="68"/>
  <c r="AJ36" i="68"/>
  <c r="AI36" i="68"/>
  <c r="AH36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C35" i="68"/>
  <c r="C34" i="68"/>
  <c r="C33" i="68"/>
  <c r="C32" i="68"/>
  <c r="C31" i="68"/>
  <c r="C30" i="68"/>
  <c r="C29" i="68"/>
  <c r="V28" i="68"/>
  <c r="W28" i="68" s="1"/>
  <c r="X28" i="68" s="1"/>
  <c r="Y28" i="68" s="1"/>
  <c r="Z28" i="68" s="1"/>
  <c r="AA28" i="68" s="1"/>
  <c r="AB28" i="68" s="1"/>
  <c r="AC28" i="68" s="1"/>
  <c r="AD28" i="68" s="1"/>
  <c r="AE28" i="68" s="1"/>
  <c r="AF28" i="68" s="1"/>
  <c r="AG28" i="68" s="1"/>
  <c r="AH28" i="68" s="1"/>
  <c r="AI28" i="68" s="1"/>
  <c r="AJ28" i="68" s="1"/>
  <c r="AK28" i="68" s="1"/>
  <c r="AL28" i="68" s="1"/>
  <c r="AM28" i="68" s="1"/>
  <c r="AN28" i="68" s="1"/>
  <c r="AO28" i="68" s="1"/>
  <c r="AP28" i="68" s="1"/>
  <c r="D28" i="68"/>
  <c r="E28" i="68" s="1"/>
  <c r="F28" i="68" s="1"/>
  <c r="G28" i="68" s="1"/>
  <c r="H28" i="68" s="1"/>
  <c r="I28" i="68" s="1"/>
  <c r="J28" i="68" s="1"/>
  <c r="K28" i="68" s="1"/>
  <c r="L28" i="68" s="1"/>
  <c r="M28" i="68" s="1"/>
  <c r="N28" i="68" s="1"/>
  <c r="O28" i="68" s="1"/>
  <c r="P28" i="68" s="1"/>
  <c r="Q28" i="68" s="1"/>
  <c r="R28" i="68" s="1"/>
  <c r="S28" i="68" s="1"/>
  <c r="T28" i="68" s="1"/>
  <c r="U28" i="68" s="1"/>
  <c r="AL23" i="68"/>
  <c r="AG23" i="68"/>
  <c r="AC23" i="68"/>
  <c r="Z23" i="68"/>
  <c r="Y23" i="68"/>
  <c r="X23" i="68"/>
  <c r="S23" i="68"/>
  <c r="P23" i="68"/>
  <c r="L23" i="68"/>
  <c r="K23" i="68"/>
  <c r="J23" i="68"/>
  <c r="E23" i="68"/>
  <c r="AP22" i="68"/>
  <c r="AO22" i="68"/>
  <c r="AN22" i="68"/>
  <c r="AM22" i="68"/>
  <c r="AL22" i="68"/>
  <c r="AK22" i="68"/>
  <c r="AJ22" i="68"/>
  <c r="AI22" i="68"/>
  <c r="AH22" i="68"/>
  <c r="AG22" i="68"/>
  <c r="AF22" i="68"/>
  <c r="AF23" i="68" s="1"/>
  <c r="AE22" i="68"/>
  <c r="AE23" i="68" s="1"/>
  <c r="AD22" i="68"/>
  <c r="AC22" i="68"/>
  <c r="AB22" i="68"/>
  <c r="AA22" i="68"/>
  <c r="Z22" i="68"/>
  <c r="Y22" i="68"/>
  <c r="X22" i="68"/>
  <c r="W22" i="68"/>
  <c r="V22" i="68"/>
  <c r="U22" i="68"/>
  <c r="T22" i="68"/>
  <c r="S22" i="68"/>
  <c r="R22" i="68"/>
  <c r="R23" i="68" s="1"/>
  <c r="Q22" i="68"/>
  <c r="Q23" i="68" s="1"/>
  <c r="P22" i="68"/>
  <c r="O22" i="68"/>
  <c r="N22" i="68"/>
  <c r="M22" i="68"/>
  <c r="L22" i="68"/>
  <c r="K22" i="68"/>
  <c r="J22" i="68"/>
  <c r="I22" i="68"/>
  <c r="H22" i="68"/>
  <c r="G22" i="68"/>
  <c r="F22" i="68"/>
  <c r="E22" i="68"/>
  <c r="D22" i="68"/>
  <c r="AP21" i="68"/>
  <c r="AP23" i="68" s="1"/>
  <c r="AO21" i="68"/>
  <c r="AO23" i="68" s="1"/>
  <c r="AN21" i="68"/>
  <c r="AN23" i="68" s="1"/>
  <c r="AM21" i="68"/>
  <c r="AM23" i="68" s="1"/>
  <c r="AL21" i="68"/>
  <c r="AK21" i="68"/>
  <c r="AK23" i="68" s="1"/>
  <c r="AJ21" i="68"/>
  <c r="AI21" i="68"/>
  <c r="AI23" i="68" s="1"/>
  <c r="AH21" i="68"/>
  <c r="AH23" i="68" s="1"/>
  <c r="AG21" i="68"/>
  <c r="AF21" i="68"/>
  <c r="AE21" i="68"/>
  <c r="AD21" i="68"/>
  <c r="AD23" i="68" s="1"/>
  <c r="AC21" i="68"/>
  <c r="AB21" i="68"/>
  <c r="AB23" i="68" s="1"/>
  <c r="AA21" i="68"/>
  <c r="AA23" i="68" s="1"/>
  <c r="Z21" i="68"/>
  <c r="Y21" i="68"/>
  <c r="X21" i="68"/>
  <c r="W21" i="68"/>
  <c r="W23" i="68" s="1"/>
  <c r="V21" i="68"/>
  <c r="U21" i="68"/>
  <c r="U23" i="68" s="1"/>
  <c r="T21" i="68"/>
  <c r="T23" i="68" s="1"/>
  <c r="S21" i="68"/>
  <c r="R21" i="68"/>
  <c r="Q21" i="68"/>
  <c r="P21" i="68"/>
  <c r="O21" i="68"/>
  <c r="O23" i="68" s="1"/>
  <c r="N21" i="68"/>
  <c r="N23" i="68" s="1"/>
  <c r="M21" i="68"/>
  <c r="M23" i="68" s="1"/>
  <c r="L21" i="68"/>
  <c r="K21" i="68"/>
  <c r="J21" i="68"/>
  <c r="I21" i="68"/>
  <c r="I23" i="68" s="1"/>
  <c r="H21" i="68"/>
  <c r="G21" i="68"/>
  <c r="G23" i="68" s="1"/>
  <c r="F21" i="68"/>
  <c r="F23" i="68" s="1"/>
  <c r="E21" i="68"/>
  <c r="D21" i="68"/>
  <c r="AP15" i="68"/>
  <c r="AO15" i="68"/>
  <c r="AN15" i="68"/>
  <c r="AM15" i="68"/>
  <c r="AL15" i="68"/>
  <c r="AK15" i="68"/>
  <c r="AJ15" i="68"/>
  <c r="AI15" i="68"/>
  <c r="AH15" i="68"/>
  <c r="AG15" i="68"/>
  <c r="AF15" i="68"/>
  <c r="AE15" i="68"/>
  <c r="AD15" i="68"/>
  <c r="AC15" i="68"/>
  <c r="AB15" i="68"/>
  <c r="AA15" i="68"/>
  <c r="Z15" i="68"/>
  <c r="Y15" i="68"/>
  <c r="X15" i="68"/>
  <c r="W15" i="68"/>
  <c r="V15" i="68"/>
  <c r="U15" i="68"/>
  <c r="T15" i="68"/>
  <c r="S15" i="68"/>
  <c r="R15" i="68"/>
  <c r="Q15" i="68"/>
  <c r="P15" i="68"/>
  <c r="O15" i="68"/>
  <c r="N15" i="68"/>
  <c r="M15" i="68"/>
  <c r="L15" i="68"/>
  <c r="K15" i="68"/>
  <c r="J15" i="68"/>
  <c r="I15" i="68"/>
  <c r="H15" i="68"/>
  <c r="G15" i="68"/>
  <c r="F15" i="68"/>
  <c r="E15" i="68"/>
  <c r="D15" i="68"/>
  <c r="C14" i="68"/>
  <c r="C13" i="68"/>
  <c r="AP7" i="68"/>
  <c r="AO7" i="68"/>
  <c r="AN7" i="68"/>
  <c r="AM7" i="68"/>
  <c r="AL7" i="68"/>
  <c r="AK7" i="68"/>
  <c r="AJ7" i="68"/>
  <c r="AI7" i="68"/>
  <c r="AH7" i="68"/>
  <c r="AG7" i="68"/>
  <c r="AF7" i="68"/>
  <c r="AE7" i="68"/>
  <c r="AD7" i="68"/>
  <c r="AC7" i="68"/>
  <c r="AB7" i="68"/>
  <c r="AA7" i="68"/>
  <c r="Z7" i="68"/>
  <c r="Y7" i="68"/>
  <c r="X7" i="68"/>
  <c r="W7" i="68"/>
  <c r="V7" i="68"/>
  <c r="U7" i="68"/>
  <c r="T7" i="68"/>
  <c r="S7" i="68"/>
  <c r="R7" i="68"/>
  <c r="Q7" i="68"/>
  <c r="P7" i="68"/>
  <c r="O7" i="68"/>
  <c r="N7" i="68"/>
  <c r="M7" i="68"/>
  <c r="L7" i="68"/>
  <c r="C7" i="68" s="1"/>
  <c r="K7" i="68"/>
  <c r="J7" i="68"/>
  <c r="I7" i="68"/>
  <c r="H7" i="68"/>
  <c r="G7" i="68"/>
  <c r="F7" i="68"/>
  <c r="E7" i="68"/>
  <c r="D7" i="68"/>
  <c r="C6" i="68"/>
  <c r="C5" i="68"/>
  <c r="E4" i="68"/>
  <c r="D4" i="68"/>
  <c r="AD26" i="67"/>
  <c r="AD14" i="74" s="1"/>
  <c r="AB26" i="67"/>
  <c r="AB14" i="74" s="1"/>
  <c r="Y26" i="67"/>
  <c r="Y14" i="74" s="1"/>
  <c r="X26" i="67"/>
  <c r="X14" i="74" s="1"/>
  <c r="W26" i="67"/>
  <c r="W14" i="74" s="1"/>
  <c r="S26" i="67"/>
  <c r="S14" i="74" s="1"/>
  <c r="R26" i="67"/>
  <c r="R14" i="74" s="1"/>
  <c r="Q26" i="67"/>
  <c r="Q14" i="74" s="1"/>
  <c r="I26" i="67"/>
  <c r="I14" i="74" s="1"/>
  <c r="D26" i="67"/>
  <c r="D14" i="74" s="1"/>
  <c r="AP25" i="67"/>
  <c r="AP26" i="67" s="1"/>
  <c r="AP14" i="74" s="1"/>
  <c r="AO25" i="67"/>
  <c r="AO26" i="67" s="1"/>
  <c r="AO14" i="74" s="1"/>
  <c r="AN25" i="67"/>
  <c r="AM25" i="67"/>
  <c r="AM26" i="67" s="1"/>
  <c r="AM14" i="74" s="1"/>
  <c r="AL25" i="67"/>
  <c r="AK25" i="67"/>
  <c r="AJ25" i="67"/>
  <c r="AI25" i="67"/>
  <c r="AH25" i="67"/>
  <c r="AG25" i="67"/>
  <c r="AF25" i="67"/>
  <c r="AE25" i="67"/>
  <c r="AE26" i="67" s="1"/>
  <c r="AE14" i="74" s="1"/>
  <c r="AD25" i="67"/>
  <c r="AC25" i="67"/>
  <c r="AB25" i="67"/>
  <c r="AA25" i="67"/>
  <c r="Z25" i="67"/>
  <c r="Y25" i="67"/>
  <c r="X25" i="67"/>
  <c r="W25" i="67"/>
  <c r="V25" i="67"/>
  <c r="U25" i="67"/>
  <c r="T25" i="67"/>
  <c r="S25" i="67"/>
  <c r="R25" i="67"/>
  <c r="Q25" i="67"/>
  <c r="P25" i="67"/>
  <c r="P26" i="67" s="1"/>
  <c r="P14" i="74" s="1"/>
  <c r="O25" i="67"/>
  <c r="N25" i="67"/>
  <c r="M25" i="67"/>
  <c r="L25" i="67"/>
  <c r="K25" i="67"/>
  <c r="J25" i="67"/>
  <c r="I25" i="67"/>
  <c r="H25" i="67"/>
  <c r="G25" i="67"/>
  <c r="F25" i="67"/>
  <c r="E25" i="67"/>
  <c r="D25" i="67"/>
  <c r="AP24" i="67"/>
  <c r="AO24" i="67"/>
  <c r="AN24" i="67"/>
  <c r="AM24" i="67"/>
  <c r="AL24" i="67"/>
  <c r="AK24" i="67"/>
  <c r="AJ24" i="67"/>
  <c r="AI24" i="67"/>
  <c r="AH24" i="67"/>
  <c r="AG24" i="67"/>
  <c r="AF24" i="67"/>
  <c r="AE24" i="67"/>
  <c r="AD24" i="67"/>
  <c r="AC24" i="67"/>
  <c r="AB24" i="67"/>
  <c r="AA24" i="67"/>
  <c r="Z24" i="67"/>
  <c r="Y24" i="67"/>
  <c r="X24" i="67"/>
  <c r="W24" i="67"/>
  <c r="V24" i="67"/>
  <c r="U24" i="67"/>
  <c r="T24" i="67"/>
  <c r="S24" i="67"/>
  <c r="R24" i="67"/>
  <c r="Q24" i="67"/>
  <c r="P24" i="67"/>
  <c r="O24" i="67"/>
  <c r="N24" i="67"/>
  <c r="M24" i="67"/>
  <c r="L24" i="67"/>
  <c r="K24" i="67"/>
  <c r="J24" i="67"/>
  <c r="I24" i="67"/>
  <c r="H24" i="67"/>
  <c r="G24" i="67"/>
  <c r="F24" i="67"/>
  <c r="E24" i="67"/>
  <c r="D24" i="67"/>
  <c r="AP23" i="67"/>
  <c r="AO23" i="67"/>
  <c r="AN23" i="67"/>
  <c r="AM23" i="67"/>
  <c r="AL23" i="67"/>
  <c r="AK23" i="67"/>
  <c r="AK26" i="67" s="1"/>
  <c r="AK14" i="74" s="1"/>
  <c r="AJ23" i="67"/>
  <c r="AJ26" i="67" s="1"/>
  <c r="AJ14" i="74" s="1"/>
  <c r="AI23" i="67"/>
  <c r="AI26" i="67" s="1"/>
  <c r="AI14" i="74" s="1"/>
  <c r="AH23" i="67"/>
  <c r="AH26" i="67" s="1"/>
  <c r="AH14" i="74" s="1"/>
  <c r="AG23" i="67"/>
  <c r="AG26" i="67" s="1"/>
  <c r="AG14" i="74" s="1"/>
  <c r="AF23" i="67"/>
  <c r="AF26" i="67" s="1"/>
  <c r="AF14" i="74" s="1"/>
  <c r="AE23" i="67"/>
  <c r="AD23" i="67"/>
  <c r="AC23" i="67"/>
  <c r="AB23" i="67"/>
  <c r="AA23" i="67"/>
  <c r="Z23" i="67"/>
  <c r="Y23" i="67"/>
  <c r="X23" i="67"/>
  <c r="W23" i="67"/>
  <c r="V23" i="67"/>
  <c r="V26" i="67" s="1"/>
  <c r="V14" i="74" s="1"/>
  <c r="U23" i="67"/>
  <c r="U26" i="67" s="1"/>
  <c r="U14" i="74" s="1"/>
  <c r="T23" i="67"/>
  <c r="T26" i="67" s="1"/>
  <c r="T14" i="74" s="1"/>
  <c r="S23" i="67"/>
  <c r="R23" i="67"/>
  <c r="Q23" i="67"/>
  <c r="P23" i="67"/>
  <c r="O23" i="67"/>
  <c r="N23" i="67"/>
  <c r="M23" i="67"/>
  <c r="M26" i="67" s="1"/>
  <c r="M14" i="74" s="1"/>
  <c r="L23" i="67"/>
  <c r="K23" i="67"/>
  <c r="J23" i="67"/>
  <c r="I23" i="67"/>
  <c r="H23" i="67"/>
  <c r="H26" i="67" s="1"/>
  <c r="H14" i="74" s="1"/>
  <c r="G23" i="67"/>
  <c r="G26" i="67" s="1"/>
  <c r="G14" i="74" s="1"/>
  <c r="F23" i="67"/>
  <c r="F26" i="67" s="1"/>
  <c r="F14" i="74" s="1"/>
  <c r="E23" i="67"/>
  <c r="C23" i="67" s="1"/>
  <c r="D23" i="67"/>
  <c r="P22" i="67"/>
  <c r="AP17" i="67"/>
  <c r="AO17" i="67"/>
  <c r="AN17" i="67"/>
  <c r="AM17" i="67"/>
  <c r="AL17" i="67"/>
  <c r="AK17" i="67"/>
  <c r="AJ17" i="67"/>
  <c r="AI17" i="67"/>
  <c r="AH17" i="67"/>
  <c r="AG17" i="67"/>
  <c r="AF17" i="67"/>
  <c r="AE17" i="67"/>
  <c r="AD17" i="67"/>
  <c r="AC17" i="67"/>
  <c r="AB17" i="67"/>
  <c r="AA17" i="67"/>
  <c r="Z17" i="67"/>
  <c r="Y17" i="67"/>
  <c r="X17" i="67"/>
  <c r="W17" i="67"/>
  <c r="V17" i="67"/>
  <c r="U17" i="67"/>
  <c r="T17" i="67"/>
  <c r="S17" i="67"/>
  <c r="R17" i="67"/>
  <c r="Q17" i="67"/>
  <c r="P17" i="67"/>
  <c r="O17" i="67"/>
  <c r="N17" i="67"/>
  <c r="M17" i="67"/>
  <c r="L17" i="67"/>
  <c r="K17" i="67"/>
  <c r="J17" i="67"/>
  <c r="I17" i="67"/>
  <c r="H17" i="67"/>
  <c r="G17" i="67"/>
  <c r="F17" i="67"/>
  <c r="C17" i="67" s="1"/>
  <c r="E17" i="67"/>
  <c r="D17" i="67"/>
  <c r="C16" i="67"/>
  <c r="C15" i="67"/>
  <c r="C14" i="67"/>
  <c r="P13" i="67"/>
  <c r="E13" i="67"/>
  <c r="AP8" i="67"/>
  <c r="AO8" i="67"/>
  <c r="AN8" i="67"/>
  <c r="AM8" i="67"/>
  <c r="AL8" i="67"/>
  <c r="AK8" i="67"/>
  <c r="AJ8" i="67"/>
  <c r="AI8" i="67"/>
  <c r="AH8" i="67"/>
  <c r="AG8" i="67"/>
  <c r="AF8" i="67"/>
  <c r="AE8" i="67"/>
  <c r="AD8" i="67"/>
  <c r="AC8" i="67"/>
  <c r="AB8" i="67"/>
  <c r="AA8" i="67"/>
  <c r="Z8" i="67"/>
  <c r="Y8" i="67"/>
  <c r="X8" i="67"/>
  <c r="W8" i="67"/>
  <c r="V8" i="67"/>
  <c r="U8" i="67"/>
  <c r="T8" i="67"/>
  <c r="S8" i="67"/>
  <c r="R8" i="67"/>
  <c r="Q8" i="67"/>
  <c r="P8" i="67"/>
  <c r="O8" i="67"/>
  <c r="N8" i="67"/>
  <c r="M8" i="67"/>
  <c r="L8" i="67"/>
  <c r="K8" i="67"/>
  <c r="J8" i="67"/>
  <c r="I8" i="67"/>
  <c r="H8" i="67"/>
  <c r="G8" i="67"/>
  <c r="F8" i="67"/>
  <c r="E8" i="67"/>
  <c r="D8" i="67"/>
  <c r="C7" i="67"/>
  <c r="C6" i="67"/>
  <c r="C5" i="67"/>
  <c r="AO4" i="67"/>
  <c r="AN4" i="67"/>
  <c r="AM4" i="67"/>
  <c r="AG4" i="67"/>
  <c r="AB4" i="67"/>
  <c r="AA4" i="67"/>
  <c r="Y4" i="67"/>
  <c r="P4" i="67"/>
  <c r="O4" i="67"/>
  <c r="G4" i="67"/>
  <c r="E4" i="67"/>
  <c r="E22" i="67" s="1"/>
  <c r="D4" i="67"/>
  <c r="D13" i="67" s="1"/>
  <c r="AC69" i="66"/>
  <c r="O69" i="66"/>
  <c r="M69" i="66"/>
  <c r="F69" i="66"/>
  <c r="AP68" i="66"/>
  <c r="AL68" i="66"/>
  <c r="AK68" i="66"/>
  <c r="AJ68" i="66"/>
  <c r="AI68" i="66"/>
  <c r="AH68" i="66"/>
  <c r="AG68" i="66"/>
  <c r="AF68" i="66"/>
  <c r="AB68" i="66"/>
  <c r="AA68" i="66"/>
  <c r="X68" i="66"/>
  <c r="W68" i="66"/>
  <c r="V68" i="66"/>
  <c r="U68" i="66"/>
  <c r="S68" i="66"/>
  <c r="R68" i="66"/>
  <c r="N68" i="66"/>
  <c r="M68" i="66"/>
  <c r="L68" i="66"/>
  <c r="J68" i="66"/>
  <c r="I68" i="66"/>
  <c r="H68" i="66"/>
  <c r="G68" i="66"/>
  <c r="E68" i="66"/>
  <c r="D68" i="66"/>
  <c r="AM67" i="66"/>
  <c r="AJ67" i="66"/>
  <c r="AI67" i="66"/>
  <c r="AH67" i="66"/>
  <c r="AG67" i="66"/>
  <c r="AF67" i="66"/>
  <c r="AE67" i="66"/>
  <c r="Y67" i="66"/>
  <c r="V67" i="66"/>
  <c r="U67" i="66"/>
  <c r="T67" i="66"/>
  <c r="S67" i="66"/>
  <c r="Q67" i="66"/>
  <c r="P67" i="66"/>
  <c r="L67" i="66"/>
  <c r="K67" i="66"/>
  <c r="H67" i="66"/>
  <c r="G67" i="66"/>
  <c r="F67" i="66"/>
  <c r="E67" i="66"/>
  <c r="AP66" i="66"/>
  <c r="AL66" i="66"/>
  <c r="AK66" i="66"/>
  <c r="AH66" i="66"/>
  <c r="AG66" i="66"/>
  <c r="AF66" i="66"/>
  <c r="AE66" i="66"/>
  <c r="AB66" i="66"/>
  <c r="X66" i="66"/>
  <c r="W66" i="66"/>
  <c r="U66" i="66"/>
  <c r="T66" i="66"/>
  <c r="S66" i="66"/>
  <c r="R66" i="66"/>
  <c r="Q66" i="66"/>
  <c r="N66" i="66"/>
  <c r="J66" i="66"/>
  <c r="H66" i="66"/>
  <c r="F66" i="66"/>
  <c r="E66" i="66"/>
  <c r="D66" i="66"/>
  <c r="AP65" i="66"/>
  <c r="AP69" i="66" s="1"/>
  <c r="AN65" i="66"/>
  <c r="AH65" i="66"/>
  <c r="AE65" i="66"/>
  <c r="AD65" i="66"/>
  <c r="AC65" i="66"/>
  <c r="AB65" i="66"/>
  <c r="AA65" i="66"/>
  <c r="AA69" i="66" s="1"/>
  <c r="AA73" i="66" s="1"/>
  <c r="AA13" i="74" s="1"/>
  <c r="Z65" i="66"/>
  <c r="V65" i="66"/>
  <c r="V69" i="66" s="1"/>
  <c r="V73" i="66" s="1"/>
  <c r="V13" i="74" s="1"/>
  <c r="U65" i="66"/>
  <c r="T65" i="66"/>
  <c r="Q65" i="66"/>
  <c r="P65" i="66"/>
  <c r="O65" i="66"/>
  <c r="L65" i="66"/>
  <c r="G65" i="66"/>
  <c r="F65" i="66"/>
  <c r="AP61" i="66"/>
  <c r="AO61" i="66"/>
  <c r="AO68" i="66" s="1"/>
  <c r="AN61" i="66"/>
  <c r="AN68" i="66" s="1"/>
  <c r="AM61" i="66"/>
  <c r="AM68" i="66" s="1"/>
  <c r="AL61" i="66"/>
  <c r="AK61" i="66"/>
  <c r="AJ61" i="66"/>
  <c r="AI61" i="66"/>
  <c r="AH61" i="66"/>
  <c r="AG61" i="66"/>
  <c r="AF61" i="66"/>
  <c r="AE61" i="66"/>
  <c r="AE68" i="66" s="1"/>
  <c r="AD61" i="66"/>
  <c r="AD68" i="66" s="1"/>
  <c r="AC61" i="66"/>
  <c r="AC68" i="66" s="1"/>
  <c r="AB61" i="66"/>
  <c r="AA61" i="66"/>
  <c r="Z61" i="66"/>
  <c r="Z68" i="66" s="1"/>
  <c r="Y61" i="66"/>
  <c r="Y68" i="66" s="1"/>
  <c r="X61" i="66"/>
  <c r="W61" i="66"/>
  <c r="V61" i="66"/>
  <c r="U61" i="66"/>
  <c r="T61" i="66"/>
  <c r="T68" i="66" s="1"/>
  <c r="S61" i="66"/>
  <c r="R61" i="66"/>
  <c r="Q61" i="66"/>
  <c r="Q68" i="66" s="1"/>
  <c r="P61" i="66"/>
  <c r="P68" i="66" s="1"/>
  <c r="O61" i="66"/>
  <c r="O68" i="66" s="1"/>
  <c r="N61" i="66"/>
  <c r="M61" i="66"/>
  <c r="L61" i="66"/>
  <c r="K61" i="66"/>
  <c r="K68" i="66" s="1"/>
  <c r="J61" i="66"/>
  <c r="I61" i="66"/>
  <c r="H61" i="66"/>
  <c r="G61" i="66"/>
  <c r="F61" i="66"/>
  <c r="F68" i="66" s="1"/>
  <c r="E61" i="66"/>
  <c r="D61" i="66"/>
  <c r="AP60" i="66"/>
  <c r="AP67" i="66" s="1"/>
  <c r="AO60" i="66"/>
  <c r="AO67" i="66" s="1"/>
  <c r="AN60" i="66"/>
  <c r="AN67" i="66" s="1"/>
  <c r="AM60" i="66"/>
  <c r="AL60" i="66"/>
  <c r="AL67" i="66" s="1"/>
  <c r="AK60" i="66"/>
  <c r="AK67" i="66" s="1"/>
  <c r="AJ60" i="66"/>
  <c r="AI60" i="66"/>
  <c r="AH60" i="66"/>
  <c r="AG60" i="66"/>
  <c r="AF60" i="66"/>
  <c r="AE60" i="66"/>
  <c r="AD60" i="66"/>
  <c r="AD67" i="66" s="1"/>
  <c r="AC60" i="66"/>
  <c r="AC67" i="66" s="1"/>
  <c r="AB60" i="66"/>
  <c r="AB67" i="66" s="1"/>
  <c r="AA60" i="66"/>
  <c r="AA67" i="66" s="1"/>
  <c r="Z60" i="66"/>
  <c r="Z67" i="66" s="1"/>
  <c r="Y60" i="66"/>
  <c r="X60" i="66"/>
  <c r="X67" i="66" s="1"/>
  <c r="W60" i="66"/>
  <c r="W67" i="66" s="1"/>
  <c r="V60" i="66"/>
  <c r="U60" i="66"/>
  <c r="T60" i="66"/>
  <c r="S60" i="66"/>
  <c r="R60" i="66"/>
  <c r="R67" i="66" s="1"/>
  <c r="Q60" i="66"/>
  <c r="P60" i="66"/>
  <c r="O60" i="66"/>
  <c r="O67" i="66" s="1"/>
  <c r="N60" i="66"/>
  <c r="N67" i="66" s="1"/>
  <c r="M60" i="66"/>
  <c r="M67" i="66" s="1"/>
  <c r="L60" i="66"/>
  <c r="K60" i="66"/>
  <c r="J60" i="66"/>
  <c r="J67" i="66" s="1"/>
  <c r="I60" i="66"/>
  <c r="I67" i="66" s="1"/>
  <c r="H60" i="66"/>
  <c r="G60" i="66"/>
  <c r="F60" i="66"/>
  <c r="E60" i="66"/>
  <c r="D60" i="66"/>
  <c r="AP59" i="66"/>
  <c r="AO59" i="66"/>
  <c r="AO66" i="66" s="1"/>
  <c r="AN59" i="66"/>
  <c r="AN66" i="66" s="1"/>
  <c r="AM59" i="66"/>
  <c r="AM66" i="66" s="1"/>
  <c r="AL59" i="66"/>
  <c r="AK59" i="66"/>
  <c r="AJ59" i="66"/>
  <c r="AJ66" i="66" s="1"/>
  <c r="AI59" i="66"/>
  <c r="AI66" i="66" s="1"/>
  <c r="AH59" i="66"/>
  <c r="AG59" i="66"/>
  <c r="AF59" i="66"/>
  <c r="AE59" i="66"/>
  <c r="AD59" i="66"/>
  <c r="AD66" i="66" s="1"/>
  <c r="AD69" i="66" s="1"/>
  <c r="AC59" i="66"/>
  <c r="AC66" i="66" s="1"/>
  <c r="AB59" i="66"/>
  <c r="AA59" i="66"/>
  <c r="AA66" i="66" s="1"/>
  <c r="Z59" i="66"/>
  <c r="Z66" i="66" s="1"/>
  <c r="Z69" i="66" s="1"/>
  <c r="Y59" i="66"/>
  <c r="Y66" i="66" s="1"/>
  <c r="X59" i="66"/>
  <c r="W59" i="66"/>
  <c r="V59" i="66"/>
  <c r="V66" i="66" s="1"/>
  <c r="U59" i="66"/>
  <c r="T59" i="66"/>
  <c r="S59" i="66"/>
  <c r="R59" i="66"/>
  <c r="Q59" i="66"/>
  <c r="P59" i="66"/>
  <c r="P66" i="66" s="1"/>
  <c r="O59" i="66"/>
  <c r="O66" i="66" s="1"/>
  <c r="N59" i="66"/>
  <c r="M59" i="66"/>
  <c r="M66" i="66" s="1"/>
  <c r="L59" i="66"/>
  <c r="L66" i="66" s="1"/>
  <c r="K59" i="66"/>
  <c r="K66" i="66" s="1"/>
  <c r="J59" i="66"/>
  <c r="I59" i="66"/>
  <c r="I66" i="66" s="1"/>
  <c r="H59" i="66"/>
  <c r="G59" i="66"/>
  <c r="G66" i="66" s="1"/>
  <c r="G69" i="66" s="1"/>
  <c r="F59" i="66"/>
  <c r="E59" i="66"/>
  <c r="D59" i="66"/>
  <c r="AP58" i="66"/>
  <c r="AO58" i="66"/>
  <c r="AO65" i="66" s="1"/>
  <c r="AO69" i="66" s="1"/>
  <c r="AN58" i="66"/>
  <c r="AM58" i="66"/>
  <c r="AM65" i="66" s="1"/>
  <c r="AL58" i="66"/>
  <c r="AL65" i="66" s="1"/>
  <c r="AK58" i="66"/>
  <c r="AK65" i="66" s="1"/>
  <c r="AK69" i="66" s="1"/>
  <c r="AJ58" i="66"/>
  <c r="AJ65" i="66" s="1"/>
  <c r="AJ69" i="66" s="1"/>
  <c r="AI58" i="66"/>
  <c r="AI65" i="66" s="1"/>
  <c r="AH58" i="66"/>
  <c r="AG58" i="66"/>
  <c r="AG65" i="66" s="1"/>
  <c r="AF58" i="66"/>
  <c r="AF65" i="66" s="1"/>
  <c r="AE58" i="66"/>
  <c r="AD58" i="66"/>
  <c r="AC58" i="66"/>
  <c r="AB58" i="66"/>
  <c r="AA58" i="66"/>
  <c r="Z58" i="66"/>
  <c r="Y58" i="66"/>
  <c r="Y65" i="66" s="1"/>
  <c r="X58" i="66"/>
  <c r="X65" i="66" s="1"/>
  <c r="W58" i="66"/>
  <c r="W65" i="66" s="1"/>
  <c r="W69" i="66" s="1"/>
  <c r="V58" i="66"/>
  <c r="U58" i="66"/>
  <c r="T58" i="66"/>
  <c r="S58" i="66"/>
  <c r="S65" i="66" s="1"/>
  <c r="S69" i="66" s="1"/>
  <c r="R58" i="66"/>
  <c r="R65" i="66" s="1"/>
  <c r="Q58" i="66"/>
  <c r="P58" i="66"/>
  <c r="O58" i="66"/>
  <c r="N58" i="66"/>
  <c r="N65" i="66" s="1"/>
  <c r="M58" i="66"/>
  <c r="M65" i="66" s="1"/>
  <c r="L58" i="66"/>
  <c r="K58" i="66"/>
  <c r="K65" i="66" s="1"/>
  <c r="J58" i="66"/>
  <c r="J65" i="66" s="1"/>
  <c r="J69" i="66" s="1"/>
  <c r="I58" i="66"/>
  <c r="I65" i="66" s="1"/>
  <c r="I69" i="66" s="1"/>
  <c r="H58" i="66"/>
  <c r="H65" i="66" s="1"/>
  <c r="H69" i="66" s="1"/>
  <c r="H73" i="66" s="1"/>
  <c r="H13" i="74" s="1"/>
  <c r="G58" i="66"/>
  <c r="F58" i="66"/>
  <c r="E58" i="66"/>
  <c r="E65" i="66" s="1"/>
  <c r="D58" i="66"/>
  <c r="AI57" i="66"/>
  <c r="AH57" i="66"/>
  <c r="AG57" i="66"/>
  <c r="AF57" i="66"/>
  <c r="AE57" i="66"/>
  <c r="U57" i="66"/>
  <c r="T57" i="66"/>
  <c r="S57" i="66"/>
  <c r="R57" i="66"/>
  <c r="Q57" i="66"/>
  <c r="L57" i="66"/>
  <c r="K57" i="66"/>
  <c r="E57" i="66"/>
  <c r="D57" i="66"/>
  <c r="C52" i="66"/>
  <c r="C51" i="66"/>
  <c r="C50" i="66"/>
  <c r="C49" i="66"/>
  <c r="AO48" i="66"/>
  <c r="AG48" i="66"/>
  <c r="AF48" i="66"/>
  <c r="AE48" i="66"/>
  <c r="AA48" i="66"/>
  <c r="Z48" i="66"/>
  <c r="Y48" i="66"/>
  <c r="S48" i="66"/>
  <c r="R48" i="66"/>
  <c r="L48" i="66"/>
  <c r="K48" i="66"/>
  <c r="I48" i="66"/>
  <c r="G48" i="66"/>
  <c r="F48" i="66"/>
  <c r="E48" i="66"/>
  <c r="D48" i="66"/>
  <c r="C43" i="66"/>
  <c r="C42" i="66"/>
  <c r="C41" i="66"/>
  <c r="C40" i="66"/>
  <c r="AP39" i="66"/>
  <c r="AO39" i="66"/>
  <c r="AN39" i="66"/>
  <c r="AM39" i="66"/>
  <c r="AH39" i="66"/>
  <c r="AB39" i="66"/>
  <c r="AA39" i="66"/>
  <c r="T39" i="66"/>
  <c r="S39" i="66"/>
  <c r="R39" i="66"/>
  <c r="N39" i="66"/>
  <c r="K39" i="66"/>
  <c r="F39" i="66"/>
  <c r="E39" i="66"/>
  <c r="D39" i="66"/>
  <c r="AD34" i="66"/>
  <c r="AB34" i="66"/>
  <c r="X34" i="66"/>
  <c r="V34" i="66"/>
  <c r="N34" i="66"/>
  <c r="AK33" i="66"/>
  <c r="AH33" i="66"/>
  <c r="AG33" i="66"/>
  <c r="AF33" i="66"/>
  <c r="AE33" i="66"/>
  <c r="W33" i="66"/>
  <c r="U33" i="66"/>
  <c r="T33" i="66"/>
  <c r="S33" i="66"/>
  <c r="P33" i="66"/>
  <c r="O33" i="66"/>
  <c r="O34" i="66" s="1"/>
  <c r="H33" i="66"/>
  <c r="E33" i="66"/>
  <c r="D33" i="66"/>
  <c r="AI32" i="66"/>
  <c r="AF32" i="66"/>
  <c r="AE32" i="66"/>
  <c r="AC32" i="66"/>
  <c r="AB32" i="66"/>
  <c r="Y32" i="66"/>
  <c r="U32" i="66"/>
  <c r="T32" i="66"/>
  <c r="R32" i="66"/>
  <c r="O32" i="66"/>
  <c r="H32" i="66"/>
  <c r="G32" i="66"/>
  <c r="F32" i="66"/>
  <c r="D32" i="66"/>
  <c r="AO31" i="66"/>
  <c r="AN31" i="66"/>
  <c r="AJ31" i="66"/>
  <c r="AH31" i="66"/>
  <c r="AG31" i="66"/>
  <c r="AF31" i="66"/>
  <c r="AD31" i="66"/>
  <c r="AC31" i="66"/>
  <c r="V31" i="66"/>
  <c r="T31" i="66"/>
  <c r="S31" i="66"/>
  <c r="R31" i="66"/>
  <c r="Q31" i="66"/>
  <c r="Q34" i="66" s="1"/>
  <c r="P31" i="66"/>
  <c r="K31" i="66"/>
  <c r="K34" i="66" s="1"/>
  <c r="H31" i="66"/>
  <c r="F31" i="66"/>
  <c r="E31" i="66"/>
  <c r="D31" i="66"/>
  <c r="AP30" i="66"/>
  <c r="AO30" i="66"/>
  <c r="AL30" i="66"/>
  <c r="AI30" i="66"/>
  <c r="AI34" i="66" s="1"/>
  <c r="AF30" i="66"/>
  <c r="AE30" i="66"/>
  <c r="AC30" i="66"/>
  <c r="AB30" i="66"/>
  <c r="AA30" i="66"/>
  <c r="AA34" i="66" s="1"/>
  <c r="U30" i="66"/>
  <c r="R30" i="66"/>
  <c r="Q30" i="66"/>
  <c r="P30" i="66"/>
  <c r="O30" i="66"/>
  <c r="N30" i="66"/>
  <c r="G30" i="66"/>
  <c r="D30" i="66"/>
  <c r="AP26" i="66"/>
  <c r="AP33" i="66" s="1"/>
  <c r="AO26" i="66"/>
  <c r="AO33" i="66" s="1"/>
  <c r="AN26" i="66"/>
  <c r="AN33" i="66" s="1"/>
  <c r="AM26" i="66"/>
  <c r="AM33" i="66" s="1"/>
  <c r="AL26" i="66"/>
  <c r="AL33" i="66" s="1"/>
  <c r="AK26" i="66"/>
  <c r="AJ26" i="66"/>
  <c r="AJ33" i="66" s="1"/>
  <c r="AI26" i="66"/>
  <c r="AI33" i="66" s="1"/>
  <c r="AH26" i="66"/>
  <c r="AG26" i="66"/>
  <c r="AF26" i="66"/>
  <c r="AE26" i="66"/>
  <c r="AD26" i="66"/>
  <c r="AD33" i="66" s="1"/>
  <c r="AC26" i="66"/>
  <c r="AC33" i="66" s="1"/>
  <c r="AB26" i="66"/>
  <c r="AB33" i="66" s="1"/>
  <c r="AA26" i="66"/>
  <c r="AA33" i="66" s="1"/>
  <c r="Z26" i="66"/>
  <c r="Z33" i="66" s="1"/>
  <c r="Y26" i="66"/>
  <c r="Y33" i="66" s="1"/>
  <c r="X26" i="66"/>
  <c r="X33" i="66" s="1"/>
  <c r="W26" i="66"/>
  <c r="V26" i="66"/>
  <c r="V33" i="66" s="1"/>
  <c r="U26" i="66"/>
  <c r="T26" i="66"/>
  <c r="S26" i="66"/>
  <c r="R26" i="66"/>
  <c r="R33" i="66" s="1"/>
  <c r="Q26" i="66"/>
  <c r="Q33" i="66" s="1"/>
  <c r="P26" i="66"/>
  <c r="O26" i="66"/>
  <c r="N26" i="66"/>
  <c r="N33" i="66" s="1"/>
  <c r="M26" i="66"/>
  <c r="M33" i="66" s="1"/>
  <c r="L26" i="66"/>
  <c r="L33" i="66" s="1"/>
  <c r="K26" i="66"/>
  <c r="K33" i="66" s="1"/>
  <c r="J26" i="66"/>
  <c r="J33" i="66" s="1"/>
  <c r="I26" i="66"/>
  <c r="I33" i="66" s="1"/>
  <c r="H26" i="66"/>
  <c r="G26" i="66"/>
  <c r="G33" i="66" s="1"/>
  <c r="F26" i="66"/>
  <c r="F33" i="66" s="1"/>
  <c r="E26" i="66"/>
  <c r="D26" i="66"/>
  <c r="AP25" i="66"/>
  <c r="AP32" i="66" s="1"/>
  <c r="AO25" i="66"/>
  <c r="AO32" i="66" s="1"/>
  <c r="AN25" i="66"/>
  <c r="AN32" i="66" s="1"/>
  <c r="AM25" i="66"/>
  <c r="AM32" i="66" s="1"/>
  <c r="AL25" i="66"/>
  <c r="AL32" i="66" s="1"/>
  <c r="AK25" i="66"/>
  <c r="AK32" i="66" s="1"/>
  <c r="AJ25" i="66"/>
  <c r="AJ32" i="66" s="1"/>
  <c r="AI25" i="66"/>
  <c r="AH25" i="66"/>
  <c r="AH32" i="66" s="1"/>
  <c r="AG25" i="66"/>
  <c r="AG32" i="66" s="1"/>
  <c r="AF25" i="66"/>
  <c r="AE25" i="66"/>
  <c r="AD25" i="66"/>
  <c r="AD32" i="66" s="1"/>
  <c r="AC25" i="66"/>
  <c r="AB25" i="66"/>
  <c r="AA25" i="66"/>
  <c r="AA32" i="66" s="1"/>
  <c r="Z25" i="66"/>
  <c r="Z32" i="66" s="1"/>
  <c r="Y25" i="66"/>
  <c r="X25" i="66"/>
  <c r="X32" i="66" s="1"/>
  <c r="W25" i="66"/>
  <c r="W32" i="66" s="1"/>
  <c r="V25" i="66"/>
  <c r="V32" i="66" s="1"/>
  <c r="U25" i="66"/>
  <c r="T25" i="66"/>
  <c r="S25" i="66"/>
  <c r="S32" i="66" s="1"/>
  <c r="R25" i="66"/>
  <c r="Q25" i="66"/>
  <c r="Q32" i="66" s="1"/>
  <c r="P25" i="66"/>
  <c r="P32" i="66" s="1"/>
  <c r="O25" i="66"/>
  <c r="N25" i="66"/>
  <c r="N32" i="66" s="1"/>
  <c r="M25" i="66"/>
  <c r="M32" i="66" s="1"/>
  <c r="L25" i="66"/>
  <c r="L32" i="66" s="1"/>
  <c r="K25" i="66"/>
  <c r="K32" i="66" s="1"/>
  <c r="J25" i="66"/>
  <c r="J32" i="66" s="1"/>
  <c r="I25" i="66"/>
  <c r="I32" i="66" s="1"/>
  <c r="H25" i="66"/>
  <c r="G25" i="66"/>
  <c r="F25" i="66"/>
  <c r="E25" i="66"/>
  <c r="D25" i="66"/>
  <c r="AP24" i="66"/>
  <c r="AP31" i="66" s="1"/>
  <c r="AO24" i="66"/>
  <c r="AN24" i="66"/>
  <c r="AM24" i="66"/>
  <c r="AM31" i="66" s="1"/>
  <c r="AL24" i="66"/>
  <c r="AL31" i="66" s="1"/>
  <c r="AK24" i="66"/>
  <c r="AK31" i="66" s="1"/>
  <c r="AJ24" i="66"/>
  <c r="AI24" i="66"/>
  <c r="AI31" i="66" s="1"/>
  <c r="AH24" i="66"/>
  <c r="AG24" i="66"/>
  <c r="AF24" i="66"/>
  <c r="AE24" i="66"/>
  <c r="AE31" i="66" s="1"/>
  <c r="AD24" i="66"/>
  <c r="AC24" i="66"/>
  <c r="AB24" i="66"/>
  <c r="AB31" i="66" s="1"/>
  <c r="AA24" i="66"/>
  <c r="AA31" i="66" s="1"/>
  <c r="Z24" i="66"/>
  <c r="Z31" i="66" s="1"/>
  <c r="Y24" i="66"/>
  <c r="Y31" i="66" s="1"/>
  <c r="X24" i="66"/>
  <c r="X31" i="66" s="1"/>
  <c r="W24" i="66"/>
  <c r="W31" i="66" s="1"/>
  <c r="V24" i="66"/>
  <c r="U24" i="66"/>
  <c r="U31" i="66" s="1"/>
  <c r="T24" i="66"/>
  <c r="S24" i="66"/>
  <c r="R24" i="66"/>
  <c r="Q24" i="66"/>
  <c r="P24" i="66"/>
  <c r="O24" i="66"/>
  <c r="O31" i="66" s="1"/>
  <c r="N24" i="66"/>
  <c r="N31" i="66" s="1"/>
  <c r="M24" i="66"/>
  <c r="M31" i="66" s="1"/>
  <c r="L24" i="66"/>
  <c r="L31" i="66" s="1"/>
  <c r="K24" i="66"/>
  <c r="J24" i="66"/>
  <c r="J31" i="66" s="1"/>
  <c r="I24" i="66"/>
  <c r="I31" i="66" s="1"/>
  <c r="H24" i="66"/>
  <c r="G24" i="66"/>
  <c r="F24" i="66"/>
  <c r="E24" i="66"/>
  <c r="D24" i="66"/>
  <c r="AP23" i="66"/>
  <c r="AO23" i="66"/>
  <c r="AN23" i="66"/>
  <c r="AN30" i="66" s="1"/>
  <c r="AM23" i="66"/>
  <c r="AM30" i="66" s="1"/>
  <c r="AL23" i="66"/>
  <c r="AK23" i="66"/>
  <c r="AK30" i="66" s="1"/>
  <c r="AJ23" i="66"/>
  <c r="AJ30" i="66" s="1"/>
  <c r="AI23" i="66"/>
  <c r="AH23" i="66"/>
  <c r="AH30" i="66" s="1"/>
  <c r="AH34" i="66" s="1"/>
  <c r="AG23" i="66"/>
  <c r="AG30" i="66" s="1"/>
  <c r="AG34" i="66" s="1"/>
  <c r="AF23" i="66"/>
  <c r="AE23" i="66"/>
  <c r="AD23" i="66"/>
  <c r="AD30" i="66" s="1"/>
  <c r="AC23" i="66"/>
  <c r="AB23" i="66"/>
  <c r="AA23" i="66"/>
  <c r="Z23" i="66"/>
  <c r="Z30" i="66" s="1"/>
  <c r="Y23" i="66"/>
  <c r="Y30" i="66" s="1"/>
  <c r="X23" i="66"/>
  <c r="X30" i="66" s="1"/>
  <c r="W23" i="66"/>
  <c r="W30" i="66" s="1"/>
  <c r="V23" i="66"/>
  <c r="V30" i="66" s="1"/>
  <c r="U23" i="66"/>
  <c r="T23" i="66"/>
  <c r="T30" i="66" s="1"/>
  <c r="T34" i="66" s="1"/>
  <c r="S23" i="66"/>
  <c r="S30" i="66" s="1"/>
  <c r="R23" i="66"/>
  <c r="Q23" i="66"/>
  <c r="P23" i="66"/>
  <c r="O23" i="66"/>
  <c r="N23" i="66"/>
  <c r="M23" i="66"/>
  <c r="M30" i="66" s="1"/>
  <c r="L23" i="66"/>
  <c r="L30" i="66" s="1"/>
  <c r="K23" i="66"/>
  <c r="K30" i="66" s="1"/>
  <c r="J23" i="66"/>
  <c r="J30" i="66" s="1"/>
  <c r="I23" i="66"/>
  <c r="I30" i="66" s="1"/>
  <c r="H23" i="66"/>
  <c r="H30" i="66" s="1"/>
  <c r="H34" i="66" s="1"/>
  <c r="G23" i="66"/>
  <c r="F23" i="66"/>
  <c r="F30" i="66" s="1"/>
  <c r="F34" i="66" s="1"/>
  <c r="E23" i="66"/>
  <c r="E30" i="66" s="1"/>
  <c r="D23" i="66"/>
  <c r="AP22" i="66"/>
  <c r="AO22" i="66"/>
  <c r="AM22" i="66"/>
  <c r="AG22" i="66"/>
  <c r="AF22" i="66"/>
  <c r="AE22" i="66"/>
  <c r="AB22" i="66"/>
  <c r="AA22" i="66"/>
  <c r="Y22" i="66"/>
  <c r="U22" i="66"/>
  <c r="T22" i="66"/>
  <c r="R22" i="66"/>
  <c r="Q22" i="66"/>
  <c r="N22" i="66"/>
  <c r="M22" i="66"/>
  <c r="E22" i="66"/>
  <c r="D22" i="66"/>
  <c r="C17" i="66"/>
  <c r="C16" i="66"/>
  <c r="C15" i="66"/>
  <c r="C14" i="66"/>
  <c r="AP13" i="66"/>
  <c r="AN13" i="66"/>
  <c r="AK13" i="66"/>
  <c r="AI13" i="66"/>
  <c r="AG13" i="66"/>
  <c r="AF13" i="66"/>
  <c r="AE13" i="66"/>
  <c r="AB13" i="66"/>
  <c r="Z13" i="66"/>
  <c r="Y13" i="66"/>
  <c r="W13" i="66"/>
  <c r="S13" i="66"/>
  <c r="R13" i="66"/>
  <c r="Q13" i="66"/>
  <c r="N13" i="66"/>
  <c r="L13" i="66"/>
  <c r="I13" i="66"/>
  <c r="G13" i="66"/>
  <c r="F13" i="66"/>
  <c r="E13" i="66"/>
  <c r="D13" i="66"/>
  <c r="C8" i="66"/>
  <c r="C7" i="66"/>
  <c r="C6" i="66"/>
  <c r="C5" i="66"/>
  <c r="AP4" i="66"/>
  <c r="AO4" i="66"/>
  <c r="AN4" i="66"/>
  <c r="AM4" i="66"/>
  <c r="AM48" i="66" s="1"/>
  <c r="AL4" i="66"/>
  <c r="AK4" i="66"/>
  <c r="AJ4" i="66"/>
  <c r="AI4" i="66"/>
  <c r="AH4" i="66"/>
  <c r="AH22" i="66" s="1"/>
  <c r="AG4" i="66"/>
  <c r="AG39" i="66" s="1"/>
  <c r="AF4" i="66"/>
  <c r="AF39" i="66" s="1"/>
  <c r="AE4" i="66"/>
  <c r="AE39" i="66" s="1"/>
  <c r="AD4" i="66"/>
  <c r="AC4" i="66"/>
  <c r="AB4" i="66"/>
  <c r="AA4" i="66"/>
  <c r="Z4" i="66"/>
  <c r="Y4" i="66"/>
  <c r="Y39" i="66" s="1"/>
  <c r="X4" i="66"/>
  <c r="W4" i="66"/>
  <c r="V4" i="66"/>
  <c r="U4" i="66"/>
  <c r="T4" i="66"/>
  <c r="T48" i="66" s="1"/>
  <c r="S4" i="66"/>
  <c r="S22" i="66" s="1"/>
  <c r="R4" i="66"/>
  <c r="Q4" i="66"/>
  <c r="Q39" i="66" s="1"/>
  <c r="P4" i="66"/>
  <c r="O4" i="66"/>
  <c r="O13" i="66" s="1"/>
  <c r="N4" i="66"/>
  <c r="M4" i="66"/>
  <c r="M48" i="66" s="1"/>
  <c r="L4" i="66"/>
  <c r="K4" i="66"/>
  <c r="K13" i="66" s="1"/>
  <c r="J4" i="66"/>
  <c r="I4" i="66"/>
  <c r="H4" i="66"/>
  <c r="G4" i="66"/>
  <c r="F4" i="66"/>
  <c r="E4" i="66"/>
  <c r="AJ87" i="65"/>
  <c r="AI87" i="65"/>
  <c r="AF87" i="65"/>
  <c r="AD87" i="65"/>
  <c r="Z87" i="65"/>
  <c r="Y87" i="65"/>
  <c r="W87" i="65"/>
  <c r="U87" i="65"/>
  <c r="P87" i="65"/>
  <c r="O87" i="65"/>
  <c r="L87" i="65"/>
  <c r="K87" i="65"/>
  <c r="G87" i="65"/>
  <c r="D87" i="65"/>
  <c r="AI86" i="65"/>
  <c r="AG86" i="65"/>
  <c r="W86" i="65"/>
  <c r="S86" i="65"/>
  <c r="P86" i="65"/>
  <c r="O86" i="65"/>
  <c r="L86" i="65"/>
  <c r="J86" i="65"/>
  <c r="E86" i="65"/>
  <c r="AI85" i="65"/>
  <c r="AG85" i="65"/>
  <c r="Y85" i="65"/>
  <c r="S85" i="65"/>
  <c r="Q85" i="65"/>
  <c r="K85" i="65"/>
  <c r="G85" i="65"/>
  <c r="AE84" i="65"/>
  <c r="AD84" i="65"/>
  <c r="AC84" i="65"/>
  <c r="AA84" i="65"/>
  <c r="Z84" i="65"/>
  <c r="V84" i="65"/>
  <c r="O84" i="65"/>
  <c r="N84" i="65"/>
  <c r="K84" i="65"/>
  <c r="AP72" i="65"/>
  <c r="AO72" i="65"/>
  <c r="AN72" i="65"/>
  <c r="AJ72" i="65"/>
  <c r="AG72" i="65"/>
  <c r="AF72" i="65"/>
  <c r="U72" i="65"/>
  <c r="O72" i="65"/>
  <c r="N72" i="65"/>
  <c r="M72" i="65"/>
  <c r="AI71" i="65"/>
  <c r="X71" i="65"/>
  <c r="M71" i="65"/>
  <c r="AN70" i="65"/>
  <c r="AK70" i="65"/>
  <c r="AB70" i="65"/>
  <c r="Y70" i="65"/>
  <c r="X70" i="65"/>
  <c r="W70" i="65"/>
  <c r="V70" i="65"/>
  <c r="U70" i="65"/>
  <c r="R70" i="65"/>
  <c r="O70" i="65"/>
  <c r="H70" i="65"/>
  <c r="G70" i="65"/>
  <c r="AN66" i="65"/>
  <c r="AG66" i="65"/>
  <c r="AC66" i="65"/>
  <c r="AC72" i="65" s="1"/>
  <c r="AB66" i="65"/>
  <c r="AB72" i="65" s="1"/>
  <c r="Z66" i="65"/>
  <c r="Z72" i="65" s="1"/>
  <c r="S66" i="65"/>
  <c r="S72" i="65" s="1"/>
  <c r="R66" i="65"/>
  <c r="R72" i="65" s="1"/>
  <c r="Q66" i="65"/>
  <c r="Q72" i="65" s="1"/>
  <c r="O66" i="65"/>
  <c r="N66" i="65"/>
  <c r="L66" i="65"/>
  <c r="L72" i="65" s="1"/>
  <c r="J66" i="65"/>
  <c r="J72" i="65" s="1"/>
  <c r="E66" i="65"/>
  <c r="E72" i="65" s="1"/>
  <c r="AG65" i="65"/>
  <c r="AG71" i="65" s="1"/>
  <c r="AE65" i="65"/>
  <c r="AE71" i="65" s="1"/>
  <c r="AD65" i="65"/>
  <c r="AD71" i="65" s="1"/>
  <c r="Q65" i="65"/>
  <c r="Q71" i="65" s="1"/>
  <c r="O65" i="65"/>
  <c r="O71" i="65" s="1"/>
  <c r="L65" i="65"/>
  <c r="L71" i="65" s="1"/>
  <c r="J65" i="65"/>
  <c r="J71" i="65" s="1"/>
  <c r="E65" i="65"/>
  <c r="E71" i="65" s="1"/>
  <c r="AP64" i="65"/>
  <c r="AP70" i="65" s="1"/>
  <c r="AM64" i="65"/>
  <c r="AM70" i="65" s="1"/>
  <c r="AL64" i="65"/>
  <c r="AL70" i="65" s="1"/>
  <c r="AJ64" i="65"/>
  <c r="AJ70" i="65" s="1"/>
  <c r="AI64" i="65"/>
  <c r="AI70" i="65" s="1"/>
  <c r="AE64" i="65"/>
  <c r="AE70" i="65" s="1"/>
  <c r="AC64" i="65"/>
  <c r="AC70" i="65" s="1"/>
  <c r="AB64" i="65"/>
  <c r="AA64" i="65"/>
  <c r="AA70" i="65" s="1"/>
  <c r="Z64" i="65"/>
  <c r="Z70" i="65" s="1"/>
  <c r="Y64" i="65"/>
  <c r="X64" i="65"/>
  <c r="V64" i="65"/>
  <c r="U64" i="65"/>
  <c r="Q64" i="65"/>
  <c r="Q70" i="65" s="1"/>
  <c r="P64" i="65"/>
  <c r="P70" i="65" s="1"/>
  <c r="O64" i="65"/>
  <c r="N64" i="65"/>
  <c r="N70" i="65" s="1"/>
  <c r="L64" i="65"/>
  <c r="L70" i="65" s="1"/>
  <c r="K64" i="65"/>
  <c r="K70" i="65" s="1"/>
  <c r="J64" i="65"/>
  <c r="J70" i="65" s="1"/>
  <c r="H64" i="65"/>
  <c r="G64" i="65"/>
  <c r="AP63" i="65"/>
  <c r="AP65" i="65" s="1"/>
  <c r="AP71" i="65" s="1"/>
  <c r="AO63" i="65"/>
  <c r="AO65" i="65" s="1"/>
  <c r="AO71" i="65" s="1"/>
  <c r="AN63" i="65"/>
  <c r="AM63" i="65"/>
  <c r="AL63" i="65"/>
  <c r="AL65" i="65" s="1"/>
  <c r="AL71" i="65" s="1"/>
  <c r="AK63" i="65"/>
  <c r="AJ63" i="65"/>
  <c r="AI63" i="65"/>
  <c r="AH63" i="65"/>
  <c r="AG63" i="65"/>
  <c r="AF63" i="65"/>
  <c r="AE63" i="65"/>
  <c r="AD63" i="65"/>
  <c r="AC63" i="65"/>
  <c r="AB63" i="65"/>
  <c r="AA63" i="65"/>
  <c r="AA65" i="65" s="1"/>
  <c r="AA71" i="65" s="1"/>
  <c r="Z63" i="65"/>
  <c r="Z65" i="65" s="1"/>
  <c r="Z71" i="65" s="1"/>
  <c r="Y63" i="65"/>
  <c r="X63" i="65"/>
  <c r="X65" i="65" s="1"/>
  <c r="W63" i="65"/>
  <c r="V63" i="65"/>
  <c r="U63" i="65"/>
  <c r="T63" i="65"/>
  <c r="S63" i="65"/>
  <c r="R63" i="65"/>
  <c r="Q63" i="65"/>
  <c r="P63" i="65"/>
  <c r="O63" i="65"/>
  <c r="N63" i="65"/>
  <c r="M63" i="65"/>
  <c r="M65" i="65" s="1"/>
  <c r="L63" i="65"/>
  <c r="K63" i="65"/>
  <c r="J63" i="65"/>
  <c r="I63" i="65"/>
  <c r="I87" i="65" s="1"/>
  <c r="H63" i="65"/>
  <c r="H87" i="65" s="1"/>
  <c r="G63" i="65"/>
  <c r="F63" i="65"/>
  <c r="E63" i="65"/>
  <c r="E87" i="65" s="1"/>
  <c r="D63" i="65"/>
  <c r="AP62" i="65"/>
  <c r="AP66" i="65" s="1"/>
  <c r="AO62" i="65"/>
  <c r="AO66" i="65" s="1"/>
  <c r="AN62" i="65"/>
  <c r="AM62" i="65"/>
  <c r="AM66" i="65" s="1"/>
  <c r="AM72" i="65" s="1"/>
  <c r="AL62" i="65"/>
  <c r="AK62" i="65"/>
  <c r="AK66" i="65" s="1"/>
  <c r="AK72" i="65" s="1"/>
  <c r="AJ62" i="65"/>
  <c r="AJ66" i="65" s="1"/>
  <c r="AI62" i="65"/>
  <c r="AI66" i="65" s="1"/>
  <c r="AI72" i="65" s="1"/>
  <c r="AH62" i="65"/>
  <c r="AG62" i="65"/>
  <c r="AF62" i="65"/>
  <c r="AF66" i="65" s="1"/>
  <c r="AE62" i="65"/>
  <c r="AD62" i="65"/>
  <c r="AD66" i="65" s="1"/>
  <c r="AD72" i="65" s="1"/>
  <c r="AC62" i="65"/>
  <c r="AB62" i="65"/>
  <c r="AA62" i="65"/>
  <c r="AA66" i="65" s="1"/>
  <c r="AA72" i="65" s="1"/>
  <c r="Z62" i="65"/>
  <c r="Y62" i="65"/>
  <c r="Y66" i="65" s="1"/>
  <c r="Y72" i="65" s="1"/>
  <c r="X62" i="65"/>
  <c r="X66" i="65" s="1"/>
  <c r="X72" i="65" s="1"/>
  <c r="W62" i="65"/>
  <c r="W66" i="65" s="1"/>
  <c r="W72" i="65" s="1"/>
  <c r="V62" i="65"/>
  <c r="V66" i="65" s="1"/>
  <c r="V72" i="65" s="1"/>
  <c r="U62" i="65"/>
  <c r="U66" i="65" s="1"/>
  <c r="T62" i="65"/>
  <c r="S62" i="65"/>
  <c r="R62" i="65"/>
  <c r="Q62" i="65"/>
  <c r="P62" i="65"/>
  <c r="P66" i="65" s="1"/>
  <c r="P72" i="65" s="1"/>
  <c r="O62" i="65"/>
  <c r="N62" i="65"/>
  <c r="M62" i="65"/>
  <c r="M66" i="65" s="1"/>
  <c r="L62" i="65"/>
  <c r="K62" i="65"/>
  <c r="K66" i="65" s="1"/>
  <c r="K72" i="65" s="1"/>
  <c r="J62" i="65"/>
  <c r="I62" i="65"/>
  <c r="I66" i="65" s="1"/>
  <c r="I72" i="65" s="1"/>
  <c r="H62" i="65"/>
  <c r="H66" i="65" s="1"/>
  <c r="H72" i="65" s="1"/>
  <c r="G62" i="65"/>
  <c r="G66" i="65" s="1"/>
  <c r="G72" i="65" s="1"/>
  <c r="F62" i="65"/>
  <c r="E62" i="65"/>
  <c r="D62" i="65"/>
  <c r="D66" i="65" s="1"/>
  <c r="D72" i="65" s="1"/>
  <c r="AP61" i="65"/>
  <c r="AP85" i="65" s="1"/>
  <c r="AO61" i="65"/>
  <c r="AN61" i="65"/>
  <c r="AM61" i="65"/>
  <c r="AL61" i="65"/>
  <c r="AK61" i="65"/>
  <c r="AK65" i="65" s="1"/>
  <c r="AK71" i="65" s="1"/>
  <c r="AJ61" i="65"/>
  <c r="AI61" i="65"/>
  <c r="AI65" i="65" s="1"/>
  <c r="AH61" i="65"/>
  <c r="AG61" i="65"/>
  <c r="AF61" i="65"/>
  <c r="AF65" i="65" s="1"/>
  <c r="AF71" i="65" s="1"/>
  <c r="AE61" i="65"/>
  <c r="AD61" i="65"/>
  <c r="AD85" i="65" s="1"/>
  <c r="AC61" i="65"/>
  <c r="AB61" i="65"/>
  <c r="AA61" i="65"/>
  <c r="Z61" i="65"/>
  <c r="Y61" i="65"/>
  <c r="X61" i="65"/>
  <c r="W61" i="65"/>
  <c r="W65" i="65" s="1"/>
  <c r="W71" i="65" s="1"/>
  <c r="V61" i="65"/>
  <c r="U61" i="65"/>
  <c r="U65" i="65" s="1"/>
  <c r="U71" i="65" s="1"/>
  <c r="T61" i="65"/>
  <c r="S61" i="65"/>
  <c r="R61" i="65"/>
  <c r="Q61" i="65"/>
  <c r="P61" i="65"/>
  <c r="P65" i="65" s="1"/>
  <c r="P71" i="65" s="1"/>
  <c r="O61" i="65"/>
  <c r="N61" i="65"/>
  <c r="M61" i="65"/>
  <c r="L61" i="65"/>
  <c r="K61" i="65"/>
  <c r="J61" i="65"/>
  <c r="I61" i="65"/>
  <c r="I65" i="65" s="1"/>
  <c r="I71" i="65" s="1"/>
  <c r="H61" i="65"/>
  <c r="G61" i="65"/>
  <c r="G65" i="65" s="1"/>
  <c r="G71" i="65" s="1"/>
  <c r="F61" i="65"/>
  <c r="E61" i="65"/>
  <c r="D61" i="65"/>
  <c r="AP60" i="65"/>
  <c r="AO60" i="65"/>
  <c r="AO64" i="65" s="1"/>
  <c r="AO70" i="65" s="1"/>
  <c r="AN60" i="65"/>
  <c r="AN64" i="65" s="1"/>
  <c r="AM60" i="65"/>
  <c r="AL60" i="65"/>
  <c r="AK60" i="65"/>
  <c r="AK64" i="65" s="1"/>
  <c r="AJ60" i="65"/>
  <c r="AI60" i="65"/>
  <c r="AH60" i="65"/>
  <c r="AG60" i="65"/>
  <c r="AG64" i="65" s="1"/>
  <c r="AG70" i="65" s="1"/>
  <c r="AF60" i="65"/>
  <c r="AF64" i="65" s="1"/>
  <c r="AF70" i="65" s="1"/>
  <c r="AE60" i="65"/>
  <c r="AD60" i="65"/>
  <c r="AD64" i="65" s="1"/>
  <c r="AD70" i="65" s="1"/>
  <c r="AC60" i="65"/>
  <c r="AB60" i="65"/>
  <c r="AA60" i="65"/>
  <c r="Z60" i="65"/>
  <c r="Y60" i="65"/>
  <c r="X60" i="65"/>
  <c r="W60" i="65"/>
  <c r="W64" i="65" s="1"/>
  <c r="V60" i="65"/>
  <c r="U60" i="65"/>
  <c r="T60" i="65"/>
  <c r="S60" i="65"/>
  <c r="S64" i="65" s="1"/>
  <c r="S70" i="65" s="1"/>
  <c r="R60" i="65"/>
  <c r="R64" i="65" s="1"/>
  <c r="Q60" i="65"/>
  <c r="P60" i="65"/>
  <c r="P84" i="65" s="1"/>
  <c r="O60" i="65"/>
  <c r="N60" i="65"/>
  <c r="M60" i="65"/>
  <c r="M64" i="65" s="1"/>
  <c r="M70" i="65" s="1"/>
  <c r="L60" i="65"/>
  <c r="L84" i="65" s="1"/>
  <c r="K60" i="65"/>
  <c r="J60" i="65"/>
  <c r="I60" i="65"/>
  <c r="I64" i="65" s="1"/>
  <c r="I70" i="65" s="1"/>
  <c r="H60" i="65"/>
  <c r="G60" i="65"/>
  <c r="F60" i="65"/>
  <c r="E60" i="65"/>
  <c r="E64" i="65" s="1"/>
  <c r="E70" i="65" s="1"/>
  <c r="D60" i="65"/>
  <c r="AL59" i="65"/>
  <c r="AH59" i="65"/>
  <c r="AD59" i="65"/>
  <c r="AC59" i="65"/>
  <c r="Z59" i="65"/>
  <c r="Y59" i="65"/>
  <c r="X59" i="65"/>
  <c r="T59" i="65"/>
  <c r="Q59" i="65"/>
  <c r="P59" i="65"/>
  <c r="O59" i="65"/>
  <c r="K59" i="65"/>
  <c r="J59" i="65"/>
  <c r="F59" i="65"/>
  <c r="D59" i="65"/>
  <c r="C54" i="65"/>
  <c r="C53" i="65"/>
  <c r="C52" i="65"/>
  <c r="C51" i="65"/>
  <c r="AO50" i="65"/>
  <c r="AH50" i="65"/>
  <c r="AF50" i="65"/>
  <c r="AD50" i="65"/>
  <c r="AC50" i="65"/>
  <c r="AA50" i="65"/>
  <c r="Z50" i="65"/>
  <c r="Y50" i="65"/>
  <c r="V50" i="65"/>
  <c r="T50" i="65"/>
  <c r="P50" i="65"/>
  <c r="O50" i="65"/>
  <c r="M50" i="65"/>
  <c r="L50" i="65"/>
  <c r="H50" i="65"/>
  <c r="F50" i="65"/>
  <c r="D50" i="65"/>
  <c r="C45" i="65"/>
  <c r="C44" i="65"/>
  <c r="C43" i="65"/>
  <c r="C42" i="65"/>
  <c r="AO41" i="65"/>
  <c r="AK41" i="65"/>
  <c r="AH41" i="65"/>
  <c r="AD41" i="65"/>
  <c r="AC41" i="65"/>
  <c r="AA41" i="65"/>
  <c r="W41" i="65"/>
  <c r="V41" i="65"/>
  <c r="U41" i="65"/>
  <c r="T41" i="65"/>
  <c r="P41" i="65"/>
  <c r="O41" i="65"/>
  <c r="L41" i="65"/>
  <c r="I41" i="65"/>
  <c r="H41" i="65"/>
  <c r="F41" i="65"/>
  <c r="D41" i="65"/>
  <c r="AK35" i="65"/>
  <c r="AI35" i="65"/>
  <c r="AE35" i="65"/>
  <c r="AD35" i="65"/>
  <c r="O35" i="65"/>
  <c r="I35" i="65"/>
  <c r="S34" i="65"/>
  <c r="K34" i="65"/>
  <c r="AJ33" i="65"/>
  <c r="AA33" i="65"/>
  <c r="Y33" i="65"/>
  <c r="V33" i="65"/>
  <c r="H33" i="65"/>
  <c r="D33" i="65"/>
  <c r="AL29" i="65"/>
  <c r="AL35" i="65" s="1"/>
  <c r="AK29" i="65"/>
  <c r="AH29" i="65"/>
  <c r="AH35" i="65" s="1"/>
  <c r="AG29" i="65"/>
  <c r="AG35" i="65" s="1"/>
  <c r="AE29" i="65"/>
  <c r="AD29" i="65"/>
  <c r="Y29" i="65"/>
  <c r="Y35" i="65" s="1"/>
  <c r="X29" i="65"/>
  <c r="X35" i="65" s="1"/>
  <c r="W29" i="65"/>
  <c r="W35" i="65" s="1"/>
  <c r="V29" i="65"/>
  <c r="V35" i="65" s="1"/>
  <c r="U29" i="65"/>
  <c r="U35" i="65" s="1"/>
  <c r="T29" i="65"/>
  <c r="T35" i="65" s="1"/>
  <c r="S29" i="65"/>
  <c r="S35" i="65" s="1"/>
  <c r="J29" i="65"/>
  <c r="J35" i="65" s="1"/>
  <c r="I29" i="65"/>
  <c r="F29" i="65"/>
  <c r="F35" i="65" s="1"/>
  <c r="E29" i="65"/>
  <c r="E35" i="65" s="1"/>
  <c r="AP28" i="65"/>
  <c r="AP34" i="65" s="1"/>
  <c r="AJ28" i="65"/>
  <c r="AJ34" i="65" s="1"/>
  <c r="AI28" i="65"/>
  <c r="AI34" i="65" s="1"/>
  <c r="AF28" i="65"/>
  <c r="AF34" i="65" s="1"/>
  <c r="W28" i="65"/>
  <c r="W34" i="65" s="1"/>
  <c r="V28" i="65"/>
  <c r="V34" i="65" s="1"/>
  <c r="R28" i="65"/>
  <c r="R34" i="65" s="1"/>
  <c r="Q28" i="65"/>
  <c r="Q34" i="65" s="1"/>
  <c r="N28" i="65"/>
  <c r="N34" i="65" s="1"/>
  <c r="I28" i="65"/>
  <c r="I34" i="65" s="1"/>
  <c r="H28" i="65"/>
  <c r="H34" i="65" s="1"/>
  <c r="G28" i="65"/>
  <c r="G34" i="65" s="1"/>
  <c r="AN27" i="65"/>
  <c r="AN33" i="65" s="1"/>
  <c r="AM27" i="65"/>
  <c r="AM33" i="65" s="1"/>
  <c r="AJ27" i="65"/>
  <c r="AH27" i="65"/>
  <c r="AH33" i="65" s="1"/>
  <c r="AF27" i="65"/>
  <c r="AF33" i="65" s="1"/>
  <c r="AE27" i="65"/>
  <c r="AE33" i="65" s="1"/>
  <c r="AD27" i="65"/>
  <c r="AD33" i="65" s="1"/>
  <c r="AC27" i="65"/>
  <c r="AC33" i="65" s="1"/>
  <c r="AC77" i="65" s="1"/>
  <c r="AA27" i="65"/>
  <c r="T27" i="65"/>
  <c r="T33" i="65" s="1"/>
  <c r="R27" i="65"/>
  <c r="R33" i="65" s="1"/>
  <c r="P27" i="65"/>
  <c r="P33" i="65" s="1"/>
  <c r="O27" i="65"/>
  <c r="O33" i="65" s="1"/>
  <c r="M27" i="65"/>
  <c r="M33" i="65" s="1"/>
  <c r="L27" i="65"/>
  <c r="L33" i="65" s="1"/>
  <c r="K27" i="65"/>
  <c r="K33" i="65" s="1"/>
  <c r="H27" i="65"/>
  <c r="F27" i="65"/>
  <c r="F33" i="65" s="1"/>
  <c r="D27" i="65"/>
  <c r="AP26" i="65"/>
  <c r="AO26" i="65"/>
  <c r="AN26" i="65"/>
  <c r="AM26" i="65"/>
  <c r="AL26" i="65"/>
  <c r="AL87" i="65" s="1"/>
  <c r="AK26" i="65"/>
  <c r="AJ26" i="65"/>
  <c r="AI26" i="65"/>
  <c r="AH26" i="65"/>
  <c r="AG26" i="65"/>
  <c r="AF26" i="65"/>
  <c r="AE26" i="65"/>
  <c r="AD26" i="65"/>
  <c r="AC26" i="65"/>
  <c r="AB26" i="65"/>
  <c r="AA26" i="65"/>
  <c r="Z26" i="65"/>
  <c r="Y26" i="65"/>
  <c r="X26" i="65"/>
  <c r="X87" i="65" s="1"/>
  <c r="W26" i="65"/>
  <c r="V26" i="65"/>
  <c r="V87" i="65" s="1"/>
  <c r="U26" i="65"/>
  <c r="T26" i="65"/>
  <c r="T87" i="65" s="1"/>
  <c r="S26" i="65"/>
  <c r="S87" i="65" s="1"/>
  <c r="R26" i="65"/>
  <c r="Q26" i="65"/>
  <c r="Q87" i="65" s="1"/>
  <c r="P26" i="65"/>
  <c r="O26" i="65"/>
  <c r="O28" i="65" s="1"/>
  <c r="O34" i="65" s="1"/>
  <c r="N26" i="65"/>
  <c r="M26" i="65"/>
  <c r="L26" i="65"/>
  <c r="K26" i="65"/>
  <c r="J26" i="65"/>
  <c r="J87" i="65" s="1"/>
  <c r="I26" i="65"/>
  <c r="H26" i="65"/>
  <c r="G26" i="65"/>
  <c r="F26" i="65"/>
  <c r="E26" i="65"/>
  <c r="D26" i="65"/>
  <c r="D28" i="65" s="1"/>
  <c r="AP25" i="65"/>
  <c r="AO25" i="65"/>
  <c r="AN25" i="65"/>
  <c r="AM25" i="65"/>
  <c r="AL25" i="65"/>
  <c r="AK25" i="65"/>
  <c r="AK86" i="65" s="1"/>
  <c r="AJ25" i="65"/>
  <c r="AI25" i="65"/>
  <c r="AI29" i="65" s="1"/>
  <c r="AH25" i="65"/>
  <c r="AG25" i="65"/>
  <c r="AF25" i="65"/>
  <c r="AE25" i="65"/>
  <c r="AD25" i="65"/>
  <c r="AC25" i="65"/>
  <c r="AC29" i="65" s="1"/>
  <c r="AC35" i="65" s="1"/>
  <c r="AB25" i="65"/>
  <c r="AA25" i="65"/>
  <c r="AA29" i="65" s="1"/>
  <c r="AA35" i="65" s="1"/>
  <c r="Z25" i="65"/>
  <c r="Y25" i="65"/>
  <c r="X25" i="65"/>
  <c r="W25" i="65"/>
  <c r="V25" i="65"/>
  <c r="V86" i="65" s="1"/>
  <c r="U25" i="65"/>
  <c r="U86" i="65" s="1"/>
  <c r="T25" i="65"/>
  <c r="S25" i="65"/>
  <c r="R25" i="65"/>
  <c r="Q25" i="65"/>
  <c r="Q29" i="65" s="1"/>
  <c r="Q35" i="65" s="1"/>
  <c r="P25" i="65"/>
  <c r="P29" i="65" s="1"/>
  <c r="P35" i="65" s="1"/>
  <c r="O25" i="65"/>
  <c r="O29" i="65" s="1"/>
  <c r="N25" i="65"/>
  <c r="M25" i="65"/>
  <c r="L25" i="65"/>
  <c r="L29" i="65" s="1"/>
  <c r="L35" i="65" s="1"/>
  <c r="L79" i="65" s="1"/>
  <c r="K25" i="65"/>
  <c r="J25" i="65"/>
  <c r="I25" i="65"/>
  <c r="H25" i="65"/>
  <c r="G25" i="65"/>
  <c r="F25" i="65"/>
  <c r="E25" i="65"/>
  <c r="D25" i="65"/>
  <c r="AP24" i="65"/>
  <c r="AO24" i="65"/>
  <c r="AN24" i="65"/>
  <c r="AM24" i="65"/>
  <c r="AL24" i="65"/>
  <c r="AK24" i="65"/>
  <c r="AJ24" i="65"/>
  <c r="AI24" i="65"/>
  <c r="AH24" i="65"/>
  <c r="AH85" i="65" s="1"/>
  <c r="AG24" i="65"/>
  <c r="AG28" i="65" s="1"/>
  <c r="AG34" i="65" s="1"/>
  <c r="AF24" i="65"/>
  <c r="AE24" i="65"/>
  <c r="AE85" i="65" s="1"/>
  <c r="AD24" i="65"/>
  <c r="AD28" i="65" s="1"/>
  <c r="AD34" i="65" s="1"/>
  <c r="AC24" i="65"/>
  <c r="AB24" i="65"/>
  <c r="AA24" i="65"/>
  <c r="Z24" i="65"/>
  <c r="Y24" i="65"/>
  <c r="Y28" i="65" s="1"/>
  <c r="Y34" i="65" s="1"/>
  <c r="X24" i="65"/>
  <c r="X28" i="65" s="1"/>
  <c r="X34" i="65" s="1"/>
  <c r="W24" i="65"/>
  <c r="V24" i="65"/>
  <c r="U24" i="65"/>
  <c r="T24" i="65"/>
  <c r="S24" i="65"/>
  <c r="S28" i="65" s="1"/>
  <c r="R24" i="65"/>
  <c r="Q24" i="65"/>
  <c r="P24" i="65"/>
  <c r="O24" i="65"/>
  <c r="N24" i="65"/>
  <c r="N85" i="65" s="1"/>
  <c r="M24" i="65"/>
  <c r="L24" i="65"/>
  <c r="K24" i="65"/>
  <c r="K28" i="65" s="1"/>
  <c r="J24" i="65"/>
  <c r="I24" i="65"/>
  <c r="H24" i="65"/>
  <c r="G24" i="65"/>
  <c r="F24" i="65"/>
  <c r="F85" i="65" s="1"/>
  <c r="E24" i="65"/>
  <c r="E85" i="65" s="1"/>
  <c r="D24" i="65"/>
  <c r="AP23" i="65"/>
  <c r="AP27" i="65" s="1"/>
  <c r="AP33" i="65" s="1"/>
  <c r="AO23" i="65"/>
  <c r="AN23" i="65"/>
  <c r="AM23" i="65"/>
  <c r="AM84" i="65" s="1"/>
  <c r="AL23" i="65"/>
  <c r="AK23" i="65"/>
  <c r="AJ23" i="65"/>
  <c r="AJ84" i="65" s="1"/>
  <c r="AI23" i="65"/>
  <c r="AH23" i="65"/>
  <c r="AG23" i="65"/>
  <c r="AF23" i="65"/>
  <c r="AE23" i="65"/>
  <c r="AD23" i="65"/>
  <c r="AC23" i="65"/>
  <c r="AB23" i="65"/>
  <c r="AA23" i="65"/>
  <c r="Z23" i="65"/>
  <c r="Z27" i="65" s="1"/>
  <c r="Z33" i="65" s="1"/>
  <c r="Y23" i="65"/>
  <c r="Y27" i="65" s="1"/>
  <c r="X23" i="65"/>
  <c r="W23" i="65"/>
  <c r="V23" i="65"/>
  <c r="V27" i="65" s="1"/>
  <c r="U23" i="65"/>
  <c r="U84" i="65" s="1"/>
  <c r="T23" i="65"/>
  <c r="S23" i="65"/>
  <c r="R23" i="65"/>
  <c r="Q23" i="65"/>
  <c r="Q84" i="65" s="1"/>
  <c r="P23" i="65"/>
  <c r="O23" i="65"/>
  <c r="N23" i="65"/>
  <c r="N27" i="65" s="1"/>
  <c r="N33" i="65" s="1"/>
  <c r="M23" i="65"/>
  <c r="L23" i="65"/>
  <c r="K23" i="65"/>
  <c r="J23" i="65"/>
  <c r="I23" i="65"/>
  <c r="H23" i="65"/>
  <c r="H84" i="65" s="1"/>
  <c r="G23" i="65"/>
  <c r="F23" i="65"/>
  <c r="E23" i="65"/>
  <c r="D23" i="65"/>
  <c r="AN22" i="65"/>
  <c r="AM22" i="65"/>
  <c r="AL22" i="65"/>
  <c r="AK22" i="65"/>
  <c r="AH22" i="65"/>
  <c r="AD22" i="65"/>
  <c r="AC22" i="65"/>
  <c r="Z22" i="65"/>
  <c r="X22" i="65"/>
  <c r="W22" i="65"/>
  <c r="V22" i="65"/>
  <c r="T22" i="65"/>
  <c r="P22" i="65"/>
  <c r="O22" i="65"/>
  <c r="K22" i="65"/>
  <c r="J22" i="65"/>
  <c r="I22" i="65"/>
  <c r="G22" i="65"/>
  <c r="F22" i="65"/>
  <c r="D22" i="65"/>
  <c r="C17" i="65"/>
  <c r="C16" i="65"/>
  <c r="C15" i="65"/>
  <c r="C14" i="65"/>
  <c r="AL13" i="65"/>
  <c r="AK13" i="65"/>
  <c r="AH13" i="65"/>
  <c r="AD13" i="65"/>
  <c r="Y13" i="65"/>
  <c r="X13" i="65"/>
  <c r="W13" i="65"/>
  <c r="V13" i="65"/>
  <c r="T13" i="65"/>
  <c r="P13" i="65"/>
  <c r="M13" i="65"/>
  <c r="L13" i="65"/>
  <c r="K13" i="65"/>
  <c r="F13" i="65"/>
  <c r="D13" i="65"/>
  <c r="C8" i="65"/>
  <c r="C7" i="65"/>
  <c r="C6" i="65"/>
  <c r="C5" i="65"/>
  <c r="AP4" i="65"/>
  <c r="AO4" i="65"/>
  <c r="AN4" i="65"/>
  <c r="AN50" i="65" s="1"/>
  <c r="AM4" i="65"/>
  <c r="AL4" i="65"/>
  <c r="AK4" i="65"/>
  <c r="AJ4" i="65"/>
  <c r="AI4" i="65"/>
  <c r="AH4" i="65"/>
  <c r="AG4" i="65"/>
  <c r="AF4" i="65"/>
  <c r="AE4" i="65"/>
  <c r="AD4" i="65"/>
  <c r="AC4" i="65"/>
  <c r="AC13" i="65" s="1"/>
  <c r="AB4" i="65"/>
  <c r="AA4" i="65"/>
  <c r="Z4" i="65"/>
  <c r="Y4" i="65"/>
  <c r="X4" i="65"/>
  <c r="W4" i="65"/>
  <c r="V4" i="65"/>
  <c r="V59" i="65" s="1"/>
  <c r="U4" i="65"/>
  <c r="T4" i="65"/>
  <c r="S4" i="65"/>
  <c r="R4" i="65"/>
  <c r="Q4" i="65"/>
  <c r="P4" i="65"/>
  <c r="O4" i="65"/>
  <c r="O13" i="65" s="1"/>
  <c r="N4" i="65"/>
  <c r="M4" i="65"/>
  <c r="L4" i="65"/>
  <c r="L59" i="65" s="1"/>
  <c r="K4" i="65"/>
  <c r="J4" i="65"/>
  <c r="I4" i="65"/>
  <c r="H4" i="65"/>
  <c r="G4" i="65"/>
  <c r="F4" i="65"/>
  <c r="E4" i="65"/>
  <c r="F47" i="64"/>
  <c r="C46" i="64"/>
  <c r="C45" i="64"/>
  <c r="AO44" i="64"/>
  <c r="AN44" i="64"/>
  <c r="AL44" i="64"/>
  <c r="AF44" i="64"/>
  <c r="AE44" i="64"/>
  <c r="AC44" i="64"/>
  <c r="AB44" i="64"/>
  <c r="AA44" i="64"/>
  <c r="Y44" i="64"/>
  <c r="X44" i="64"/>
  <c r="W44" i="64"/>
  <c r="V44" i="64"/>
  <c r="T44" i="64"/>
  <c r="N44" i="64"/>
  <c r="M44" i="64"/>
  <c r="J44" i="64"/>
  <c r="I44" i="64"/>
  <c r="H44" i="64"/>
  <c r="F44" i="64"/>
  <c r="D44" i="64"/>
  <c r="AP43" i="64"/>
  <c r="AO43" i="64"/>
  <c r="AN43" i="64"/>
  <c r="AL43" i="64"/>
  <c r="AH43" i="64"/>
  <c r="AB43" i="64"/>
  <c r="AA43" i="64"/>
  <c r="Z43" i="64"/>
  <c r="Y43" i="64"/>
  <c r="X43" i="64"/>
  <c r="W43" i="64"/>
  <c r="T43" i="64"/>
  <c r="S43" i="64"/>
  <c r="N43" i="64"/>
  <c r="M43" i="64"/>
  <c r="L43" i="64"/>
  <c r="J43" i="64"/>
  <c r="I43" i="64"/>
  <c r="H43" i="64"/>
  <c r="E43" i="64"/>
  <c r="D43" i="64"/>
  <c r="AP42" i="64"/>
  <c r="AO42" i="64"/>
  <c r="AN42" i="64"/>
  <c r="AJ42" i="64"/>
  <c r="AH42" i="64"/>
  <c r="AB42" i="64"/>
  <c r="AA42" i="64"/>
  <c r="Z42" i="64"/>
  <c r="V42" i="64"/>
  <c r="T42" i="64"/>
  <c r="R42" i="64"/>
  <c r="N42" i="64"/>
  <c r="M42" i="64"/>
  <c r="L42" i="64"/>
  <c r="K42" i="64"/>
  <c r="J42" i="64"/>
  <c r="I42" i="64"/>
  <c r="F42" i="64"/>
  <c r="D42" i="64"/>
  <c r="AP41" i="64"/>
  <c r="AP44" i="64" s="1"/>
  <c r="AO41" i="64"/>
  <c r="AN41" i="64"/>
  <c r="AM41" i="64"/>
  <c r="AL41" i="64"/>
  <c r="AL42" i="64" s="1"/>
  <c r="AK41" i="64"/>
  <c r="AK43" i="64" s="1"/>
  <c r="AJ41" i="64"/>
  <c r="AI41" i="64"/>
  <c r="AH41" i="64"/>
  <c r="AH44" i="64" s="1"/>
  <c r="AG41" i="64"/>
  <c r="AF41" i="64"/>
  <c r="AF42" i="64" s="1"/>
  <c r="AE41" i="64"/>
  <c r="AD41" i="64"/>
  <c r="AD42" i="64" s="1"/>
  <c r="AC41" i="64"/>
  <c r="AC42" i="64" s="1"/>
  <c r="AB41" i="64"/>
  <c r="AA41" i="64"/>
  <c r="Z41" i="64"/>
  <c r="Z44" i="64" s="1"/>
  <c r="Y41" i="64"/>
  <c r="Y42" i="64" s="1"/>
  <c r="X41" i="64"/>
  <c r="X42" i="64" s="1"/>
  <c r="W41" i="64"/>
  <c r="W42" i="64" s="1"/>
  <c r="V41" i="64"/>
  <c r="V43" i="64" s="1"/>
  <c r="U41" i="64"/>
  <c r="T41" i="64"/>
  <c r="S41" i="64"/>
  <c r="R41" i="64"/>
  <c r="Q41" i="64"/>
  <c r="P41" i="64"/>
  <c r="O41" i="64"/>
  <c r="N41" i="64"/>
  <c r="M41" i="64"/>
  <c r="L41" i="64"/>
  <c r="L44" i="64" s="1"/>
  <c r="K41" i="64"/>
  <c r="J41" i="64"/>
  <c r="I41" i="64"/>
  <c r="H41" i="64"/>
  <c r="H42" i="64" s="1"/>
  <c r="G41" i="64"/>
  <c r="G44" i="64" s="1"/>
  <c r="F41" i="64"/>
  <c r="F43" i="64" s="1"/>
  <c r="E41" i="64"/>
  <c r="D41" i="64"/>
  <c r="C40" i="64"/>
  <c r="C39" i="64"/>
  <c r="AL38" i="64"/>
  <c r="AK38" i="64"/>
  <c r="AI38" i="64"/>
  <c r="AH38" i="64"/>
  <c r="W38" i="64"/>
  <c r="L38" i="64"/>
  <c r="D38" i="64"/>
  <c r="C29" i="64"/>
  <c r="C28" i="64"/>
  <c r="AO27" i="64"/>
  <c r="AN27" i="64"/>
  <c r="AL27" i="64"/>
  <c r="AK27" i="64"/>
  <c r="AJ27" i="64"/>
  <c r="AI27" i="64"/>
  <c r="AD27" i="64"/>
  <c r="AA27" i="64"/>
  <c r="Z27" i="64"/>
  <c r="Y27" i="64"/>
  <c r="X27" i="64"/>
  <c r="W27" i="64"/>
  <c r="V27" i="64"/>
  <c r="U27" i="64"/>
  <c r="S27" i="64"/>
  <c r="L27" i="64"/>
  <c r="J27" i="64"/>
  <c r="I27" i="64"/>
  <c r="H27" i="64"/>
  <c r="G27" i="64"/>
  <c r="E27" i="64"/>
  <c r="E32" i="64" s="1"/>
  <c r="AP26" i="64"/>
  <c r="AL26" i="64"/>
  <c r="AK26" i="64"/>
  <c r="AJ26" i="64"/>
  <c r="AG26" i="64"/>
  <c r="AE26" i="64"/>
  <c r="AC26" i="64"/>
  <c r="X26" i="64"/>
  <c r="W26" i="64"/>
  <c r="V26" i="64"/>
  <c r="U26" i="64"/>
  <c r="S26" i="64"/>
  <c r="N26" i="64"/>
  <c r="I26" i="64"/>
  <c r="H26" i="64"/>
  <c r="G26" i="64"/>
  <c r="E26" i="64"/>
  <c r="E31" i="64" s="1"/>
  <c r="AP25" i="64"/>
  <c r="AO25" i="64"/>
  <c r="AN25" i="64"/>
  <c r="AK25" i="64"/>
  <c r="AJ25" i="64"/>
  <c r="AI25" i="64"/>
  <c r="AG25" i="64"/>
  <c r="AE25" i="64"/>
  <c r="AB25" i="64"/>
  <c r="AA25" i="64"/>
  <c r="W25" i="64"/>
  <c r="V25" i="64"/>
  <c r="U25" i="64"/>
  <c r="S25" i="64"/>
  <c r="N25" i="64"/>
  <c r="M25" i="64"/>
  <c r="L25" i="64"/>
  <c r="I25" i="64"/>
  <c r="H25" i="64"/>
  <c r="F25" i="64"/>
  <c r="E25" i="64"/>
  <c r="AP24" i="64"/>
  <c r="AP27" i="64" s="1"/>
  <c r="AO24" i="64"/>
  <c r="AO26" i="64" s="1"/>
  <c r="AN24" i="64"/>
  <c r="AN26" i="64" s="1"/>
  <c r="AM24" i="64"/>
  <c r="AL24" i="64"/>
  <c r="AL25" i="64" s="1"/>
  <c r="AK24" i="64"/>
  <c r="AJ24" i="64"/>
  <c r="AI24" i="64"/>
  <c r="AI26" i="64" s="1"/>
  <c r="AH24" i="64"/>
  <c r="AG24" i="64"/>
  <c r="AG27" i="64" s="1"/>
  <c r="AF24" i="64"/>
  <c r="AE24" i="64"/>
  <c r="AE27" i="64" s="1"/>
  <c r="AD24" i="64"/>
  <c r="AC24" i="64"/>
  <c r="AC27" i="64" s="1"/>
  <c r="AB24" i="64"/>
  <c r="AB27" i="64" s="1"/>
  <c r="AA24" i="64"/>
  <c r="AA26" i="64" s="1"/>
  <c r="Z24" i="64"/>
  <c r="Y24" i="64"/>
  <c r="X24" i="64"/>
  <c r="X25" i="64" s="1"/>
  <c r="W24" i="64"/>
  <c r="V24" i="64"/>
  <c r="U24" i="64"/>
  <c r="T24" i="64"/>
  <c r="S24" i="64"/>
  <c r="R24" i="64"/>
  <c r="Q24" i="64"/>
  <c r="Q27" i="64" s="1"/>
  <c r="P24" i="64"/>
  <c r="O24" i="64"/>
  <c r="N24" i="64"/>
  <c r="N27" i="64" s="1"/>
  <c r="M24" i="64"/>
  <c r="M26" i="64" s="1"/>
  <c r="L24" i="64"/>
  <c r="L26" i="64" s="1"/>
  <c r="K24" i="64"/>
  <c r="J24" i="64"/>
  <c r="I24" i="64"/>
  <c r="H24" i="64"/>
  <c r="G24" i="64"/>
  <c r="G25" i="64" s="1"/>
  <c r="F24" i="64"/>
  <c r="E24" i="64"/>
  <c r="D24" i="64"/>
  <c r="C23" i="64"/>
  <c r="C22" i="64"/>
  <c r="AH21" i="64"/>
  <c r="AA21" i="64"/>
  <c r="X21" i="64"/>
  <c r="R21" i="64"/>
  <c r="Q21" i="64"/>
  <c r="P21" i="64"/>
  <c r="N21" i="64"/>
  <c r="L21" i="64"/>
  <c r="K21" i="64"/>
  <c r="AP4" i="64"/>
  <c r="AN4" i="64"/>
  <c r="AM4" i="64"/>
  <c r="AH4" i="64"/>
  <c r="AE4" i="64"/>
  <c r="AB4" i="64"/>
  <c r="W4" i="64"/>
  <c r="V4" i="64"/>
  <c r="T4" i="64"/>
  <c r="S4" i="64"/>
  <c r="R4" i="64"/>
  <c r="J4" i="64"/>
  <c r="D4" i="64"/>
  <c r="C57" i="63"/>
  <c r="AP53" i="63"/>
  <c r="AO53" i="63"/>
  <c r="AN53" i="63"/>
  <c r="AM53" i="63"/>
  <c r="AL53" i="63"/>
  <c r="AK53" i="63"/>
  <c r="AJ53" i="63"/>
  <c r="AI53" i="63"/>
  <c r="AH53" i="63"/>
  <c r="AG53" i="63"/>
  <c r="AF53" i="63"/>
  <c r="AE53" i="63"/>
  <c r="AD53" i="63"/>
  <c r="AC53" i="63"/>
  <c r="AB53" i="63"/>
  <c r="AA53" i="63"/>
  <c r="Z53" i="63"/>
  <c r="Y53" i="63"/>
  <c r="X53" i="63"/>
  <c r="W53" i="63"/>
  <c r="V53" i="63"/>
  <c r="U53" i="63"/>
  <c r="T53" i="63"/>
  <c r="S53" i="63"/>
  <c r="R53" i="63"/>
  <c r="Q53" i="63"/>
  <c r="P53" i="63"/>
  <c r="O53" i="63"/>
  <c r="N53" i="63"/>
  <c r="M53" i="63"/>
  <c r="L53" i="63"/>
  <c r="K53" i="63"/>
  <c r="J53" i="63"/>
  <c r="I53" i="63"/>
  <c r="H53" i="63"/>
  <c r="G53" i="63"/>
  <c r="F53" i="63"/>
  <c r="E53" i="63"/>
  <c r="D53" i="63"/>
  <c r="AN47" i="63"/>
  <c r="AF47" i="63"/>
  <c r="K47" i="63"/>
  <c r="H47" i="63"/>
  <c r="C41" i="63"/>
  <c r="AP37" i="63"/>
  <c r="AO37" i="63"/>
  <c r="AN37" i="63"/>
  <c r="AM37" i="63"/>
  <c r="AL37" i="63"/>
  <c r="AK37" i="63"/>
  <c r="AJ37" i="63"/>
  <c r="AI37" i="63"/>
  <c r="AH37" i="63"/>
  <c r="AG37" i="63"/>
  <c r="AF37" i="63"/>
  <c r="AE37" i="63"/>
  <c r="AD37" i="63"/>
  <c r="AC37" i="63"/>
  <c r="AB37" i="63"/>
  <c r="AA37" i="63"/>
  <c r="Z37" i="63"/>
  <c r="Y37" i="63"/>
  <c r="X37" i="63"/>
  <c r="W37" i="63"/>
  <c r="V37" i="63"/>
  <c r="U37" i="63"/>
  <c r="T37" i="63"/>
  <c r="S37" i="63"/>
  <c r="R37" i="63"/>
  <c r="Q37" i="63"/>
  <c r="P37" i="63"/>
  <c r="O37" i="63"/>
  <c r="N37" i="63"/>
  <c r="M37" i="63"/>
  <c r="L37" i="63"/>
  <c r="K37" i="63"/>
  <c r="J37" i="63"/>
  <c r="I37" i="63"/>
  <c r="H37" i="63"/>
  <c r="G37" i="63"/>
  <c r="F37" i="63"/>
  <c r="E37" i="63"/>
  <c r="D37" i="63"/>
  <c r="AO31" i="63"/>
  <c r="AN31" i="63"/>
  <c r="AF31" i="63"/>
  <c r="AC31" i="63"/>
  <c r="W31" i="63"/>
  <c r="O31" i="63"/>
  <c r="K31" i="63"/>
  <c r="G31" i="63"/>
  <c r="AO22" i="63"/>
  <c r="AN22" i="63"/>
  <c r="AM22" i="63"/>
  <c r="AL22" i="63"/>
  <c r="AK22" i="63"/>
  <c r="AJ22" i="63"/>
  <c r="AI22" i="63"/>
  <c r="AH22" i="63"/>
  <c r="AG22" i="63"/>
  <c r="C20" i="63"/>
  <c r="AD17" i="63"/>
  <c r="AC17" i="63"/>
  <c r="AB17" i="63"/>
  <c r="W17" i="63"/>
  <c r="D17" i="63"/>
  <c r="AP5" i="63"/>
  <c r="AO5" i="63"/>
  <c r="AN5" i="63"/>
  <c r="AM5" i="63"/>
  <c r="AL5" i="63"/>
  <c r="AK5" i="63"/>
  <c r="AJ5" i="63"/>
  <c r="AI5" i="63"/>
  <c r="AH5" i="63"/>
  <c r="AG5" i="63"/>
  <c r="AF5" i="63"/>
  <c r="AE5" i="63"/>
  <c r="AD5" i="63"/>
  <c r="AC5" i="63"/>
  <c r="AB5" i="63"/>
  <c r="AA5" i="63"/>
  <c r="Z5" i="63"/>
  <c r="Y5" i="63"/>
  <c r="X5" i="63"/>
  <c r="W5" i="63"/>
  <c r="V5" i="63"/>
  <c r="U5" i="63"/>
  <c r="T5" i="63"/>
  <c r="S5" i="63"/>
  <c r="R5" i="63"/>
  <c r="Q5" i="63"/>
  <c r="P5" i="63"/>
  <c r="O5" i="63"/>
  <c r="AP4" i="63"/>
  <c r="AO4" i="63"/>
  <c r="AO17" i="63" s="1"/>
  <c r="AN4" i="63"/>
  <c r="AN17" i="63" s="1"/>
  <c r="AM4" i="63"/>
  <c r="AK4" i="63"/>
  <c r="AF4" i="63"/>
  <c r="AF17" i="63" s="1"/>
  <c r="AD4" i="63"/>
  <c r="AC4" i="63"/>
  <c r="AC47" i="63" s="1"/>
  <c r="AB4" i="63"/>
  <c r="AA4" i="63"/>
  <c r="Z4" i="63"/>
  <c r="Z47" i="63" s="1"/>
  <c r="Y4" i="63"/>
  <c r="W4" i="63"/>
  <c r="W47" i="63" s="1"/>
  <c r="V4" i="63"/>
  <c r="Q4" i="63"/>
  <c r="O4" i="63"/>
  <c r="N4" i="63"/>
  <c r="M4" i="63"/>
  <c r="L4" i="63"/>
  <c r="K4" i="63"/>
  <c r="K17" i="63" s="1"/>
  <c r="I4" i="63"/>
  <c r="H4" i="63"/>
  <c r="H31" i="63" s="1"/>
  <c r="G4" i="63"/>
  <c r="D4" i="63"/>
  <c r="D47" i="63" s="1"/>
  <c r="G24" i="62"/>
  <c r="E24" i="62"/>
  <c r="D24" i="62"/>
  <c r="C15" i="62"/>
  <c r="AP22" i="61"/>
  <c r="AO22" i="61"/>
  <c r="AN22" i="61"/>
  <c r="AM22" i="61"/>
  <c r="AL22" i="61"/>
  <c r="AK22" i="61"/>
  <c r="AJ22" i="61"/>
  <c r="AI22" i="61"/>
  <c r="AH22" i="61"/>
  <c r="AG22" i="61"/>
  <c r="AF22" i="61"/>
  <c r="AE22" i="61"/>
  <c r="AD22" i="61"/>
  <c r="AC22" i="61"/>
  <c r="AB22" i="61"/>
  <c r="AA22" i="61"/>
  <c r="Z22" i="61"/>
  <c r="Y22" i="61"/>
  <c r="X22" i="61"/>
  <c r="W22" i="61"/>
  <c r="V22" i="61"/>
  <c r="U22" i="61"/>
  <c r="T22" i="61"/>
  <c r="S22" i="61"/>
  <c r="R22" i="61"/>
  <c r="Q22" i="61"/>
  <c r="P22" i="61"/>
  <c r="O22" i="61"/>
  <c r="N22" i="61"/>
  <c r="M22" i="61"/>
  <c r="L22" i="61"/>
  <c r="K22" i="61"/>
  <c r="J22" i="61"/>
  <c r="I22" i="61"/>
  <c r="H22" i="61"/>
  <c r="G22" i="61"/>
  <c r="F22" i="61"/>
  <c r="E22" i="61"/>
  <c r="D22" i="61"/>
  <c r="D13" i="61"/>
  <c r="D7" i="61"/>
  <c r="AF4" i="61"/>
  <c r="AF20" i="61" s="1"/>
  <c r="V4" i="61"/>
  <c r="V20" i="61" s="1"/>
  <c r="D4" i="61"/>
  <c r="AG4" i="61" s="1"/>
  <c r="AG12" i="61" s="1"/>
  <c r="AP44" i="60"/>
  <c r="AO44" i="60"/>
  <c r="AN44" i="60"/>
  <c r="AM44" i="60"/>
  <c r="AL44" i="60"/>
  <c r="AK44" i="60"/>
  <c r="AJ44" i="60"/>
  <c r="AI44" i="60"/>
  <c r="AH44" i="60"/>
  <c r="AG44" i="60"/>
  <c r="AF44" i="60"/>
  <c r="AE44" i="60"/>
  <c r="AD44" i="60"/>
  <c r="AC44" i="60"/>
  <c r="AB44" i="60"/>
  <c r="AA44" i="60"/>
  <c r="Z44" i="60"/>
  <c r="Y44" i="60"/>
  <c r="X44" i="60"/>
  <c r="W44" i="60"/>
  <c r="V44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AI39" i="60"/>
  <c r="M39" i="60"/>
  <c r="F39" i="60"/>
  <c r="E38" i="60"/>
  <c r="E36" i="60"/>
  <c r="D36" i="60"/>
  <c r="E35" i="60"/>
  <c r="E34" i="60"/>
  <c r="D34" i="60"/>
  <c r="E31" i="60"/>
  <c r="F31" i="60" s="1"/>
  <c r="D31" i="60"/>
  <c r="E30" i="60"/>
  <c r="F30" i="60" s="1"/>
  <c r="E29" i="60"/>
  <c r="F29" i="60" s="1"/>
  <c r="D29" i="60"/>
  <c r="I26" i="60"/>
  <c r="J26" i="60" s="1"/>
  <c r="K26" i="60" s="1"/>
  <c r="L26" i="60" s="1"/>
  <c r="M26" i="60" s="1"/>
  <c r="N26" i="60" s="1"/>
  <c r="O26" i="60" s="1"/>
  <c r="P26" i="60" s="1"/>
  <c r="Q26" i="60" s="1"/>
  <c r="R26" i="60" s="1"/>
  <c r="S26" i="60" s="1"/>
  <c r="T26" i="60" s="1"/>
  <c r="U26" i="60" s="1"/>
  <c r="V26" i="60" s="1"/>
  <c r="W26" i="60" s="1"/>
  <c r="X26" i="60" s="1"/>
  <c r="Y26" i="60" s="1"/>
  <c r="Z26" i="60" s="1"/>
  <c r="AA26" i="60" s="1"/>
  <c r="AB26" i="60" s="1"/>
  <c r="AC26" i="60" s="1"/>
  <c r="AD26" i="60" s="1"/>
  <c r="AE26" i="60" s="1"/>
  <c r="AF26" i="60" s="1"/>
  <c r="AG26" i="60" s="1"/>
  <c r="AH26" i="60" s="1"/>
  <c r="AI26" i="60" s="1"/>
  <c r="AJ26" i="60" s="1"/>
  <c r="AK26" i="60" s="1"/>
  <c r="AL26" i="60" s="1"/>
  <c r="AM26" i="60" s="1"/>
  <c r="AN26" i="60" s="1"/>
  <c r="AO26" i="60" s="1"/>
  <c r="AP26" i="60" s="1"/>
  <c r="AQ26" i="60" s="1"/>
  <c r="AR26" i="60" s="1"/>
  <c r="AS26" i="60" s="1"/>
  <c r="AT26" i="60" s="1"/>
  <c r="AU26" i="60" s="1"/>
  <c r="AK22" i="60"/>
  <c r="AI22" i="60"/>
  <c r="AH22" i="60"/>
  <c r="AC22" i="60"/>
  <c r="V22" i="60"/>
  <c r="T22" i="60"/>
  <c r="F22" i="60"/>
  <c r="AU22" i="60" s="1"/>
  <c r="D21" i="60"/>
  <c r="F21" i="60" s="1"/>
  <c r="AU21" i="60" s="1"/>
  <c r="D19" i="60"/>
  <c r="F19" i="60" s="1"/>
  <c r="Z19" i="60" s="1"/>
  <c r="D18" i="60"/>
  <c r="F18" i="60" s="1"/>
  <c r="AU18" i="60" s="1"/>
  <c r="D17" i="60"/>
  <c r="F17" i="60" s="1"/>
  <c r="D14" i="60"/>
  <c r="D12" i="60"/>
  <c r="F12" i="60" s="1"/>
  <c r="I9" i="60"/>
  <c r="J9" i="60" s="1"/>
  <c r="K9" i="60" s="1"/>
  <c r="L9" i="60" s="1"/>
  <c r="M9" i="60" s="1"/>
  <c r="N9" i="60" s="1"/>
  <c r="O9" i="60" s="1"/>
  <c r="P9" i="60" s="1"/>
  <c r="Q9" i="60" s="1"/>
  <c r="R9" i="60" s="1"/>
  <c r="S9" i="60" s="1"/>
  <c r="T9" i="60" s="1"/>
  <c r="U9" i="60" s="1"/>
  <c r="V9" i="60" s="1"/>
  <c r="W9" i="60" s="1"/>
  <c r="X9" i="60" s="1"/>
  <c r="Y9" i="60" s="1"/>
  <c r="Z9" i="60" s="1"/>
  <c r="AA9" i="60" s="1"/>
  <c r="AB9" i="60" s="1"/>
  <c r="AC9" i="60" s="1"/>
  <c r="AD9" i="60" s="1"/>
  <c r="AE9" i="60" s="1"/>
  <c r="AF9" i="60" s="1"/>
  <c r="AG9" i="60" s="1"/>
  <c r="AH9" i="60" s="1"/>
  <c r="AI9" i="60" s="1"/>
  <c r="AJ9" i="60" s="1"/>
  <c r="AK9" i="60" s="1"/>
  <c r="AL9" i="60" s="1"/>
  <c r="AM9" i="60" s="1"/>
  <c r="AN9" i="60" s="1"/>
  <c r="AO9" i="60" s="1"/>
  <c r="AP9" i="60" s="1"/>
  <c r="AQ9" i="60" s="1"/>
  <c r="AR9" i="60" s="1"/>
  <c r="AS9" i="60" s="1"/>
  <c r="AT9" i="60" s="1"/>
  <c r="AU9" i="60" s="1"/>
  <c r="AN29" i="59"/>
  <c r="AN6" i="58" s="1"/>
  <c r="AM29" i="59"/>
  <c r="AM6" i="58" s="1"/>
  <c r="AD29" i="59"/>
  <c r="AD6" i="58" s="1"/>
  <c r="AC29" i="59"/>
  <c r="AC6" i="58" s="1"/>
  <c r="T29" i="59"/>
  <c r="T6" i="58" s="1"/>
  <c r="S29" i="59"/>
  <c r="S6" i="58" s="1"/>
  <c r="J29" i="59"/>
  <c r="AP27" i="59"/>
  <c r="AO27" i="59"/>
  <c r="AN27" i="59"/>
  <c r="AM27" i="59"/>
  <c r="AL27" i="59"/>
  <c r="AK27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AS21" i="59"/>
  <c r="AR21" i="59"/>
  <c r="AQ21" i="59"/>
  <c r="AC21" i="59"/>
  <c r="Z21" i="59"/>
  <c r="Y21" i="59"/>
  <c r="X21" i="59"/>
  <c r="F21" i="59"/>
  <c r="AI21" i="59" s="1"/>
  <c r="D20" i="59"/>
  <c r="F20" i="59" s="1"/>
  <c r="AL20" i="59" s="1"/>
  <c r="D18" i="59"/>
  <c r="F18" i="59" s="1"/>
  <c r="AU18" i="59" s="1"/>
  <c r="D17" i="59"/>
  <c r="F17" i="59" s="1"/>
  <c r="AS17" i="59" s="1"/>
  <c r="D16" i="59"/>
  <c r="F16" i="59" s="1"/>
  <c r="AB16" i="59" s="1"/>
  <c r="D13" i="59"/>
  <c r="F13" i="59" s="1"/>
  <c r="AD13" i="59" s="1"/>
  <c r="D11" i="59"/>
  <c r="K8" i="59"/>
  <c r="L8" i="59" s="1"/>
  <c r="M8" i="59" s="1"/>
  <c r="N8" i="59" s="1"/>
  <c r="O8" i="59" s="1"/>
  <c r="P8" i="59" s="1"/>
  <c r="Q8" i="59" s="1"/>
  <c r="R8" i="59" s="1"/>
  <c r="S8" i="59" s="1"/>
  <c r="T8" i="59" s="1"/>
  <c r="U8" i="59" s="1"/>
  <c r="V8" i="59" s="1"/>
  <c r="W8" i="59" s="1"/>
  <c r="X8" i="59" s="1"/>
  <c r="Y8" i="59" s="1"/>
  <c r="Z8" i="59" s="1"/>
  <c r="AA8" i="59" s="1"/>
  <c r="AB8" i="59" s="1"/>
  <c r="AC8" i="59" s="1"/>
  <c r="AD8" i="59" s="1"/>
  <c r="AE8" i="59" s="1"/>
  <c r="AF8" i="59" s="1"/>
  <c r="AG8" i="59" s="1"/>
  <c r="AH8" i="59" s="1"/>
  <c r="AI8" i="59" s="1"/>
  <c r="AJ8" i="59" s="1"/>
  <c r="AK8" i="59" s="1"/>
  <c r="AL8" i="59" s="1"/>
  <c r="AM8" i="59" s="1"/>
  <c r="AN8" i="59" s="1"/>
  <c r="AO8" i="59" s="1"/>
  <c r="AP8" i="59" s="1"/>
  <c r="AQ8" i="59" s="1"/>
  <c r="AR8" i="59" s="1"/>
  <c r="AS8" i="59" s="1"/>
  <c r="AT8" i="59" s="1"/>
  <c r="AU8" i="59" s="1"/>
  <c r="AP17" i="58"/>
  <c r="AP28" i="58" s="1"/>
  <c r="AP39" i="58" s="1"/>
  <c r="AO17" i="58"/>
  <c r="AN17" i="58"/>
  <c r="AM17" i="58"/>
  <c r="AL17" i="58"/>
  <c r="AJ17" i="58"/>
  <c r="AI17" i="58"/>
  <c r="AH17" i="58"/>
  <c r="AG17" i="58"/>
  <c r="AF17" i="58"/>
  <c r="AE17" i="58"/>
  <c r="AD17" i="58"/>
  <c r="AC17" i="58"/>
  <c r="AB17" i="58"/>
  <c r="Z17" i="58"/>
  <c r="Y17" i="58"/>
  <c r="X17" i="58"/>
  <c r="W17" i="58"/>
  <c r="V17" i="58"/>
  <c r="U17" i="58"/>
  <c r="U28" i="58" s="1"/>
  <c r="U39" i="58" s="1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D17" i="58"/>
  <c r="AP6" i="58"/>
  <c r="AO6" i="58"/>
  <c r="AL6" i="58"/>
  <c r="AK6" i="58"/>
  <c r="AJ6" i="58"/>
  <c r="AI6" i="58"/>
  <c r="AH6" i="58"/>
  <c r="AH28" i="58" s="1"/>
  <c r="AH39" i="58" s="1"/>
  <c r="AG6" i="58"/>
  <c r="AF6" i="58"/>
  <c r="AE6" i="58"/>
  <c r="AB6" i="58"/>
  <c r="AB28" i="58" s="1"/>
  <c r="AB39" i="58" s="1"/>
  <c r="AA6" i="58"/>
  <c r="Z6" i="58"/>
  <c r="Y6" i="58"/>
  <c r="X6" i="58"/>
  <c r="W6" i="58"/>
  <c r="W28" i="58" s="1"/>
  <c r="W39" i="58" s="1"/>
  <c r="V6" i="58"/>
  <c r="U6" i="58"/>
  <c r="R6" i="58"/>
  <c r="Q6" i="58"/>
  <c r="P6" i="58"/>
  <c r="P28" i="58" s="1"/>
  <c r="P39" i="58" s="1"/>
  <c r="O6" i="58"/>
  <c r="N6" i="58"/>
  <c r="M6" i="58"/>
  <c r="L6" i="58"/>
  <c r="L28" i="58" s="1"/>
  <c r="L39" i="58" s="1"/>
  <c r="K6" i="58"/>
  <c r="H6" i="58"/>
  <c r="G6" i="58"/>
  <c r="G28" i="58" s="1"/>
  <c r="G39" i="58" s="1"/>
  <c r="F6" i="58"/>
  <c r="F28" i="58" s="1"/>
  <c r="F39" i="58" s="1"/>
  <c r="E6" i="58"/>
  <c r="D6" i="58"/>
  <c r="D4" i="58"/>
  <c r="C18" i="57"/>
  <c r="C17" i="57"/>
  <c r="C16" i="57"/>
  <c r="C15" i="57"/>
  <c r="C14" i="57"/>
  <c r="G13" i="57"/>
  <c r="G18" i="57" s="1"/>
  <c r="D55" i="56"/>
  <c r="E54" i="56"/>
  <c r="AK17" i="58" s="1"/>
  <c r="N32" i="56"/>
  <c r="M32" i="56"/>
  <c r="L32" i="56"/>
  <c r="K32" i="56"/>
  <c r="J32" i="56"/>
  <c r="I32" i="56"/>
  <c r="H32" i="56"/>
  <c r="G32" i="56"/>
  <c r="F32" i="56"/>
  <c r="E32" i="56"/>
  <c r="D32" i="56"/>
  <c r="N31" i="56"/>
  <c r="F31" i="56"/>
  <c r="E31" i="56"/>
  <c r="D31" i="56"/>
  <c r="N30" i="56"/>
  <c r="F30" i="56"/>
  <c r="E30" i="56"/>
  <c r="D30" i="56"/>
  <c r="N29" i="56"/>
  <c r="F29" i="56"/>
  <c r="E29" i="56"/>
  <c r="D29" i="56"/>
  <c r="N28" i="56"/>
  <c r="F28" i="56"/>
  <c r="E28" i="56"/>
  <c r="D28" i="56"/>
  <c r="N27" i="56"/>
  <c r="F27" i="56"/>
  <c r="E27" i="56"/>
  <c r="D27" i="56"/>
  <c r="N25" i="56"/>
  <c r="C14" i="56"/>
  <c r="C13" i="56"/>
  <c r="C11" i="56"/>
  <c r="M9" i="56"/>
  <c r="M30" i="56" s="1"/>
  <c r="L9" i="56"/>
  <c r="L30" i="56" s="1"/>
  <c r="K9" i="56"/>
  <c r="K30" i="56" s="1"/>
  <c r="J9" i="56"/>
  <c r="J30" i="56" s="1"/>
  <c r="I9" i="56"/>
  <c r="I30" i="56" s="1"/>
  <c r="L8" i="56"/>
  <c r="L29" i="56" s="1"/>
  <c r="M6" i="56"/>
  <c r="J6" i="56"/>
  <c r="I6" i="56"/>
  <c r="N5" i="56"/>
  <c r="N12" i="56" s="1"/>
  <c r="N5" i="63" s="1"/>
  <c r="F5" i="56"/>
  <c r="F12" i="56" s="1"/>
  <c r="E5" i="56"/>
  <c r="E12" i="56" s="1"/>
  <c r="D5" i="56"/>
  <c r="D12" i="56" s="1"/>
  <c r="D4" i="56"/>
  <c r="E4" i="56" s="1"/>
  <c r="E25" i="56" s="1"/>
  <c r="B18" i="55"/>
  <c r="C240" i="54"/>
  <c r="D240" i="54" s="1"/>
  <c r="E46" i="73" s="1"/>
  <c r="C239" i="54"/>
  <c r="D239" i="54" s="1"/>
  <c r="E238" i="54"/>
  <c r="F238" i="54" s="1"/>
  <c r="G238" i="54" s="1"/>
  <c r="H238" i="54" s="1"/>
  <c r="C238" i="54"/>
  <c r="D238" i="54" s="1"/>
  <c r="C237" i="54"/>
  <c r="D237" i="54" s="1"/>
  <c r="E237" i="54" s="1"/>
  <c r="F237" i="54" s="1"/>
  <c r="E236" i="54"/>
  <c r="F42" i="73" s="1"/>
  <c r="D236" i="54"/>
  <c r="E42" i="73" s="1"/>
  <c r="C236" i="54"/>
  <c r="D235" i="54"/>
  <c r="C235" i="54"/>
  <c r="D41" i="73" s="1"/>
  <c r="E217" i="54"/>
  <c r="F217" i="54" s="1"/>
  <c r="G217" i="54" s="1"/>
  <c r="H217" i="54" s="1"/>
  <c r="I217" i="54" s="1"/>
  <c r="J217" i="54" s="1"/>
  <c r="K217" i="54" s="1"/>
  <c r="L217" i="54" s="1"/>
  <c r="M217" i="54" s="1"/>
  <c r="N217" i="54" s="1"/>
  <c r="O217" i="54" s="1"/>
  <c r="P217" i="54" s="1"/>
  <c r="Q217" i="54" s="1"/>
  <c r="R217" i="54" s="1"/>
  <c r="S217" i="54" s="1"/>
  <c r="T217" i="54" s="1"/>
  <c r="U217" i="54" s="1"/>
  <c r="V217" i="54" s="1"/>
  <c r="W217" i="54" s="1"/>
  <c r="X217" i="54" s="1"/>
  <c r="Y217" i="54" s="1"/>
  <c r="Z217" i="54" s="1"/>
  <c r="AA217" i="54" s="1"/>
  <c r="AB217" i="54" s="1"/>
  <c r="AC217" i="54" s="1"/>
  <c r="AD217" i="54" s="1"/>
  <c r="AE217" i="54" s="1"/>
  <c r="AF217" i="54" s="1"/>
  <c r="AG217" i="54" s="1"/>
  <c r="AH217" i="54" s="1"/>
  <c r="AI217" i="54" s="1"/>
  <c r="AJ217" i="54" s="1"/>
  <c r="AK217" i="54" s="1"/>
  <c r="AL217" i="54" s="1"/>
  <c r="AM217" i="54" s="1"/>
  <c r="AN217" i="54" s="1"/>
  <c r="AO217" i="54" s="1"/>
  <c r="AP217" i="54" s="1"/>
  <c r="AQ217" i="54" s="1"/>
  <c r="AR217" i="54" s="1"/>
  <c r="AS217" i="54" s="1"/>
  <c r="AT217" i="54" s="1"/>
  <c r="AU217" i="54" s="1"/>
  <c r="AV217" i="54" s="1"/>
  <c r="AW217" i="54" s="1"/>
  <c r="AX217" i="54" s="1"/>
  <c r="AY217" i="54" s="1"/>
  <c r="AZ217" i="54" s="1"/>
  <c r="BA217" i="54" s="1"/>
  <c r="BB217" i="54" s="1"/>
  <c r="D217" i="54"/>
  <c r="D216" i="54"/>
  <c r="E216" i="54" s="1"/>
  <c r="F216" i="54" s="1"/>
  <c r="G216" i="54" s="1"/>
  <c r="H216" i="54" s="1"/>
  <c r="I216" i="54" s="1"/>
  <c r="J216" i="54" s="1"/>
  <c r="K216" i="54" s="1"/>
  <c r="L216" i="54" s="1"/>
  <c r="M216" i="54" s="1"/>
  <c r="N216" i="54" s="1"/>
  <c r="O216" i="54" s="1"/>
  <c r="P216" i="54" s="1"/>
  <c r="Q216" i="54" s="1"/>
  <c r="R216" i="54" s="1"/>
  <c r="S216" i="54" s="1"/>
  <c r="T216" i="54" s="1"/>
  <c r="U216" i="54" s="1"/>
  <c r="V216" i="54" s="1"/>
  <c r="W216" i="54" s="1"/>
  <c r="X216" i="54" s="1"/>
  <c r="Y216" i="54" s="1"/>
  <c r="Z216" i="54" s="1"/>
  <c r="AA216" i="54" s="1"/>
  <c r="AB216" i="54" s="1"/>
  <c r="AC216" i="54" s="1"/>
  <c r="AD216" i="54" s="1"/>
  <c r="AE216" i="54" s="1"/>
  <c r="AF216" i="54" s="1"/>
  <c r="AG216" i="54" s="1"/>
  <c r="AH216" i="54" s="1"/>
  <c r="AI216" i="54" s="1"/>
  <c r="AJ216" i="54" s="1"/>
  <c r="AK216" i="54" s="1"/>
  <c r="AL216" i="54" s="1"/>
  <c r="AM216" i="54" s="1"/>
  <c r="AN216" i="54" s="1"/>
  <c r="AO216" i="54" s="1"/>
  <c r="AP216" i="54" s="1"/>
  <c r="AQ216" i="54" s="1"/>
  <c r="AR216" i="54" s="1"/>
  <c r="AS216" i="54" s="1"/>
  <c r="AT216" i="54" s="1"/>
  <c r="AU216" i="54" s="1"/>
  <c r="AV216" i="54" s="1"/>
  <c r="AW216" i="54" s="1"/>
  <c r="AX216" i="54" s="1"/>
  <c r="AY216" i="54" s="1"/>
  <c r="AZ216" i="54" s="1"/>
  <c r="BA216" i="54" s="1"/>
  <c r="BB216" i="54" s="1"/>
  <c r="D215" i="54"/>
  <c r="E215" i="54" s="1"/>
  <c r="F215" i="54" s="1"/>
  <c r="G215" i="54" s="1"/>
  <c r="H215" i="54" s="1"/>
  <c r="I215" i="54" s="1"/>
  <c r="J215" i="54" s="1"/>
  <c r="K215" i="54" s="1"/>
  <c r="L215" i="54" s="1"/>
  <c r="M215" i="54" s="1"/>
  <c r="N215" i="54" s="1"/>
  <c r="O215" i="54" s="1"/>
  <c r="P215" i="54" s="1"/>
  <c r="Q215" i="54" s="1"/>
  <c r="R215" i="54" s="1"/>
  <c r="S215" i="54" s="1"/>
  <c r="T215" i="54" s="1"/>
  <c r="U215" i="54" s="1"/>
  <c r="V215" i="54" s="1"/>
  <c r="W215" i="54" s="1"/>
  <c r="X215" i="54" s="1"/>
  <c r="Y215" i="54" s="1"/>
  <c r="Z215" i="54" s="1"/>
  <c r="AA215" i="54" s="1"/>
  <c r="AB215" i="54" s="1"/>
  <c r="AC215" i="54" s="1"/>
  <c r="AD215" i="54" s="1"/>
  <c r="AE215" i="54" s="1"/>
  <c r="AF215" i="54" s="1"/>
  <c r="AG215" i="54" s="1"/>
  <c r="AH215" i="54" s="1"/>
  <c r="AI215" i="54" s="1"/>
  <c r="AJ215" i="54" s="1"/>
  <c r="AK215" i="54" s="1"/>
  <c r="AL215" i="54" s="1"/>
  <c r="AM215" i="54" s="1"/>
  <c r="AN215" i="54" s="1"/>
  <c r="AO215" i="54" s="1"/>
  <c r="AP215" i="54" s="1"/>
  <c r="AQ215" i="54" s="1"/>
  <c r="AR215" i="54" s="1"/>
  <c r="AS215" i="54" s="1"/>
  <c r="AT215" i="54" s="1"/>
  <c r="AU215" i="54" s="1"/>
  <c r="AV215" i="54" s="1"/>
  <c r="AW215" i="54" s="1"/>
  <c r="AX215" i="54" s="1"/>
  <c r="AY215" i="54" s="1"/>
  <c r="AZ215" i="54" s="1"/>
  <c r="BA215" i="54" s="1"/>
  <c r="BB215" i="54" s="1"/>
  <c r="BB168" i="54"/>
  <c r="BA168" i="54"/>
  <c r="AZ168" i="54"/>
  <c r="AY168" i="54"/>
  <c r="AX168" i="54"/>
  <c r="AW168" i="54"/>
  <c r="AV168" i="54"/>
  <c r="AU168" i="54"/>
  <c r="AT168" i="54"/>
  <c r="AS168" i="54"/>
  <c r="AR168" i="54"/>
  <c r="AQ168" i="54"/>
  <c r="AP168" i="54"/>
  <c r="AO168" i="54"/>
  <c r="AN168" i="54"/>
  <c r="AM168" i="54"/>
  <c r="AL168" i="54"/>
  <c r="AK168" i="54"/>
  <c r="AJ168" i="54"/>
  <c r="AI168" i="54"/>
  <c r="AH168" i="54"/>
  <c r="AG168" i="54"/>
  <c r="AF168" i="54"/>
  <c r="AE168" i="54"/>
  <c r="AD168" i="54"/>
  <c r="AC168" i="54"/>
  <c r="AB168" i="54"/>
  <c r="AA168" i="54"/>
  <c r="Z168" i="54"/>
  <c r="Y168" i="54"/>
  <c r="X168" i="54"/>
  <c r="W168" i="54"/>
  <c r="V168" i="54"/>
  <c r="U168" i="54"/>
  <c r="T168" i="54"/>
  <c r="S168" i="54"/>
  <c r="R168" i="54"/>
  <c r="Q168" i="54"/>
  <c r="P168" i="54"/>
  <c r="O168" i="54"/>
  <c r="N168" i="54"/>
  <c r="M168" i="54"/>
  <c r="L168" i="54"/>
  <c r="K168" i="54"/>
  <c r="J168" i="54"/>
  <c r="I168" i="54"/>
  <c r="H168" i="54"/>
  <c r="G168" i="54"/>
  <c r="F168" i="54"/>
  <c r="E168" i="54"/>
  <c r="D168" i="54"/>
  <c r="C168" i="54"/>
  <c r="C127" i="54"/>
  <c r="D127" i="54" s="1"/>
  <c r="C126" i="54"/>
  <c r="D126" i="54" s="1"/>
  <c r="E126" i="54" s="1"/>
  <c r="F126" i="54" s="1"/>
  <c r="G126" i="54" s="1"/>
  <c r="H126" i="54" s="1"/>
  <c r="I126" i="54" s="1"/>
  <c r="J126" i="54" s="1"/>
  <c r="C125" i="54"/>
  <c r="D125" i="54" s="1"/>
  <c r="E125" i="54" s="1"/>
  <c r="F125" i="54" s="1"/>
  <c r="G125" i="54" s="1"/>
  <c r="H125" i="54" s="1"/>
  <c r="AD121" i="54"/>
  <c r="AE121" i="54" s="1"/>
  <c r="AF121" i="54" s="1"/>
  <c r="AG121" i="54" s="1"/>
  <c r="AH121" i="54" s="1"/>
  <c r="AI121" i="54" s="1"/>
  <c r="AJ121" i="54" s="1"/>
  <c r="AK121" i="54" s="1"/>
  <c r="AL121" i="54" s="1"/>
  <c r="AM121" i="54" s="1"/>
  <c r="AN121" i="54" s="1"/>
  <c r="AO121" i="54" s="1"/>
  <c r="AP121" i="54" s="1"/>
  <c r="AQ121" i="54" s="1"/>
  <c r="AR121" i="54" s="1"/>
  <c r="AS121" i="54" s="1"/>
  <c r="AT121" i="54" s="1"/>
  <c r="AU121" i="54" s="1"/>
  <c r="AV121" i="54" s="1"/>
  <c r="AW121" i="54" s="1"/>
  <c r="AX121" i="54" s="1"/>
  <c r="AY121" i="54" s="1"/>
  <c r="AZ121" i="54" s="1"/>
  <c r="BA121" i="54" s="1"/>
  <c r="BB121" i="54" s="1"/>
  <c r="Z121" i="54"/>
  <c r="AA121" i="54" s="1"/>
  <c r="AB121" i="54" s="1"/>
  <c r="Y121" i="54"/>
  <c r="U121" i="54"/>
  <c r="V121" i="54" s="1"/>
  <c r="W121" i="54" s="1"/>
  <c r="T121" i="54"/>
  <c r="Q121" i="54"/>
  <c r="R121" i="54" s="1"/>
  <c r="P121" i="54"/>
  <c r="O121" i="54"/>
  <c r="J121" i="54"/>
  <c r="K121" i="54" s="1"/>
  <c r="L121" i="54" s="1"/>
  <c r="M121" i="54" s="1"/>
  <c r="F121" i="54"/>
  <c r="G121" i="54" s="1"/>
  <c r="H121" i="54" s="1"/>
  <c r="E121" i="54"/>
  <c r="D94" i="54"/>
  <c r="E50" i="69" s="1"/>
  <c r="E93" i="54"/>
  <c r="D93" i="54"/>
  <c r="D92" i="54"/>
  <c r="E92" i="54" s="1"/>
  <c r="D91" i="54"/>
  <c r="D90" i="54"/>
  <c r="E90" i="54" s="1"/>
  <c r="F90" i="54" s="1"/>
  <c r="G90" i="54" s="1"/>
  <c r="D89" i="54"/>
  <c r="E89" i="54" s="1"/>
  <c r="E88" i="54"/>
  <c r="D88" i="54"/>
  <c r="D60" i="54"/>
  <c r="E60" i="54" s="1"/>
  <c r="F60" i="54" s="1"/>
  <c r="G60" i="54" s="1"/>
  <c r="E59" i="54"/>
  <c r="F59" i="54" s="1"/>
  <c r="G59" i="54" s="1"/>
  <c r="D59" i="54"/>
  <c r="D58" i="54"/>
  <c r="E58" i="54" s="1"/>
  <c r="F58" i="54" s="1"/>
  <c r="G58" i="54" s="1"/>
  <c r="H58" i="54" s="1"/>
  <c r="I58" i="54" s="1"/>
  <c r="J58" i="54" s="1"/>
  <c r="K58" i="54" s="1"/>
  <c r="F54" i="54"/>
  <c r="F53" i="54"/>
  <c r="F52" i="54"/>
  <c r="F51" i="54"/>
  <c r="C15" i="54"/>
  <c r="C16" i="54" s="1"/>
  <c r="E14" i="54"/>
  <c r="F34" i="60" l="1"/>
  <c r="AE34" i="60" s="1"/>
  <c r="AJ39" i="60"/>
  <c r="AU39" i="60"/>
  <c r="N28" i="58"/>
  <c r="N39" i="58" s="1"/>
  <c r="H39" i="60"/>
  <c r="AA39" i="60"/>
  <c r="X22" i="60"/>
  <c r="I39" i="60"/>
  <c r="AB39" i="60"/>
  <c r="Z39" i="60"/>
  <c r="J39" i="60"/>
  <c r="AC39" i="60"/>
  <c r="AE22" i="60"/>
  <c r="K39" i="60"/>
  <c r="AD39" i="60"/>
  <c r="AT39" i="60"/>
  <c r="T28" i="58"/>
  <c r="T39" i="58" s="1"/>
  <c r="AF22" i="60"/>
  <c r="L39" i="60"/>
  <c r="AG39" i="60"/>
  <c r="AT22" i="60"/>
  <c r="R39" i="60"/>
  <c r="AN39" i="60"/>
  <c r="Z28" i="58"/>
  <c r="Z39" i="58" s="1"/>
  <c r="I22" i="60"/>
  <c r="W39" i="60"/>
  <c r="AP39" i="60"/>
  <c r="N22" i="60"/>
  <c r="X39" i="60"/>
  <c r="AQ39" i="60"/>
  <c r="V28" i="58"/>
  <c r="V39" i="58" s="1"/>
  <c r="AD28" i="58"/>
  <c r="AD39" i="58" s="1"/>
  <c r="N39" i="60"/>
  <c r="AL39" i="60"/>
  <c r="O39" i="60"/>
  <c r="AM39" i="60"/>
  <c r="T39" i="60"/>
  <c r="AO39" i="60"/>
  <c r="AQ28" i="58"/>
  <c r="AQ39" i="58" s="1"/>
  <c r="Q22" i="60"/>
  <c r="Y39" i="60"/>
  <c r="AR39" i="60"/>
  <c r="AG28" i="58"/>
  <c r="AG39" i="58" s="1"/>
  <c r="C29" i="59"/>
  <c r="AK28" i="58"/>
  <c r="AK39" i="58" s="1"/>
  <c r="J6" i="58"/>
  <c r="E28" i="58"/>
  <c r="E39" i="58" s="1"/>
  <c r="AI28" i="58"/>
  <c r="AI39" i="58" s="1"/>
  <c r="AJ28" i="58"/>
  <c r="AJ39" i="58" s="1"/>
  <c r="J21" i="59"/>
  <c r="AA21" i="59"/>
  <c r="AT21" i="59"/>
  <c r="H28" i="58"/>
  <c r="H39" i="58" s="1"/>
  <c r="AL28" i="58"/>
  <c r="AL39" i="58" s="1"/>
  <c r="I21" i="59"/>
  <c r="AB21" i="59"/>
  <c r="K21" i="59"/>
  <c r="AD21" i="59"/>
  <c r="K28" i="58"/>
  <c r="K39" i="58" s="1"/>
  <c r="Y28" i="58"/>
  <c r="Y39" i="58" s="1"/>
  <c r="AO28" i="58"/>
  <c r="AO39" i="58" s="1"/>
  <c r="L21" i="59"/>
  <c r="AE21" i="59"/>
  <c r="AU21" i="59"/>
  <c r="M28" i="58"/>
  <c r="M39" i="58" s="1"/>
  <c r="N21" i="59"/>
  <c r="AJ21" i="59"/>
  <c r="AG21" i="59"/>
  <c r="O21" i="59"/>
  <c r="AM21" i="59"/>
  <c r="O28" i="58"/>
  <c r="O39" i="58" s="1"/>
  <c r="P21" i="59"/>
  <c r="AN21" i="59"/>
  <c r="M21" i="59"/>
  <c r="AE28" i="58"/>
  <c r="AE39" i="58" s="1"/>
  <c r="R21" i="59"/>
  <c r="AO21" i="59"/>
  <c r="U21" i="59"/>
  <c r="AP21" i="59"/>
  <c r="Y21" i="60"/>
  <c r="AC21" i="60"/>
  <c r="AE21" i="60"/>
  <c r="AM21" i="60"/>
  <c r="AO21" i="60"/>
  <c r="AR21" i="60"/>
  <c r="AK20" i="59"/>
  <c r="AS13" i="59"/>
  <c r="AU20" i="59"/>
  <c r="I20" i="59"/>
  <c r="AQ13" i="59"/>
  <c r="S18" i="59"/>
  <c r="J20" i="59"/>
  <c r="F31" i="59" s="1"/>
  <c r="K20" i="59"/>
  <c r="U20" i="59"/>
  <c r="W20" i="59"/>
  <c r="Z20" i="59"/>
  <c r="V31" i="59" s="1"/>
  <c r="V32" i="59" s="1"/>
  <c r="AH20" i="59"/>
  <c r="Y18" i="59"/>
  <c r="P21" i="60"/>
  <c r="Q21" i="60"/>
  <c r="X21" i="60"/>
  <c r="J21" i="60"/>
  <c r="S21" i="60"/>
  <c r="I72" i="40"/>
  <c r="I78" i="40"/>
  <c r="I66" i="40"/>
  <c r="H23" i="10" s="1"/>
  <c r="H46" i="41"/>
  <c r="H45" i="41" s="1"/>
  <c r="H47" i="41" s="1"/>
  <c r="G45" i="41"/>
  <c r="G47" i="41" s="1"/>
  <c r="G7" i="45"/>
  <c r="G5" i="43" s="1"/>
  <c r="G13" i="45"/>
  <c r="G6" i="43" s="1"/>
  <c r="G19" i="45"/>
  <c r="G7" i="43" s="1"/>
  <c r="G37" i="45"/>
  <c r="G42" i="43" s="1"/>
  <c r="G13" i="44"/>
  <c r="G6" i="42" s="1"/>
  <c r="G19" i="44"/>
  <c r="G7" i="42" s="1"/>
  <c r="G7" i="44"/>
  <c r="G31" i="45"/>
  <c r="G41" i="43" s="1"/>
  <c r="G25" i="45"/>
  <c r="G40" i="43" s="1"/>
  <c r="G22" i="10"/>
  <c r="C58" i="70"/>
  <c r="L4" i="70"/>
  <c r="AG23" i="70"/>
  <c r="P4" i="70"/>
  <c r="P22" i="70" s="1"/>
  <c r="W4" i="70"/>
  <c r="W54" i="70" s="1"/>
  <c r="C56" i="70"/>
  <c r="AO60" i="70"/>
  <c r="AO61" i="70" s="1"/>
  <c r="N60" i="70"/>
  <c r="N61" i="70" s="1"/>
  <c r="Y4" i="70"/>
  <c r="Y71" i="70" s="1"/>
  <c r="T60" i="70"/>
  <c r="T61" i="70" s="1"/>
  <c r="X4" i="70"/>
  <c r="X71" i="70" s="1"/>
  <c r="AP60" i="70"/>
  <c r="AP61" i="70" s="1"/>
  <c r="AP66" i="70" s="1"/>
  <c r="AP72" i="70" s="1"/>
  <c r="AP19" i="74" s="1"/>
  <c r="Z4" i="70"/>
  <c r="Z71" i="70" s="1"/>
  <c r="C55" i="70"/>
  <c r="AM4" i="70"/>
  <c r="AM71" i="70" s="1"/>
  <c r="AN4" i="70"/>
  <c r="AN71" i="70" s="1"/>
  <c r="R8" i="70"/>
  <c r="G23" i="70"/>
  <c r="C49" i="70"/>
  <c r="AP4" i="70"/>
  <c r="Q27" i="70"/>
  <c r="AE27" i="70"/>
  <c r="AA8" i="70"/>
  <c r="H23" i="70"/>
  <c r="H27" i="70" s="1"/>
  <c r="C57" i="70"/>
  <c r="P60" i="70"/>
  <c r="P61" i="70" s="1"/>
  <c r="AD60" i="70"/>
  <c r="AD61" i="70" s="1"/>
  <c r="AH60" i="70"/>
  <c r="AH61" i="70" s="1"/>
  <c r="O60" i="70"/>
  <c r="O61" i="70" s="1"/>
  <c r="C17" i="70"/>
  <c r="AF23" i="70"/>
  <c r="Q26" i="70"/>
  <c r="AC26" i="70"/>
  <c r="E23" i="70"/>
  <c r="AH23" i="70"/>
  <c r="AH26" i="70" s="1"/>
  <c r="AE26" i="70"/>
  <c r="C38" i="70"/>
  <c r="O4" i="70"/>
  <c r="O13" i="70" s="1"/>
  <c r="AO4" i="70"/>
  <c r="AO13" i="70" s="1"/>
  <c r="Q8" i="70"/>
  <c r="F23" i="70"/>
  <c r="F27" i="70" s="1"/>
  <c r="AI23" i="70"/>
  <c r="AP26" i="70"/>
  <c r="D54" i="70"/>
  <c r="P54" i="70"/>
  <c r="D23" i="70"/>
  <c r="C5" i="70"/>
  <c r="R26" i="70"/>
  <c r="AB8" i="70"/>
  <c r="Q60" i="70"/>
  <c r="Q61" i="70" s="1"/>
  <c r="Q66" i="70" s="1"/>
  <c r="Q72" i="70" s="1"/>
  <c r="Q19" i="74" s="1"/>
  <c r="Q18" i="74" s="1"/>
  <c r="AE60" i="70"/>
  <c r="AE61" i="70" s="1"/>
  <c r="AE66" i="70" s="1"/>
  <c r="AE72" i="70" s="1"/>
  <c r="AE19" i="74" s="1"/>
  <c r="AE18" i="74" s="1"/>
  <c r="AC60" i="70"/>
  <c r="AC61" i="70" s="1"/>
  <c r="AC66" i="70" s="1"/>
  <c r="AC72" i="70" s="1"/>
  <c r="AC19" i="74" s="1"/>
  <c r="AC18" i="74" s="1"/>
  <c r="C24" i="70"/>
  <c r="D60" i="70"/>
  <c r="R60" i="70"/>
  <c r="R61" i="70" s="1"/>
  <c r="AF60" i="70"/>
  <c r="AF61" i="70" s="1"/>
  <c r="AE8" i="70"/>
  <c r="S23" i="70"/>
  <c r="AC27" i="70"/>
  <c r="T23" i="70"/>
  <c r="T27" i="70" s="1"/>
  <c r="F60" i="70"/>
  <c r="F61" i="70" s="1"/>
  <c r="AJ4" i="70"/>
  <c r="AQ4" i="70"/>
  <c r="AB4" i="70"/>
  <c r="AB54" i="70" s="1"/>
  <c r="AP8" i="70"/>
  <c r="U23" i="70"/>
  <c r="U26" i="70" s="1"/>
  <c r="I4" i="70"/>
  <c r="I43" i="70" s="1"/>
  <c r="AC4" i="70"/>
  <c r="AC22" i="70" s="1"/>
  <c r="D13" i="70"/>
  <c r="D22" i="70"/>
  <c r="V23" i="70"/>
  <c r="D32" i="70"/>
  <c r="J4" i="70"/>
  <c r="AD4" i="70"/>
  <c r="AD32" i="70" s="1"/>
  <c r="W23" i="70"/>
  <c r="W26" i="70" s="1"/>
  <c r="P32" i="70"/>
  <c r="K4" i="70"/>
  <c r="AK4" i="70"/>
  <c r="AK71" i="70" s="1"/>
  <c r="X23" i="70"/>
  <c r="X27" i="70" s="1"/>
  <c r="AL26" i="70"/>
  <c r="AA26" i="70"/>
  <c r="AO27" i="70"/>
  <c r="D43" i="70"/>
  <c r="AE4" i="61"/>
  <c r="AE20" i="61" s="1"/>
  <c r="AQ4" i="61"/>
  <c r="AI4" i="61"/>
  <c r="AI20" i="61" s="1"/>
  <c r="F4" i="61"/>
  <c r="F12" i="61" s="1"/>
  <c r="AL4" i="61"/>
  <c r="P4" i="61"/>
  <c r="P12" i="61" s="1"/>
  <c r="Q4" i="61"/>
  <c r="Q20" i="61" s="1"/>
  <c r="V12" i="61"/>
  <c r="R4" i="61"/>
  <c r="R12" i="61" s="1"/>
  <c r="E13" i="61"/>
  <c r="E15" i="61" s="1"/>
  <c r="E49" i="63" s="1"/>
  <c r="D15" i="61"/>
  <c r="D49" i="63" s="1"/>
  <c r="I17" i="40"/>
  <c r="H5" i="4" s="1"/>
  <c r="H5" i="61" s="1"/>
  <c r="I41" i="40"/>
  <c r="J11" i="40"/>
  <c r="J35" i="40" s="1"/>
  <c r="I59" i="40"/>
  <c r="I29" i="40"/>
  <c r="I23" i="40"/>
  <c r="H53" i="40"/>
  <c r="H47" i="40"/>
  <c r="G13" i="4" s="1"/>
  <c r="H59" i="40"/>
  <c r="AK79" i="65"/>
  <c r="AM28" i="58"/>
  <c r="AM39" i="58" s="1"/>
  <c r="J28" i="58"/>
  <c r="J39" i="58" s="1"/>
  <c r="S28" i="58"/>
  <c r="S39" i="58" s="1"/>
  <c r="AC28" i="58"/>
  <c r="AC39" i="58" s="1"/>
  <c r="AE12" i="61"/>
  <c r="T4" i="61"/>
  <c r="AJ4" i="61"/>
  <c r="AJ20" i="61" s="1"/>
  <c r="E4" i="61"/>
  <c r="U4" i="61"/>
  <c r="U20" i="61" s="1"/>
  <c r="AK4" i="61"/>
  <c r="AF12" i="61"/>
  <c r="G4" i="61"/>
  <c r="W4" i="61"/>
  <c r="AM4" i="61"/>
  <c r="AI12" i="61"/>
  <c r="H4" i="61"/>
  <c r="H12" i="61" s="1"/>
  <c r="X4" i="61"/>
  <c r="X20" i="61" s="1"/>
  <c r="AN4" i="61"/>
  <c r="P20" i="61"/>
  <c r="I4" i="61"/>
  <c r="Y4" i="61"/>
  <c r="AP4" i="61"/>
  <c r="J4" i="61"/>
  <c r="Z4" i="61"/>
  <c r="K4" i="61"/>
  <c r="AB4" i="61"/>
  <c r="L4" i="61"/>
  <c r="L20" i="61" s="1"/>
  <c r="AC4" i="61"/>
  <c r="AC20" i="61" s="1"/>
  <c r="D20" i="61"/>
  <c r="N4" i="61"/>
  <c r="N12" i="61" s="1"/>
  <c r="AD4" i="61"/>
  <c r="D12" i="61"/>
  <c r="O4" i="61"/>
  <c r="O12" i="61" s="1"/>
  <c r="M7" i="64"/>
  <c r="AA7" i="64"/>
  <c r="AO7" i="64"/>
  <c r="X7" i="64"/>
  <c r="Z7" i="64"/>
  <c r="N7" i="64"/>
  <c r="AB7" i="64"/>
  <c r="AP7" i="64"/>
  <c r="AH7" i="64"/>
  <c r="H7" i="64"/>
  <c r="AK7" i="64"/>
  <c r="K7" i="64"/>
  <c r="O7" i="64"/>
  <c r="AC7" i="64"/>
  <c r="AQ7" i="64"/>
  <c r="AG7" i="64"/>
  <c r="W7" i="64"/>
  <c r="AL7" i="64"/>
  <c r="Y7" i="64"/>
  <c r="AN7" i="64"/>
  <c r="P7" i="64"/>
  <c r="AD7" i="64"/>
  <c r="R7" i="64"/>
  <c r="AF7" i="64"/>
  <c r="S7" i="64"/>
  <c r="T7" i="64"/>
  <c r="AI7" i="64"/>
  <c r="V7" i="64"/>
  <c r="Q7" i="64"/>
  <c r="AE7" i="64"/>
  <c r="U7" i="64"/>
  <c r="AJ7" i="64"/>
  <c r="I7" i="64"/>
  <c r="J7" i="64"/>
  <c r="AM7" i="64"/>
  <c r="L7" i="64"/>
  <c r="AP30" i="3"/>
  <c r="AQ18" i="3"/>
  <c r="AQ21" i="3" s="1"/>
  <c r="AP18" i="3"/>
  <c r="AP21" i="3" s="1"/>
  <c r="AO18" i="3"/>
  <c r="AO21" i="3" s="1"/>
  <c r="AO9" i="3"/>
  <c r="AO30" i="3"/>
  <c r="AQ30" i="3"/>
  <c r="AQ9" i="3"/>
  <c r="P34" i="60"/>
  <c r="R34" i="60"/>
  <c r="W34" i="60"/>
  <c r="X34" i="60"/>
  <c r="AA34" i="60"/>
  <c r="AR34" i="60"/>
  <c r="AS34" i="60"/>
  <c r="F38" i="60"/>
  <c r="Q38" i="60" s="1"/>
  <c r="AD29" i="60"/>
  <c r="AR29" i="60"/>
  <c r="AE29" i="60"/>
  <c r="AS29" i="60"/>
  <c r="AF29" i="60"/>
  <c r="AT29" i="60"/>
  <c r="AG29" i="60"/>
  <c r="AU29" i="60"/>
  <c r="AH29" i="60"/>
  <c r="W29" i="60"/>
  <c r="AI29" i="60"/>
  <c r="AJ29" i="60"/>
  <c r="AK29" i="60"/>
  <c r="X29" i="60"/>
  <c r="AL29" i="60"/>
  <c r="Y29" i="60"/>
  <c r="AM29" i="60"/>
  <c r="Z29" i="60"/>
  <c r="AN29" i="60"/>
  <c r="AA29" i="60"/>
  <c r="AO29" i="60"/>
  <c r="AB29" i="60"/>
  <c r="AP29" i="60"/>
  <c r="AC29" i="60"/>
  <c r="AQ29" i="60"/>
  <c r="V30" i="60"/>
  <c r="U30" i="60"/>
  <c r="H34" i="60"/>
  <c r="AD31" i="60"/>
  <c r="AR31" i="60"/>
  <c r="AE31" i="60"/>
  <c r="AS31" i="60"/>
  <c r="AF31" i="60"/>
  <c r="AT31" i="60"/>
  <c r="AG31" i="60"/>
  <c r="AU31" i="60"/>
  <c r="AH31" i="60"/>
  <c r="U31" i="60"/>
  <c r="AI31" i="60"/>
  <c r="V31" i="60"/>
  <c r="AJ31" i="60"/>
  <c r="W31" i="60"/>
  <c r="AK31" i="60"/>
  <c r="X31" i="60"/>
  <c r="AL31" i="60"/>
  <c r="Y31" i="60"/>
  <c r="AM31" i="60"/>
  <c r="Z31" i="60"/>
  <c r="AN31" i="60"/>
  <c r="AA31" i="60"/>
  <c r="AO31" i="60"/>
  <c r="AB31" i="60"/>
  <c r="AP31" i="60"/>
  <c r="AC31" i="60"/>
  <c r="AQ31" i="60"/>
  <c r="I31" i="60"/>
  <c r="J31" i="60"/>
  <c r="K31" i="60"/>
  <c r="N31" i="60"/>
  <c r="AT34" i="60"/>
  <c r="AU34" i="60"/>
  <c r="AB34" i="60"/>
  <c r="AD34" i="60"/>
  <c r="I34" i="60"/>
  <c r="AG34" i="60"/>
  <c r="J34" i="60"/>
  <c r="AL34" i="60"/>
  <c r="K34" i="60"/>
  <c r="AM34" i="60"/>
  <c r="L34" i="60"/>
  <c r="AN34" i="60"/>
  <c r="M34" i="60"/>
  <c r="AO34" i="60"/>
  <c r="N34" i="60"/>
  <c r="AP34" i="60"/>
  <c r="AQ21" i="60"/>
  <c r="AT21" i="60"/>
  <c r="W19" i="60"/>
  <c r="AC19" i="60"/>
  <c r="AU19" i="60"/>
  <c r="K19" i="60"/>
  <c r="P19" i="60"/>
  <c r="V19" i="60"/>
  <c r="AK19" i="60"/>
  <c r="AM19" i="60"/>
  <c r="AN19" i="60"/>
  <c r="AO19" i="60"/>
  <c r="AS17" i="60"/>
  <c r="AU17" i="60"/>
  <c r="H12" i="60"/>
  <c r="AU12" i="60"/>
  <c r="H18" i="59"/>
  <c r="P18" i="59"/>
  <c r="AD18" i="59"/>
  <c r="AE18" i="59"/>
  <c r="AG18" i="59"/>
  <c r="AN18" i="59"/>
  <c r="Q17" i="59"/>
  <c r="T17" i="59"/>
  <c r="N17" i="59"/>
  <c r="V17" i="59"/>
  <c r="AB17" i="59"/>
  <c r="AC17" i="59"/>
  <c r="AA17" i="59"/>
  <c r="AG17" i="59"/>
  <c r="AU17" i="59"/>
  <c r="AI17" i="59"/>
  <c r="AQ17" i="59"/>
  <c r="Z16" i="59"/>
  <c r="K16" i="59"/>
  <c r="X16" i="59"/>
  <c r="Y16" i="59"/>
  <c r="AC16" i="59"/>
  <c r="AE16" i="59"/>
  <c r="AU16" i="59"/>
  <c r="AN16" i="59"/>
  <c r="AP16" i="59"/>
  <c r="AS16" i="59"/>
  <c r="AU13" i="59"/>
  <c r="Q78" i="65"/>
  <c r="AC79" i="65"/>
  <c r="W78" i="65"/>
  <c r="E79" i="65"/>
  <c r="X78" i="65"/>
  <c r="AA79" i="65"/>
  <c r="AN28" i="58"/>
  <c r="AN39" i="58" s="1"/>
  <c r="Z73" i="65"/>
  <c r="AG78" i="65"/>
  <c r="V79" i="65"/>
  <c r="O77" i="65"/>
  <c r="AF77" i="65"/>
  <c r="AI78" i="65"/>
  <c r="I79" i="65"/>
  <c r="W79" i="65"/>
  <c r="U73" i="65"/>
  <c r="P77" i="65"/>
  <c r="AE77" i="65"/>
  <c r="O79" i="65"/>
  <c r="P79" i="65"/>
  <c r="AI79" i="65"/>
  <c r="X79" i="65"/>
  <c r="AK73" i="65"/>
  <c r="AF78" i="65"/>
  <c r="AP77" i="65"/>
  <c r="AG73" i="65"/>
  <c r="U79" i="65"/>
  <c r="AJ77" i="65"/>
  <c r="G73" i="65"/>
  <c r="D26" i="56"/>
  <c r="D33" i="56" s="1"/>
  <c r="N26" i="56"/>
  <c r="C32" i="56"/>
  <c r="G16" i="57"/>
  <c r="H8" i="56" s="1"/>
  <c r="H29" i="56" s="1"/>
  <c r="G17" i="57"/>
  <c r="H9" i="56" s="1"/>
  <c r="H30" i="56" s="1"/>
  <c r="H10" i="56"/>
  <c r="H31" i="56" s="1"/>
  <c r="G10" i="56"/>
  <c r="N15" i="56"/>
  <c r="N17" i="56" s="1"/>
  <c r="N20" i="56" s="1"/>
  <c r="F26" i="56"/>
  <c r="F33" i="56" s="1"/>
  <c r="F5" i="74" s="1"/>
  <c r="N33" i="56"/>
  <c r="N5" i="74" s="1"/>
  <c r="AA17" i="58"/>
  <c r="AA28" i="58" s="1"/>
  <c r="AA39" i="58" s="1"/>
  <c r="F4" i="56"/>
  <c r="F25" i="56" s="1"/>
  <c r="D25" i="56"/>
  <c r="G9" i="56"/>
  <c r="G30" i="56" s="1"/>
  <c r="C30" i="56" s="1"/>
  <c r="G4" i="56"/>
  <c r="G25" i="56" s="1"/>
  <c r="I4" i="56"/>
  <c r="I25" i="56" s="1"/>
  <c r="H4" i="56"/>
  <c r="H25" i="56" s="1"/>
  <c r="J4" i="56"/>
  <c r="J25" i="56" s="1"/>
  <c r="E55" i="56"/>
  <c r="H60" i="54"/>
  <c r="I60" i="54" s="1"/>
  <c r="J60" i="54" s="1"/>
  <c r="K60" i="54" s="1"/>
  <c r="H32" i="64"/>
  <c r="K33" i="72"/>
  <c r="K126" i="54"/>
  <c r="AI44" i="64"/>
  <c r="AI43" i="64"/>
  <c r="AI42" i="64"/>
  <c r="G45" i="73"/>
  <c r="AP18" i="60"/>
  <c r="AB18" i="60"/>
  <c r="N18" i="60"/>
  <c r="AF18" i="60"/>
  <c r="Q18" i="60"/>
  <c r="AT18" i="60"/>
  <c r="AE18" i="60"/>
  <c r="P18" i="60"/>
  <c r="AS18" i="60"/>
  <c r="AD18" i="60"/>
  <c r="O18" i="60"/>
  <c r="AR18" i="60"/>
  <c r="AC18" i="60"/>
  <c r="M18" i="60"/>
  <c r="AO18" i="60"/>
  <c r="Z18" i="60"/>
  <c r="K18" i="60"/>
  <c r="AI18" i="60"/>
  <c r="I18" i="60"/>
  <c r="AG18" i="60"/>
  <c r="AA18" i="60"/>
  <c r="X18" i="60"/>
  <c r="V18" i="60"/>
  <c r="AQ18" i="60"/>
  <c r="U18" i="60"/>
  <c r="W18" i="60"/>
  <c r="T18" i="60"/>
  <c r="S18" i="60"/>
  <c r="L18" i="60"/>
  <c r="J18" i="60"/>
  <c r="AK18" i="60"/>
  <c r="AN18" i="60"/>
  <c r="AM18" i="60"/>
  <c r="AJ18" i="60"/>
  <c r="AH18" i="60"/>
  <c r="Y18" i="60"/>
  <c r="H18" i="60"/>
  <c r="AL18" i="60"/>
  <c r="R18" i="60"/>
  <c r="H70" i="68"/>
  <c r="H90" i="54"/>
  <c r="I90" i="54" s="1"/>
  <c r="D5" i="74"/>
  <c r="L7" i="56"/>
  <c r="L28" i="56" s="1"/>
  <c r="I7" i="56"/>
  <c r="I28" i="56" s="1"/>
  <c r="M7" i="56"/>
  <c r="M28" i="56" s="1"/>
  <c r="K7" i="56"/>
  <c r="K28" i="56" s="1"/>
  <c r="J7" i="56"/>
  <c r="J28" i="56" s="1"/>
  <c r="AB22" i="67"/>
  <c r="AB13" i="67"/>
  <c r="I44" i="73"/>
  <c r="I238" i="54"/>
  <c r="AD12" i="61"/>
  <c r="AD20" i="61"/>
  <c r="F69" i="68"/>
  <c r="F89" i="54"/>
  <c r="AP17" i="60"/>
  <c r="AB17" i="60"/>
  <c r="N17" i="60"/>
  <c r="AR17" i="60"/>
  <c r="AC17" i="60"/>
  <c r="M17" i="60"/>
  <c r="AQ17" i="60"/>
  <c r="AA17" i="60"/>
  <c r="L17" i="60"/>
  <c r="AO17" i="60"/>
  <c r="Z17" i="60"/>
  <c r="K17" i="60"/>
  <c r="AN17" i="60"/>
  <c r="Y17" i="60"/>
  <c r="J17" i="60"/>
  <c r="AL17" i="60"/>
  <c r="W17" i="60"/>
  <c r="H17" i="60"/>
  <c r="AE17" i="60"/>
  <c r="X17" i="60"/>
  <c r="V17" i="60"/>
  <c r="AT17" i="60"/>
  <c r="T17" i="60"/>
  <c r="AM17" i="60"/>
  <c r="R17" i="60"/>
  <c r="AK17" i="60"/>
  <c r="Q17" i="60"/>
  <c r="AF17" i="60"/>
  <c r="AD17" i="60"/>
  <c r="U17" i="60"/>
  <c r="P17" i="60"/>
  <c r="O17" i="60"/>
  <c r="AJ17" i="60"/>
  <c r="AI17" i="60"/>
  <c r="AH17" i="60"/>
  <c r="AG17" i="60"/>
  <c r="S17" i="60"/>
  <c r="I17" i="60"/>
  <c r="E41" i="73"/>
  <c r="E235" i="54"/>
  <c r="F235" i="54" s="1"/>
  <c r="AO15" i="58"/>
  <c r="AA15" i="58"/>
  <c r="M15" i="58"/>
  <c r="AN4" i="58"/>
  <c r="Z4" i="58"/>
  <c r="L4" i="58"/>
  <c r="AN15" i="58"/>
  <c r="Z15" i="58"/>
  <c r="L15" i="58"/>
  <c r="AM4" i="58"/>
  <c r="Y4" i="58"/>
  <c r="K4" i="58"/>
  <c r="AM15" i="58"/>
  <c r="Y15" i="58"/>
  <c r="K15" i="58"/>
  <c r="AL15" i="58"/>
  <c r="X15" i="58"/>
  <c r="J15" i="58"/>
  <c r="AK4" i="58"/>
  <c r="W4" i="58"/>
  <c r="I4" i="58"/>
  <c r="AJ15" i="58"/>
  <c r="V15" i="58"/>
  <c r="H15" i="58"/>
  <c r="AI4" i="58"/>
  <c r="U4" i="58"/>
  <c r="G4" i="58"/>
  <c r="W15" i="58"/>
  <c r="AG4" i="58"/>
  <c r="O4" i="58"/>
  <c r="T15" i="58"/>
  <c r="AE4" i="58"/>
  <c r="M4" i="58"/>
  <c r="S15" i="58"/>
  <c r="AD4" i="58"/>
  <c r="J4" i="58"/>
  <c r="AK15" i="58"/>
  <c r="Q15" i="58"/>
  <c r="AB4" i="58"/>
  <c r="F4" i="58"/>
  <c r="R15" i="58"/>
  <c r="T4" i="58"/>
  <c r="P15" i="58"/>
  <c r="S4" i="58"/>
  <c r="D37" i="58"/>
  <c r="O15" i="58"/>
  <c r="R4" i="58"/>
  <c r="AP15" i="58"/>
  <c r="I15" i="58"/>
  <c r="AP4" i="58"/>
  <c r="P4" i="58"/>
  <c r="AI15" i="58"/>
  <c r="G15" i="58"/>
  <c r="AO4" i="58"/>
  <c r="N4" i="58"/>
  <c r="AD15" i="58"/>
  <c r="AC4" i="58"/>
  <c r="AE15" i="58"/>
  <c r="AC15" i="58"/>
  <c r="AL4" i="58"/>
  <c r="AB15" i="58"/>
  <c r="AJ4" i="58"/>
  <c r="E15" i="58"/>
  <c r="D15" i="58"/>
  <c r="E4" i="58"/>
  <c r="U15" i="58"/>
  <c r="AH4" i="58"/>
  <c r="AF4" i="58"/>
  <c r="X4" i="58"/>
  <c r="V4" i="58"/>
  <c r="D26" i="58"/>
  <c r="Q4" i="58"/>
  <c r="N15" i="58"/>
  <c r="F15" i="58"/>
  <c r="AA4" i="58"/>
  <c r="H4" i="58"/>
  <c r="G32" i="64"/>
  <c r="F87" i="65"/>
  <c r="C26" i="65"/>
  <c r="AH87" i="65"/>
  <c r="AH28" i="65"/>
  <c r="AH34" i="65" s="1"/>
  <c r="AH36" i="65" s="1"/>
  <c r="AP12" i="60"/>
  <c r="AB12" i="60"/>
  <c r="N12" i="60"/>
  <c r="AK12" i="60"/>
  <c r="V12" i="60"/>
  <c r="AJ12" i="60"/>
  <c r="U12" i="60"/>
  <c r="AI12" i="60"/>
  <c r="T12" i="60"/>
  <c r="AH12" i="60"/>
  <c r="S12" i="60"/>
  <c r="AF12" i="60"/>
  <c r="Q12" i="60"/>
  <c r="AR12" i="60"/>
  <c r="W12" i="60"/>
  <c r="AO12" i="60"/>
  <c r="P12" i="60"/>
  <c r="AN12" i="60"/>
  <c r="O12" i="60"/>
  <c r="AL12" i="60"/>
  <c r="L12" i="60"/>
  <c r="AE12" i="60"/>
  <c r="J12" i="60"/>
  <c r="AD12" i="60"/>
  <c r="I12" i="60"/>
  <c r="AG12" i="60"/>
  <c r="AC12" i="60"/>
  <c r="AA12" i="60"/>
  <c r="Y12" i="60"/>
  <c r="X12" i="60"/>
  <c r="AT12" i="60"/>
  <c r="AS12" i="60"/>
  <c r="AQ12" i="60"/>
  <c r="R12" i="60"/>
  <c r="M12" i="60"/>
  <c r="K12" i="60"/>
  <c r="AM12" i="60"/>
  <c r="Z12" i="60"/>
  <c r="M47" i="63"/>
  <c r="M17" i="63"/>
  <c r="M31" i="63"/>
  <c r="AM47" i="63"/>
  <c r="AM17" i="63"/>
  <c r="AM31" i="63"/>
  <c r="F48" i="69"/>
  <c r="F92" i="54"/>
  <c r="F48" i="64"/>
  <c r="F93" i="54"/>
  <c r="Q30" i="60"/>
  <c r="T30" i="60"/>
  <c r="S30" i="60"/>
  <c r="R30" i="60"/>
  <c r="P30" i="60"/>
  <c r="N30" i="60"/>
  <c r="O30" i="60"/>
  <c r="L30" i="60"/>
  <c r="K30" i="60"/>
  <c r="J30" i="60"/>
  <c r="I30" i="60"/>
  <c r="M30" i="60"/>
  <c r="H30" i="60"/>
  <c r="G43" i="73"/>
  <c r="G237" i="54"/>
  <c r="L30" i="64"/>
  <c r="L58" i="54"/>
  <c r="AF15" i="58"/>
  <c r="AG15" i="58"/>
  <c r="E49" i="69"/>
  <c r="E73" i="68"/>
  <c r="I32" i="72"/>
  <c r="I125" i="54"/>
  <c r="AH15" i="58"/>
  <c r="AP47" i="63"/>
  <c r="AP31" i="63"/>
  <c r="AP17" i="63"/>
  <c r="F30" i="64"/>
  <c r="R35" i="71"/>
  <c r="R20" i="74" s="1"/>
  <c r="E5" i="63"/>
  <c r="E15" i="56"/>
  <c r="O13" i="59"/>
  <c r="AA17" i="63"/>
  <c r="AA47" i="63"/>
  <c r="AA31" i="63"/>
  <c r="D49" i="64"/>
  <c r="Y77" i="65"/>
  <c r="Y36" i="65"/>
  <c r="J57" i="66"/>
  <c r="J39" i="66"/>
  <c r="J13" i="66"/>
  <c r="J48" i="66"/>
  <c r="J22" i="66"/>
  <c r="X48" i="66"/>
  <c r="X39" i="66"/>
  <c r="X57" i="66"/>
  <c r="X13" i="66"/>
  <c r="X22" i="66"/>
  <c r="AL48" i="66"/>
  <c r="AL57" i="66"/>
  <c r="AL13" i="66"/>
  <c r="AL39" i="66"/>
  <c r="AL22" i="66"/>
  <c r="C22" i="61"/>
  <c r="Q22" i="65"/>
  <c r="Q50" i="65"/>
  <c r="Q13" i="65"/>
  <c r="Q41" i="65"/>
  <c r="AE41" i="65"/>
  <c r="AE59" i="65"/>
  <c r="AE50" i="65"/>
  <c r="AE22" i="65"/>
  <c r="AE13" i="65"/>
  <c r="Q17" i="63"/>
  <c r="Q31" i="63"/>
  <c r="Q47" i="63"/>
  <c r="J27" i="56"/>
  <c r="C30" i="66"/>
  <c r="F44" i="69"/>
  <c r="F88" i="54"/>
  <c r="M27" i="56"/>
  <c r="D27" i="64"/>
  <c r="C24" i="64"/>
  <c r="D26" i="64"/>
  <c r="D25" i="64"/>
  <c r="AF27" i="64"/>
  <c r="AF25" i="64"/>
  <c r="AF26" i="64"/>
  <c r="V36" i="65"/>
  <c r="V77" i="65"/>
  <c r="R85" i="65"/>
  <c r="R65" i="65"/>
  <c r="R71" i="65" s="1"/>
  <c r="R78" i="65" s="1"/>
  <c r="E26" i="56"/>
  <c r="W13" i="59"/>
  <c r="E240" i="54"/>
  <c r="F240" i="54" s="1"/>
  <c r="C37" i="63"/>
  <c r="E73" i="65"/>
  <c r="H85" i="65"/>
  <c r="H65" i="65"/>
  <c r="H71" i="65" s="1"/>
  <c r="H78" i="65" s="1"/>
  <c r="V65" i="65"/>
  <c r="V71" i="65" s="1"/>
  <c r="V73" i="65" s="1"/>
  <c r="V85" i="65"/>
  <c r="AJ85" i="65"/>
  <c r="AJ65" i="65"/>
  <c r="AJ71" i="65" s="1"/>
  <c r="AJ78" i="65" s="1"/>
  <c r="AI73" i="65"/>
  <c r="E45" i="73"/>
  <c r="E239" i="54"/>
  <c r="F239" i="54" s="1"/>
  <c r="G239" i="54" s="1"/>
  <c r="H239" i="54" s="1"/>
  <c r="I239" i="54" s="1"/>
  <c r="J239" i="54" s="1"/>
  <c r="X28" i="58"/>
  <c r="X39" i="58" s="1"/>
  <c r="AT13" i="59"/>
  <c r="AF13" i="59"/>
  <c r="R13" i="59"/>
  <c r="AI13" i="59"/>
  <c r="T13" i="59"/>
  <c r="AH13" i="59"/>
  <c r="S13" i="59"/>
  <c r="AG13" i="59"/>
  <c r="Q13" i="59"/>
  <c r="AE13" i="59"/>
  <c r="P13" i="59"/>
  <c r="AR13" i="59"/>
  <c r="AC13" i="59"/>
  <c r="N13" i="59"/>
  <c r="AM13" i="59"/>
  <c r="M13" i="59"/>
  <c r="AK13" i="59"/>
  <c r="K13" i="59"/>
  <c r="AJ13" i="59"/>
  <c r="J13" i="59"/>
  <c r="AB13" i="59"/>
  <c r="H13" i="59"/>
  <c r="Y13" i="59"/>
  <c r="AA13" i="59"/>
  <c r="Z13" i="59"/>
  <c r="X13" i="59"/>
  <c r="V13" i="59"/>
  <c r="U13" i="59"/>
  <c r="AO13" i="59"/>
  <c r="I13" i="59"/>
  <c r="R25" i="64"/>
  <c r="R26" i="64"/>
  <c r="R27" i="64"/>
  <c r="C61" i="65"/>
  <c r="D65" i="65"/>
  <c r="L13" i="59"/>
  <c r="F5" i="63"/>
  <c r="F15" i="56"/>
  <c r="F16" i="56" s="1"/>
  <c r="H31" i="64"/>
  <c r="H59" i="54"/>
  <c r="I59" i="54" s="1"/>
  <c r="J59" i="54" s="1"/>
  <c r="K59" i="54" s="1"/>
  <c r="E34" i="72"/>
  <c r="E127" i="54"/>
  <c r="F127" i="54" s="1"/>
  <c r="G127" i="54" s="1"/>
  <c r="H127" i="54" s="1"/>
  <c r="I127" i="54" s="1"/>
  <c r="J127" i="54" s="1"/>
  <c r="K127" i="54" s="1"/>
  <c r="L127" i="54" s="1"/>
  <c r="I27" i="56"/>
  <c r="AL13" i="59"/>
  <c r="E7" i="61"/>
  <c r="I47" i="63"/>
  <c r="I17" i="63"/>
  <c r="I31" i="63"/>
  <c r="AD31" i="63"/>
  <c r="AD47" i="63"/>
  <c r="O78" i="65"/>
  <c r="O36" i="65"/>
  <c r="Y79" i="65"/>
  <c r="D15" i="56"/>
  <c r="D5" i="63"/>
  <c r="Q28" i="58"/>
  <c r="Q39" i="58" s="1"/>
  <c r="AN13" i="59"/>
  <c r="AT18" i="59"/>
  <c r="AF18" i="59"/>
  <c r="R18" i="59"/>
  <c r="AR18" i="59"/>
  <c r="AC18" i="59"/>
  <c r="N18" i="59"/>
  <c r="AQ18" i="59"/>
  <c r="AB18" i="59"/>
  <c r="M18" i="59"/>
  <c r="AP18" i="59"/>
  <c r="AA18" i="59"/>
  <c r="L18" i="59"/>
  <c r="AO18" i="59"/>
  <c r="Z18" i="59"/>
  <c r="K18" i="59"/>
  <c r="AM18" i="59"/>
  <c r="X18" i="59"/>
  <c r="I18" i="59"/>
  <c r="W18" i="59"/>
  <c r="U18" i="59"/>
  <c r="AS18" i="59"/>
  <c r="T18" i="59"/>
  <c r="AL18" i="59"/>
  <c r="Q18" i="59"/>
  <c r="AJ18" i="59"/>
  <c r="O18" i="59"/>
  <c r="AI18" i="59"/>
  <c r="J18" i="59"/>
  <c r="AK18" i="59"/>
  <c r="AH18" i="59"/>
  <c r="V18" i="59"/>
  <c r="F14" i="60"/>
  <c r="AU14" i="60" s="1"/>
  <c r="E94" i="54"/>
  <c r="F49" i="64" s="1"/>
  <c r="F236" i="54"/>
  <c r="D7" i="64"/>
  <c r="L6" i="56"/>
  <c r="K6" i="56"/>
  <c r="L10" i="56"/>
  <c r="L31" i="56" s="1"/>
  <c r="K10" i="56"/>
  <c r="K31" i="56" s="1"/>
  <c r="I10" i="56"/>
  <c r="I31" i="56" s="1"/>
  <c r="M10" i="56"/>
  <c r="M31" i="56" s="1"/>
  <c r="J10" i="56"/>
  <c r="J31" i="56" s="1"/>
  <c r="AP13" i="59"/>
  <c r="L47" i="63"/>
  <c r="L17" i="63"/>
  <c r="L31" i="63"/>
  <c r="AK31" i="63"/>
  <c r="AK17" i="63"/>
  <c r="AK47" i="63"/>
  <c r="M20" i="59"/>
  <c r="Q31" i="60"/>
  <c r="H31" i="60"/>
  <c r="T31" i="60"/>
  <c r="R31" i="60"/>
  <c r="S31" i="60"/>
  <c r="O31" i="60"/>
  <c r="M31" i="60"/>
  <c r="L31" i="60"/>
  <c r="F24" i="62"/>
  <c r="M24" i="62"/>
  <c r="L24" i="62"/>
  <c r="K24" i="62"/>
  <c r="I24" i="62"/>
  <c r="J24" i="62"/>
  <c r="H24" i="62"/>
  <c r="R22" i="65"/>
  <c r="R13" i="65"/>
  <c r="R50" i="65"/>
  <c r="R59" i="65"/>
  <c r="R41" i="65"/>
  <c r="AF22" i="65"/>
  <c r="AF59" i="65"/>
  <c r="AF13" i="65"/>
  <c r="AF41" i="65"/>
  <c r="AA77" i="65"/>
  <c r="H48" i="66"/>
  <c r="H13" i="66"/>
  <c r="H57" i="66"/>
  <c r="H39" i="66"/>
  <c r="H22" i="66"/>
  <c r="V39" i="66"/>
  <c r="V57" i="66"/>
  <c r="V13" i="66"/>
  <c r="V48" i="66"/>
  <c r="V22" i="66"/>
  <c r="AJ22" i="66"/>
  <c r="AJ13" i="66"/>
  <c r="AJ39" i="66"/>
  <c r="AJ57" i="66"/>
  <c r="P27" i="64"/>
  <c r="P26" i="64"/>
  <c r="P25" i="64"/>
  <c r="AD25" i="64"/>
  <c r="AD26" i="64"/>
  <c r="I32" i="64"/>
  <c r="E13" i="65"/>
  <c r="E59" i="65"/>
  <c r="E50" i="65"/>
  <c r="E22" i="65"/>
  <c r="E41" i="65"/>
  <c r="S13" i="65"/>
  <c r="S22" i="65"/>
  <c r="S50" i="65"/>
  <c r="S59" i="65"/>
  <c r="S41" i="65"/>
  <c r="AG13" i="65"/>
  <c r="AG41" i="65"/>
  <c r="AG59" i="65"/>
  <c r="AG50" i="65"/>
  <c r="S84" i="65"/>
  <c r="Z77" i="65"/>
  <c r="I30" i="64"/>
  <c r="I33" i="64" s="1"/>
  <c r="I9" i="74" s="1"/>
  <c r="AM13" i="67"/>
  <c r="AM22" i="67"/>
  <c r="AT16" i="59"/>
  <c r="AF16" i="59"/>
  <c r="R16" i="59"/>
  <c r="AL16" i="59"/>
  <c r="W16" i="59"/>
  <c r="H16" i="59"/>
  <c r="AK16" i="59"/>
  <c r="V16" i="59"/>
  <c r="AJ16" i="59"/>
  <c r="U16" i="59"/>
  <c r="AI16" i="59"/>
  <c r="T16" i="59"/>
  <c r="AG16" i="59"/>
  <c r="Q16" i="59"/>
  <c r="AO16" i="59"/>
  <c r="O16" i="59"/>
  <c r="AM16" i="59"/>
  <c r="M16" i="59"/>
  <c r="AH16" i="59"/>
  <c r="L16" i="59"/>
  <c r="AD16" i="59"/>
  <c r="J16" i="59"/>
  <c r="AA16" i="59"/>
  <c r="AQ16" i="59"/>
  <c r="AI20" i="59"/>
  <c r="AE31" i="59" s="1"/>
  <c r="I6" i="58"/>
  <c r="AP19" i="60"/>
  <c r="AB19" i="60"/>
  <c r="N19" i="60"/>
  <c r="AI19" i="60"/>
  <c r="T19" i="60"/>
  <c r="AH19" i="60"/>
  <c r="S19" i="60"/>
  <c r="AG19" i="60"/>
  <c r="R19" i="60"/>
  <c r="AF19" i="60"/>
  <c r="Q19" i="60"/>
  <c r="AS19" i="60"/>
  <c r="AD19" i="60"/>
  <c r="O19" i="60"/>
  <c r="AL19" i="60"/>
  <c r="L19" i="60"/>
  <c r="AJ19" i="60"/>
  <c r="J19" i="60"/>
  <c r="AE19" i="60"/>
  <c r="I19" i="60"/>
  <c r="AA19" i="60"/>
  <c r="Y19" i="60"/>
  <c r="AT19" i="60"/>
  <c r="X19" i="60"/>
  <c r="AQ19" i="60"/>
  <c r="P31" i="60"/>
  <c r="F36" i="60"/>
  <c r="AU36" i="60" s="1"/>
  <c r="N47" i="63"/>
  <c r="N31" i="63"/>
  <c r="F27" i="64"/>
  <c r="F32" i="64" s="1"/>
  <c r="F26" i="64"/>
  <c r="F31" i="64" s="1"/>
  <c r="T27" i="64"/>
  <c r="T26" i="64"/>
  <c r="T25" i="64"/>
  <c r="AH25" i="64"/>
  <c r="AH27" i="64"/>
  <c r="AH26" i="64"/>
  <c r="D47" i="64"/>
  <c r="D34" i="65"/>
  <c r="K77" i="65"/>
  <c r="AP78" i="65"/>
  <c r="AN13" i="67"/>
  <c r="AN22" i="67"/>
  <c r="M8" i="56"/>
  <c r="M29" i="56" s="1"/>
  <c r="K8" i="56"/>
  <c r="K29" i="56" s="1"/>
  <c r="I16" i="59"/>
  <c r="AR16" i="59"/>
  <c r="AJ20" i="59"/>
  <c r="AF31" i="59" s="1"/>
  <c r="H19" i="60"/>
  <c r="AR19" i="60"/>
  <c r="O47" i="63"/>
  <c r="O17" i="63"/>
  <c r="J27" i="65"/>
  <c r="J33" i="65" s="1"/>
  <c r="J84" i="65"/>
  <c r="X84" i="65"/>
  <c r="X27" i="65"/>
  <c r="X33" i="65" s="1"/>
  <c r="AL27" i="65"/>
  <c r="AL33" i="65" s="1"/>
  <c r="AL84" i="65"/>
  <c r="M28" i="65"/>
  <c r="M34" i="65" s="1"/>
  <c r="M85" i="65"/>
  <c r="AA85" i="65"/>
  <c r="AA28" i="65"/>
  <c r="AA34" i="65" s="1"/>
  <c r="AA78" i="65" s="1"/>
  <c r="AO28" i="65"/>
  <c r="AO34" i="65" s="1"/>
  <c r="AO78" i="65" s="1"/>
  <c r="AO85" i="65"/>
  <c r="AL86" i="65"/>
  <c r="AL66" i="65"/>
  <c r="AL72" i="65" s="1"/>
  <c r="AL73" i="65" s="1"/>
  <c r="AJ48" i="66"/>
  <c r="AO22" i="67"/>
  <c r="AO13" i="67"/>
  <c r="C58" i="68"/>
  <c r="V62" i="68"/>
  <c r="F62" i="68"/>
  <c r="F70" i="68"/>
  <c r="N16" i="59"/>
  <c r="AT17" i="59"/>
  <c r="AF17" i="59"/>
  <c r="R17" i="59"/>
  <c r="AO17" i="59"/>
  <c r="Z17" i="59"/>
  <c r="K17" i="59"/>
  <c r="AN17" i="59"/>
  <c r="Y17" i="59"/>
  <c r="J17" i="59"/>
  <c r="AM17" i="59"/>
  <c r="X17" i="59"/>
  <c r="I17" i="59"/>
  <c r="AL17" i="59"/>
  <c r="W17" i="59"/>
  <c r="H17" i="59"/>
  <c r="AJ17" i="59"/>
  <c r="U17" i="59"/>
  <c r="AR17" i="59"/>
  <c r="S17" i="59"/>
  <c r="AP17" i="59"/>
  <c r="P17" i="59"/>
  <c r="AK17" i="59"/>
  <c r="O17" i="59"/>
  <c r="AH17" i="59"/>
  <c r="M17" i="59"/>
  <c r="AE17" i="59"/>
  <c r="AD17" i="59"/>
  <c r="M19" i="60"/>
  <c r="AP21" i="60"/>
  <c r="AB21" i="60"/>
  <c r="N21" i="60"/>
  <c r="AL21" i="60"/>
  <c r="W21" i="60"/>
  <c r="H21" i="60"/>
  <c r="AK21" i="60"/>
  <c r="V21" i="60"/>
  <c r="AJ21" i="60"/>
  <c r="U21" i="60"/>
  <c r="AI21" i="60"/>
  <c r="T21" i="60"/>
  <c r="AG21" i="60"/>
  <c r="R21" i="60"/>
  <c r="AN21" i="60"/>
  <c r="O21" i="60"/>
  <c r="AH21" i="60"/>
  <c r="L21" i="60"/>
  <c r="AF21" i="60"/>
  <c r="K21" i="60"/>
  <c r="AD21" i="60"/>
  <c r="I21" i="60"/>
  <c r="AA21" i="60"/>
  <c r="Z21" i="60"/>
  <c r="AS21" i="60"/>
  <c r="X12" i="61"/>
  <c r="AN20" i="61"/>
  <c r="AN12" i="61"/>
  <c r="N17" i="63"/>
  <c r="AG22" i="65"/>
  <c r="D29" i="65"/>
  <c r="C25" i="65"/>
  <c r="D86" i="65"/>
  <c r="R29" i="65"/>
  <c r="R35" i="65" s="1"/>
  <c r="R79" i="65" s="1"/>
  <c r="R86" i="65"/>
  <c r="AF29" i="65"/>
  <c r="AF35" i="65" s="1"/>
  <c r="AF86" i="65"/>
  <c r="F64" i="65"/>
  <c r="F70" i="65" s="1"/>
  <c r="F84" i="65"/>
  <c r="T64" i="65"/>
  <c r="T70" i="65" s="1"/>
  <c r="T84" i="65"/>
  <c r="AH84" i="65"/>
  <c r="AH64" i="65"/>
  <c r="AH70" i="65" s="1"/>
  <c r="AA73" i="65"/>
  <c r="AD73" i="65"/>
  <c r="I8" i="56"/>
  <c r="I29" i="56" s="1"/>
  <c r="P16" i="59"/>
  <c r="AT20" i="59"/>
  <c r="AF20" i="59"/>
  <c r="R20" i="59"/>
  <c r="AG20" i="59"/>
  <c r="Q20" i="59"/>
  <c r="AE20" i="59"/>
  <c r="P20" i="59"/>
  <c r="AS20" i="59"/>
  <c r="AO31" i="59" s="1"/>
  <c r="AD20" i="59"/>
  <c r="O20" i="59"/>
  <c r="AR20" i="59"/>
  <c r="AN31" i="59" s="1"/>
  <c r="AC20" i="59"/>
  <c r="Y31" i="59" s="1"/>
  <c r="N20" i="59"/>
  <c r="AP20" i="59"/>
  <c r="AA20" i="59"/>
  <c r="L20" i="59"/>
  <c r="H31" i="59" s="1"/>
  <c r="AB20" i="59"/>
  <c r="Y20" i="59"/>
  <c r="U31" i="59" s="1"/>
  <c r="X20" i="59"/>
  <c r="T31" i="59" s="1"/>
  <c r="AQ20" i="59"/>
  <c r="AM31" i="59" s="1"/>
  <c r="V20" i="59"/>
  <c r="AN20" i="59"/>
  <c r="T20" i="59"/>
  <c r="AM20" i="59"/>
  <c r="S20" i="59"/>
  <c r="AO20" i="59"/>
  <c r="J8" i="56"/>
  <c r="J29" i="56" s="1"/>
  <c r="F11" i="59"/>
  <c r="AU11" i="59" s="1"/>
  <c r="S16" i="59"/>
  <c r="L17" i="59"/>
  <c r="H20" i="59"/>
  <c r="U19" i="60"/>
  <c r="M21" i="60"/>
  <c r="J12" i="61"/>
  <c r="J20" i="61"/>
  <c r="Y47" i="63"/>
  <c r="Y17" i="63"/>
  <c r="Y31" i="63"/>
  <c r="K25" i="64"/>
  <c r="K30" i="64" s="1"/>
  <c r="K33" i="64" s="1"/>
  <c r="K9" i="74" s="1"/>
  <c r="K27" i="64"/>
  <c r="K32" i="64" s="1"/>
  <c r="K26" i="64"/>
  <c r="K31" i="64" s="1"/>
  <c r="Y25" i="64"/>
  <c r="Y26" i="64"/>
  <c r="N22" i="65"/>
  <c r="N13" i="65"/>
  <c r="N50" i="65"/>
  <c r="N59" i="65"/>
  <c r="N41" i="65"/>
  <c r="AB22" i="65"/>
  <c r="AB13" i="65"/>
  <c r="AB50" i="65"/>
  <c r="AB59" i="65"/>
  <c r="AB41" i="65"/>
  <c r="AP22" i="65"/>
  <c r="AP13" i="65"/>
  <c r="AP50" i="65"/>
  <c r="AP41" i="65"/>
  <c r="AP59" i="65"/>
  <c r="N77" i="65"/>
  <c r="AC34" i="66"/>
  <c r="P42" i="64"/>
  <c r="P43" i="64"/>
  <c r="P44" i="64"/>
  <c r="AK34" i="66"/>
  <c r="AK73" i="66" s="1"/>
  <c r="AK13" i="74" s="1"/>
  <c r="J13" i="70"/>
  <c r="J54" i="70"/>
  <c r="J43" i="70"/>
  <c r="J32" i="70"/>
  <c r="J22" i="70"/>
  <c r="J71" i="70"/>
  <c r="AD22" i="70"/>
  <c r="Y8" i="70"/>
  <c r="Y23" i="70"/>
  <c r="AM23" i="70"/>
  <c r="AM8" i="70"/>
  <c r="AR22" i="60"/>
  <c r="AD22" i="60"/>
  <c r="P22" i="60"/>
  <c r="AQ22" i="60"/>
  <c r="AB22" i="60"/>
  <c r="M22" i="60"/>
  <c r="AP22" i="60"/>
  <c r="AA22" i="60"/>
  <c r="L22" i="60"/>
  <c r="AO22" i="60"/>
  <c r="Z22" i="60"/>
  <c r="K22" i="60"/>
  <c r="AN22" i="60"/>
  <c r="Y22" i="60"/>
  <c r="J22" i="60"/>
  <c r="AL22" i="60"/>
  <c r="W22" i="60"/>
  <c r="H22" i="60"/>
  <c r="AG22" i="60"/>
  <c r="V31" i="63"/>
  <c r="V47" i="63"/>
  <c r="V17" i="63"/>
  <c r="AD44" i="64"/>
  <c r="G59" i="65"/>
  <c r="G50" i="65"/>
  <c r="U50" i="65"/>
  <c r="U22" i="65"/>
  <c r="AI22" i="65"/>
  <c r="AI50" i="65"/>
  <c r="G13" i="65"/>
  <c r="AI13" i="65"/>
  <c r="U59" i="65"/>
  <c r="J73" i="65"/>
  <c r="P38" i="69"/>
  <c r="AD38" i="69"/>
  <c r="E48" i="69"/>
  <c r="K13" i="70"/>
  <c r="K54" i="70"/>
  <c r="K43" i="70"/>
  <c r="K32" i="70"/>
  <c r="K22" i="70"/>
  <c r="K71" i="70"/>
  <c r="AK13" i="70"/>
  <c r="AK54" i="70"/>
  <c r="AK43" i="70"/>
  <c r="L23" i="70"/>
  <c r="L8" i="70"/>
  <c r="C8" i="70" s="1"/>
  <c r="Z23" i="70"/>
  <c r="Z8" i="70"/>
  <c r="AN23" i="70"/>
  <c r="AN8" i="70"/>
  <c r="AG20" i="61"/>
  <c r="J32" i="64"/>
  <c r="S27" i="65"/>
  <c r="S33" i="65" s="1"/>
  <c r="I78" i="65"/>
  <c r="I73" i="65"/>
  <c r="D23" i="68"/>
  <c r="C22" i="68"/>
  <c r="H38" i="69"/>
  <c r="V38" i="69"/>
  <c r="AJ38" i="69"/>
  <c r="K23" i="70"/>
  <c r="E43" i="73"/>
  <c r="H44" i="73"/>
  <c r="AM25" i="64"/>
  <c r="AM26" i="64"/>
  <c r="AM27" i="64"/>
  <c r="E84" i="65"/>
  <c r="C23" i="65"/>
  <c r="AG27" i="65"/>
  <c r="AG33" i="65" s="1"/>
  <c r="AG84" i="65"/>
  <c r="K86" i="65"/>
  <c r="K29" i="65"/>
  <c r="K35" i="65" s="1"/>
  <c r="K79" i="65" s="1"/>
  <c r="Y86" i="65"/>
  <c r="AM86" i="65"/>
  <c r="AM29" i="65"/>
  <c r="AM35" i="65" s="1"/>
  <c r="AM79" i="65" s="1"/>
  <c r="M87" i="65"/>
  <c r="AA87" i="65"/>
  <c r="AO87" i="65"/>
  <c r="AA86" i="65"/>
  <c r="G73" i="68"/>
  <c r="C60" i="68"/>
  <c r="X62" i="68"/>
  <c r="D28" i="58"/>
  <c r="R28" i="58"/>
  <c r="R39" i="58" s="1"/>
  <c r="AF28" i="58"/>
  <c r="AF39" i="58" s="1"/>
  <c r="O22" i="60"/>
  <c r="AJ22" i="60"/>
  <c r="AO38" i="64"/>
  <c r="AA38" i="64"/>
  <c r="M38" i="64"/>
  <c r="AP38" i="64"/>
  <c r="Z38" i="64"/>
  <c r="K38" i="64"/>
  <c r="AK21" i="64"/>
  <c r="W21" i="64"/>
  <c r="I21" i="64"/>
  <c r="AD4" i="64"/>
  <c r="P4" i="64"/>
  <c r="AN38" i="64"/>
  <c r="Y38" i="64"/>
  <c r="J38" i="64"/>
  <c r="AJ21" i="64"/>
  <c r="V21" i="64"/>
  <c r="H21" i="64"/>
  <c r="AC4" i="64"/>
  <c r="O4" i="64"/>
  <c r="AG38" i="64"/>
  <c r="R38" i="64"/>
  <c r="X38" i="64"/>
  <c r="F38" i="64"/>
  <c r="AP21" i="64"/>
  <c r="Z21" i="64"/>
  <c r="J21" i="64"/>
  <c r="AO4" i="64"/>
  <c r="Y4" i="64"/>
  <c r="I4" i="64"/>
  <c r="AJ38" i="64"/>
  <c r="P38" i="64"/>
  <c r="AD21" i="64"/>
  <c r="M21" i="64"/>
  <c r="AF4" i="64"/>
  <c r="M4" i="64"/>
  <c r="AF38" i="64"/>
  <c r="I38" i="64"/>
  <c r="AO21" i="64"/>
  <c r="U21" i="64"/>
  <c r="AA4" i="64"/>
  <c r="H4" i="64"/>
  <c r="AE38" i="64"/>
  <c r="H38" i="64"/>
  <c r="AN21" i="64"/>
  <c r="T21" i="64"/>
  <c r="Z4" i="64"/>
  <c r="G4" i="64"/>
  <c r="AD38" i="64"/>
  <c r="G38" i="64"/>
  <c r="AM21" i="64"/>
  <c r="S21" i="64"/>
  <c r="X4" i="64"/>
  <c r="F4" i="64"/>
  <c r="U38" i="64"/>
  <c r="AF21" i="64"/>
  <c r="G21" i="64"/>
  <c r="AL4" i="64"/>
  <c r="Q4" i="64"/>
  <c r="T38" i="64"/>
  <c r="AE21" i="64"/>
  <c r="F21" i="64"/>
  <c r="AK4" i="64"/>
  <c r="N4" i="64"/>
  <c r="S38" i="64"/>
  <c r="AC21" i="64"/>
  <c r="E21" i="64"/>
  <c r="AJ4" i="64"/>
  <c r="L4" i="64"/>
  <c r="Q38" i="64"/>
  <c r="AB21" i="64"/>
  <c r="D21" i="64"/>
  <c r="AI4" i="64"/>
  <c r="K4" i="64"/>
  <c r="AM38" i="64"/>
  <c r="N38" i="64"/>
  <c r="Y21" i="64"/>
  <c r="AG4" i="64"/>
  <c r="E4" i="64"/>
  <c r="AC38" i="64"/>
  <c r="AL21" i="64"/>
  <c r="O21" i="64"/>
  <c r="U4" i="64"/>
  <c r="AG21" i="64"/>
  <c r="E38" i="64"/>
  <c r="I85" i="65"/>
  <c r="W85" i="65"/>
  <c r="AK85" i="65"/>
  <c r="AK28" i="65"/>
  <c r="AK34" i="65" s="1"/>
  <c r="AK78" i="65" s="1"/>
  <c r="Z86" i="65"/>
  <c r="Z29" i="65"/>
  <c r="Z35" i="65" s="1"/>
  <c r="Z79" i="65" s="1"/>
  <c r="AN86" i="65"/>
  <c r="AN29" i="65"/>
  <c r="AN35" i="65" s="1"/>
  <c r="AN79" i="65" s="1"/>
  <c r="N87" i="65"/>
  <c r="AB87" i="65"/>
  <c r="AB28" i="65"/>
  <c r="AB34" i="65" s="1"/>
  <c r="AP87" i="65"/>
  <c r="U27" i="65"/>
  <c r="U33" i="65" s="1"/>
  <c r="J79" i="65"/>
  <c r="G41" i="65"/>
  <c r="N65" i="65"/>
  <c r="N71" i="65" s="1"/>
  <c r="N78" i="65" s="1"/>
  <c r="P73" i="65"/>
  <c r="AC86" i="65"/>
  <c r="Y69" i="66"/>
  <c r="Y73" i="66" s="1"/>
  <c r="Y13" i="74" s="1"/>
  <c r="AM69" i="66"/>
  <c r="G43" i="64"/>
  <c r="G48" i="64" s="1"/>
  <c r="G42" i="64"/>
  <c r="G47" i="64" s="1"/>
  <c r="U43" i="64"/>
  <c r="U44" i="64"/>
  <c r="D48" i="64"/>
  <c r="G27" i="65"/>
  <c r="G33" i="65" s="1"/>
  <c r="G84" i="65"/>
  <c r="AI84" i="65"/>
  <c r="AI27" i="65"/>
  <c r="AI33" i="65" s="1"/>
  <c r="J28" i="65"/>
  <c r="J34" i="65" s="1"/>
  <c r="J78" i="65" s="1"/>
  <c r="J85" i="65"/>
  <c r="AL85" i="65"/>
  <c r="AL28" i="65"/>
  <c r="AL34" i="65" s="1"/>
  <c r="AL78" i="65" s="1"/>
  <c r="M29" i="65"/>
  <c r="M35" i="65" s="1"/>
  <c r="M79" i="65" s="1"/>
  <c r="M86" i="65"/>
  <c r="AO86" i="65"/>
  <c r="AO29" i="65"/>
  <c r="AO35" i="65" s="1"/>
  <c r="AO79" i="65" s="1"/>
  <c r="AC87" i="65"/>
  <c r="AC28" i="65"/>
  <c r="AC34" i="65" s="1"/>
  <c r="AC36" i="65" s="1"/>
  <c r="X85" i="65"/>
  <c r="O62" i="68"/>
  <c r="AE62" i="68"/>
  <c r="F72" i="68"/>
  <c r="G15" i="57"/>
  <c r="G14" i="57"/>
  <c r="R22" i="60"/>
  <c r="AM22" i="60"/>
  <c r="Y34" i="60"/>
  <c r="AL20" i="61"/>
  <c r="AL12" i="61"/>
  <c r="G47" i="63"/>
  <c r="G17" i="63"/>
  <c r="AB47" i="63"/>
  <c r="AB31" i="63"/>
  <c r="H17" i="63"/>
  <c r="AI21" i="64"/>
  <c r="O38" i="64"/>
  <c r="E48" i="64"/>
  <c r="AI41" i="65"/>
  <c r="C68" i="66"/>
  <c r="O73" i="66"/>
  <c r="O13" i="74" s="1"/>
  <c r="C15" i="68"/>
  <c r="C34" i="69"/>
  <c r="U38" i="69"/>
  <c r="E47" i="69"/>
  <c r="E91" i="54"/>
  <c r="S22" i="60"/>
  <c r="AS22" i="60"/>
  <c r="AQ34" i="60"/>
  <c r="AC34" i="60"/>
  <c r="O34" i="60"/>
  <c r="AK34" i="60"/>
  <c r="V34" i="60"/>
  <c r="AJ34" i="60"/>
  <c r="U34" i="60"/>
  <c r="AI34" i="60"/>
  <c r="T34" i="60"/>
  <c r="AH34" i="60"/>
  <c r="S34" i="60"/>
  <c r="AF34" i="60"/>
  <c r="Q34" i="60"/>
  <c r="Z34" i="60"/>
  <c r="F35" i="60"/>
  <c r="AU35" i="60" s="1"/>
  <c r="W20" i="61"/>
  <c r="W12" i="61"/>
  <c r="AM20" i="61"/>
  <c r="AM12" i="61"/>
  <c r="O27" i="64"/>
  <c r="O25" i="64"/>
  <c r="O26" i="64"/>
  <c r="G31" i="64"/>
  <c r="V38" i="64"/>
  <c r="AD43" i="64"/>
  <c r="U13" i="65"/>
  <c r="I84" i="65"/>
  <c r="I27" i="65"/>
  <c r="I33" i="65" s="1"/>
  <c r="W84" i="65"/>
  <c r="W27" i="65"/>
  <c r="W33" i="65" s="1"/>
  <c r="AK27" i="65"/>
  <c r="AK33" i="65" s="1"/>
  <c r="AK84" i="65"/>
  <c r="L28" i="65"/>
  <c r="L34" i="65" s="1"/>
  <c r="L78" i="65" s="1"/>
  <c r="L85" i="65"/>
  <c r="Z28" i="65"/>
  <c r="Z34" i="65" s="1"/>
  <c r="Z78" i="65" s="1"/>
  <c r="Z85" i="65"/>
  <c r="AN28" i="65"/>
  <c r="AN34" i="65" s="1"/>
  <c r="AN36" i="65" s="1"/>
  <c r="AN85" i="65"/>
  <c r="AE28" i="65"/>
  <c r="AE34" i="65" s="1"/>
  <c r="AE87" i="65"/>
  <c r="E27" i="65"/>
  <c r="AD77" i="65"/>
  <c r="AD36" i="65"/>
  <c r="H77" i="65"/>
  <c r="F86" i="65"/>
  <c r="C62" i="65"/>
  <c r="F66" i="65"/>
  <c r="T66" i="65"/>
  <c r="T72" i="65" s="1"/>
  <c r="T79" i="65" s="1"/>
  <c r="T86" i="65"/>
  <c r="AH86" i="65"/>
  <c r="AH66" i="65"/>
  <c r="AH72" i="65" s="1"/>
  <c r="AH79" i="65" s="1"/>
  <c r="Q73" i="65"/>
  <c r="K62" i="68"/>
  <c r="Y62" i="68"/>
  <c r="AM62" i="68"/>
  <c r="U22" i="60"/>
  <c r="I20" i="61"/>
  <c r="I12" i="61"/>
  <c r="D21" i="61"/>
  <c r="Q26" i="64"/>
  <c r="Q25" i="64"/>
  <c r="E30" i="64"/>
  <c r="E33" i="64" s="1"/>
  <c r="E9" i="74" s="1"/>
  <c r="AC25" i="64"/>
  <c r="I31" i="64"/>
  <c r="AB38" i="64"/>
  <c r="K44" i="64"/>
  <c r="K43" i="64"/>
  <c r="AM43" i="64"/>
  <c r="AM42" i="64"/>
  <c r="AM44" i="64"/>
  <c r="U42" i="64"/>
  <c r="Q79" i="65"/>
  <c r="AI59" i="65"/>
  <c r="G31" i="66"/>
  <c r="G34" i="66" s="1"/>
  <c r="G73" i="66" s="1"/>
  <c r="G13" i="74" s="1"/>
  <c r="C24" i="66"/>
  <c r="AE34" i="66"/>
  <c r="AD73" i="66"/>
  <c r="AD13" i="74" s="1"/>
  <c r="C57" i="68"/>
  <c r="Z31" i="63"/>
  <c r="C53" i="63"/>
  <c r="G39" i="66"/>
  <c r="G22" i="66"/>
  <c r="U48" i="66"/>
  <c r="U13" i="66"/>
  <c r="AI22" i="66"/>
  <c r="AI48" i="66"/>
  <c r="AI39" i="66"/>
  <c r="U34" i="66"/>
  <c r="U39" i="66"/>
  <c r="J73" i="66"/>
  <c r="J13" i="74" s="1"/>
  <c r="C61" i="66"/>
  <c r="L69" i="66"/>
  <c r="AN69" i="66"/>
  <c r="AG22" i="67"/>
  <c r="AG13" i="67"/>
  <c r="C36" i="68"/>
  <c r="Q29" i="71"/>
  <c r="Q30" i="71"/>
  <c r="Q35" i="71" s="1"/>
  <c r="Q20" i="74" s="1"/>
  <c r="AE29" i="71"/>
  <c r="AE30" i="71"/>
  <c r="AE35" i="71" s="1"/>
  <c r="AE20" i="74" s="1"/>
  <c r="Q21" i="59"/>
  <c r="AF21" i="59"/>
  <c r="P39" i="60"/>
  <c r="AF39" i="60"/>
  <c r="P4" i="63"/>
  <c r="AE4" i="63"/>
  <c r="H30" i="64"/>
  <c r="O42" i="64"/>
  <c r="O44" i="64"/>
  <c r="O43" i="64"/>
  <c r="AC43" i="64"/>
  <c r="S34" i="66"/>
  <c r="S73" i="66" s="1"/>
  <c r="S13" i="74" s="1"/>
  <c r="U69" i="66"/>
  <c r="U73" i="66" s="1"/>
  <c r="U13" i="74" s="1"/>
  <c r="D69" i="68"/>
  <c r="C56" i="68"/>
  <c r="R62" i="68"/>
  <c r="G70" i="68"/>
  <c r="C61" i="68"/>
  <c r="D74" i="68"/>
  <c r="P62" i="68"/>
  <c r="AD62" i="68"/>
  <c r="E69" i="68"/>
  <c r="E74" i="68"/>
  <c r="S21" i="59"/>
  <c r="S39" i="60"/>
  <c r="AH39" i="60"/>
  <c r="AO4" i="61"/>
  <c r="AA4" i="61"/>
  <c r="M4" i="61"/>
  <c r="S4" i="61"/>
  <c r="AH4" i="61"/>
  <c r="AJ12" i="61"/>
  <c r="F20" i="61"/>
  <c r="R4" i="63"/>
  <c r="AG4" i="63"/>
  <c r="AO47" i="63"/>
  <c r="G30" i="64"/>
  <c r="G33" i="64" s="1"/>
  <c r="G9" i="74" s="1"/>
  <c r="AF43" i="64"/>
  <c r="AK87" i="65"/>
  <c r="AM77" i="65"/>
  <c r="D34" i="66"/>
  <c r="G57" i="66"/>
  <c r="D33" i="72"/>
  <c r="G34" i="72"/>
  <c r="AL4" i="63"/>
  <c r="X4" i="63"/>
  <c r="J4" i="63"/>
  <c r="S4" i="63"/>
  <c r="AH4" i="63"/>
  <c r="D31" i="63"/>
  <c r="C41" i="64"/>
  <c r="R44" i="64"/>
  <c r="R43" i="64"/>
  <c r="H86" i="65"/>
  <c r="H29" i="65"/>
  <c r="H35" i="65" s="1"/>
  <c r="H79" i="65" s="1"/>
  <c r="AJ86" i="65"/>
  <c r="AJ29" i="65"/>
  <c r="AJ35" i="65" s="1"/>
  <c r="AJ79" i="65" s="1"/>
  <c r="AN77" i="65"/>
  <c r="AD79" i="65"/>
  <c r="AB65" i="65"/>
  <c r="AB71" i="65" s="1"/>
  <c r="AB73" i="65" s="1"/>
  <c r="AB85" i="65"/>
  <c r="L73" i="65"/>
  <c r="O57" i="66"/>
  <c r="O48" i="66"/>
  <c r="O39" i="66"/>
  <c r="O22" i="66"/>
  <c r="AC57" i="66"/>
  <c r="AC48" i="66"/>
  <c r="AC39" i="66"/>
  <c r="AC22" i="66"/>
  <c r="AC13" i="66"/>
  <c r="AJ34" i="66"/>
  <c r="AJ73" i="66" s="1"/>
  <c r="AJ13" i="74" s="1"/>
  <c r="Y34" i="66"/>
  <c r="AL34" i="66"/>
  <c r="C58" i="66"/>
  <c r="D65" i="66"/>
  <c r="R69" i="66"/>
  <c r="R73" i="66" s="1"/>
  <c r="R13" i="74" s="1"/>
  <c r="AF69" i="66"/>
  <c r="AF73" i="66" s="1"/>
  <c r="AF13" i="74" s="1"/>
  <c r="AI69" i="66"/>
  <c r="AI73" i="66" s="1"/>
  <c r="AI13" i="74" s="1"/>
  <c r="AC73" i="66"/>
  <c r="AC13" i="74" s="1"/>
  <c r="G13" i="67"/>
  <c r="G22" i="67"/>
  <c r="AH21" i="59"/>
  <c r="T21" i="59"/>
  <c r="V21" i="59"/>
  <c r="AK21" i="59"/>
  <c r="U39" i="60"/>
  <c r="E4" i="63"/>
  <c r="T4" i="63"/>
  <c r="AI4" i="63"/>
  <c r="Z17" i="63"/>
  <c r="E44" i="64"/>
  <c r="E49" i="64" s="1"/>
  <c r="E42" i="64"/>
  <c r="E47" i="64" s="1"/>
  <c r="E50" i="64" s="1"/>
  <c r="E10" i="74" s="1"/>
  <c r="S44" i="64"/>
  <c r="S42" i="64"/>
  <c r="AG44" i="64"/>
  <c r="AG43" i="64"/>
  <c r="T85" i="65"/>
  <c r="T28" i="65"/>
  <c r="T34" i="65" s="1"/>
  <c r="Q27" i="65"/>
  <c r="Q33" i="65" s="1"/>
  <c r="E28" i="65"/>
  <c r="E34" i="65" s="1"/>
  <c r="E78" i="65" s="1"/>
  <c r="S79" i="65"/>
  <c r="AC65" i="65"/>
  <c r="AC71" i="65" s="1"/>
  <c r="AC73" i="65" s="1"/>
  <c r="AC85" i="65"/>
  <c r="AE66" i="65"/>
  <c r="AE72" i="65" s="1"/>
  <c r="AE73" i="65" s="1"/>
  <c r="AE86" i="65"/>
  <c r="P48" i="66"/>
  <c r="P39" i="66"/>
  <c r="P22" i="66"/>
  <c r="P13" i="66"/>
  <c r="P57" i="66"/>
  <c r="AD48" i="66"/>
  <c r="AD39" i="66"/>
  <c r="AD57" i="66"/>
  <c r="AD22" i="66"/>
  <c r="AD13" i="66"/>
  <c r="I34" i="66"/>
  <c r="I73" i="66" s="1"/>
  <c r="I13" i="74" s="1"/>
  <c r="W34" i="66"/>
  <c r="W73" i="66" s="1"/>
  <c r="W13" i="74" s="1"/>
  <c r="AO34" i="66"/>
  <c r="E69" i="66"/>
  <c r="AG69" i="66"/>
  <c r="AG73" i="66" s="1"/>
  <c r="AG13" i="74" s="1"/>
  <c r="AB69" i="66"/>
  <c r="AB73" i="66" s="1"/>
  <c r="AB13" i="74" s="1"/>
  <c r="O22" i="67"/>
  <c r="O13" i="67"/>
  <c r="C55" i="68"/>
  <c r="H21" i="59"/>
  <c r="W21" i="59"/>
  <c r="AL21" i="59"/>
  <c r="AH31" i="59" s="1"/>
  <c r="AS39" i="60"/>
  <c r="AE39" i="60"/>
  <c r="Q39" i="60"/>
  <c r="V39" i="60"/>
  <c r="AK39" i="60"/>
  <c r="F4" i="63"/>
  <c r="U4" i="63"/>
  <c r="AJ4" i="63"/>
  <c r="J25" i="64"/>
  <c r="J30" i="64" s="1"/>
  <c r="J26" i="64"/>
  <c r="J31" i="64" s="1"/>
  <c r="AG42" i="64"/>
  <c r="F28" i="65"/>
  <c r="F34" i="65" s="1"/>
  <c r="M73" i="65"/>
  <c r="AO73" i="65"/>
  <c r="O73" i="65"/>
  <c r="F47" i="69"/>
  <c r="O14" i="71"/>
  <c r="O24" i="71"/>
  <c r="AC24" i="71"/>
  <c r="AC34" i="71"/>
  <c r="AC14" i="71"/>
  <c r="Z26" i="64"/>
  <c r="Z25" i="64"/>
  <c r="AJ43" i="64"/>
  <c r="AJ44" i="64"/>
  <c r="AK44" i="64"/>
  <c r="K41" i="65"/>
  <c r="K50" i="65"/>
  <c r="Y41" i="65"/>
  <c r="Y22" i="65"/>
  <c r="AM41" i="65"/>
  <c r="AM50" i="65"/>
  <c r="AM59" i="65"/>
  <c r="AM13" i="65"/>
  <c r="L22" i="65"/>
  <c r="M84" i="65"/>
  <c r="AO84" i="65"/>
  <c r="AO27" i="65"/>
  <c r="AO33" i="65" s="1"/>
  <c r="P85" i="65"/>
  <c r="P28" i="65"/>
  <c r="P34" i="65" s="1"/>
  <c r="P78" i="65" s="1"/>
  <c r="AD78" i="65"/>
  <c r="L36" i="65"/>
  <c r="L77" i="65"/>
  <c r="AN41" i="65"/>
  <c r="AN59" i="65"/>
  <c r="S65" i="65"/>
  <c r="S71" i="65" s="1"/>
  <c r="S78" i="65" s="1"/>
  <c r="W73" i="65"/>
  <c r="J34" i="66"/>
  <c r="D67" i="66"/>
  <c r="C67" i="66" s="1"/>
  <c r="C60" i="66"/>
  <c r="P69" i="66"/>
  <c r="Q62" i="68"/>
  <c r="I70" i="68"/>
  <c r="W62" i="68"/>
  <c r="M38" i="69"/>
  <c r="AA38" i="69"/>
  <c r="AO38" i="69"/>
  <c r="C33" i="69"/>
  <c r="E46" i="69"/>
  <c r="S38" i="69"/>
  <c r="O23" i="70"/>
  <c r="O8" i="70"/>
  <c r="M60" i="70"/>
  <c r="M61" i="70" s="1"/>
  <c r="M66" i="70" s="1"/>
  <c r="M72" i="70" s="1"/>
  <c r="M19" i="74" s="1"/>
  <c r="L35" i="71"/>
  <c r="L20" i="74" s="1"/>
  <c r="D32" i="72"/>
  <c r="C23" i="72"/>
  <c r="D26" i="72"/>
  <c r="AF26" i="72"/>
  <c r="J34" i="72"/>
  <c r="Z13" i="65"/>
  <c r="Z41" i="65"/>
  <c r="AN13" i="65"/>
  <c r="AB84" i="65"/>
  <c r="AB27" i="65"/>
  <c r="AB33" i="65" s="1"/>
  <c r="M77" i="65"/>
  <c r="X73" i="65"/>
  <c r="P34" i="66"/>
  <c r="C31" i="66"/>
  <c r="AO73" i="66"/>
  <c r="AO13" i="74" s="1"/>
  <c r="F73" i="66"/>
  <c r="F13" i="74" s="1"/>
  <c r="Y13" i="67"/>
  <c r="Y22" i="67"/>
  <c r="K26" i="67"/>
  <c r="K14" i="74" s="1"/>
  <c r="C21" i="68"/>
  <c r="U62" i="68"/>
  <c r="AI62" i="68"/>
  <c r="N38" i="69"/>
  <c r="AB38" i="69"/>
  <c r="AP38" i="69"/>
  <c r="C37" i="69"/>
  <c r="O22" i="70"/>
  <c r="O71" i="70"/>
  <c r="P23" i="70"/>
  <c r="P8" i="70"/>
  <c r="AD23" i="70"/>
  <c r="AD8" i="70"/>
  <c r="M35" i="71"/>
  <c r="M20" i="74" s="1"/>
  <c r="O34" i="71"/>
  <c r="H33" i="72"/>
  <c r="M27" i="64"/>
  <c r="AK42" i="64"/>
  <c r="M22" i="65"/>
  <c r="M59" i="65"/>
  <c r="M41" i="65"/>
  <c r="AA22" i="65"/>
  <c r="AA59" i="65"/>
  <c r="AA13" i="65"/>
  <c r="AO22" i="65"/>
  <c r="AO59" i="65"/>
  <c r="AO13" i="65"/>
  <c r="C24" i="65"/>
  <c r="AF85" i="65"/>
  <c r="G86" i="65"/>
  <c r="G29" i="65"/>
  <c r="G35" i="65" s="1"/>
  <c r="G79" i="65" s="1"/>
  <c r="D64" i="65"/>
  <c r="C60" i="65"/>
  <c r="AF73" i="65"/>
  <c r="AN87" i="65"/>
  <c r="AN65" i="65"/>
  <c r="AN71" i="65" s="1"/>
  <c r="AN73" i="65" s="1"/>
  <c r="AP84" i="65"/>
  <c r="N69" i="66"/>
  <c r="N73" i="66" s="1"/>
  <c r="N13" i="74" s="1"/>
  <c r="AA22" i="67"/>
  <c r="AA13" i="67"/>
  <c r="E68" i="68"/>
  <c r="E62" i="68"/>
  <c r="C62" i="68" s="1"/>
  <c r="S62" i="68"/>
  <c r="AG62" i="68"/>
  <c r="AC38" i="69"/>
  <c r="AI38" i="69"/>
  <c r="I60" i="70"/>
  <c r="I61" i="70" s="1"/>
  <c r="W60" i="70"/>
  <c r="W61" i="70" s="1"/>
  <c r="AK60" i="70"/>
  <c r="AK61" i="70" s="1"/>
  <c r="C26" i="71"/>
  <c r="J27" i="70"/>
  <c r="J26" i="70"/>
  <c r="AK26" i="70"/>
  <c r="AK27" i="70"/>
  <c r="P30" i="71"/>
  <c r="P35" i="71" s="1"/>
  <c r="P20" i="74" s="1"/>
  <c r="P29" i="71"/>
  <c r="AD30" i="71"/>
  <c r="AD35" i="71" s="1"/>
  <c r="AD20" i="74" s="1"/>
  <c r="AD29" i="71"/>
  <c r="X86" i="65"/>
  <c r="R77" i="65"/>
  <c r="C63" i="65"/>
  <c r="I57" i="66"/>
  <c r="I39" i="66"/>
  <c r="W57" i="66"/>
  <c r="W39" i="66"/>
  <c r="W22" i="66"/>
  <c r="W48" i="66"/>
  <c r="AK48" i="66"/>
  <c r="AK57" i="66"/>
  <c r="AK22" i="66"/>
  <c r="AK39" i="66"/>
  <c r="I22" i="66"/>
  <c r="E32" i="66"/>
  <c r="E34" i="66" s="1"/>
  <c r="C25" i="66"/>
  <c r="R34" i="66"/>
  <c r="K69" i="66"/>
  <c r="K73" i="66" s="1"/>
  <c r="K13" i="74" s="1"/>
  <c r="J26" i="67"/>
  <c r="J14" i="74" s="1"/>
  <c r="AL26" i="67"/>
  <c r="AL14" i="74" s="1"/>
  <c r="AA26" i="67"/>
  <c r="AA14" i="74" s="1"/>
  <c r="E72" i="68"/>
  <c r="C59" i="68"/>
  <c r="F30" i="69"/>
  <c r="G4" i="69"/>
  <c r="F43" i="69"/>
  <c r="D29" i="71"/>
  <c r="D30" i="71"/>
  <c r="R29" i="71"/>
  <c r="AF29" i="71"/>
  <c r="AF30" i="71"/>
  <c r="AF35" i="71" s="1"/>
  <c r="AF20" i="74" s="1"/>
  <c r="F45" i="69"/>
  <c r="F38" i="69"/>
  <c r="I46" i="69"/>
  <c r="E40" i="73"/>
  <c r="E28" i="73"/>
  <c r="F4" i="73"/>
  <c r="AL4" i="67"/>
  <c r="X4" i="67"/>
  <c r="J4" i="67"/>
  <c r="AK4" i="67"/>
  <c r="W4" i="67"/>
  <c r="I4" i="67"/>
  <c r="AJ4" i="67"/>
  <c r="V4" i="67"/>
  <c r="H4" i="67"/>
  <c r="D22" i="67"/>
  <c r="AE4" i="67"/>
  <c r="AD4" i="67"/>
  <c r="M4" i="67"/>
  <c r="AC4" i="67"/>
  <c r="L4" i="67"/>
  <c r="Z4" i="67"/>
  <c r="F4" i="67"/>
  <c r="AI4" i="67"/>
  <c r="N4" i="67"/>
  <c r="AH4" i="67"/>
  <c r="K4" i="67"/>
  <c r="AP4" i="67"/>
  <c r="R4" i="67"/>
  <c r="T4" i="67"/>
  <c r="S4" i="67"/>
  <c r="Q4" i="67"/>
  <c r="AF4" i="67"/>
  <c r="U4" i="67"/>
  <c r="G72" i="68"/>
  <c r="D44" i="69"/>
  <c r="C31" i="69"/>
  <c r="D38" i="69"/>
  <c r="R38" i="69"/>
  <c r="AF38" i="69"/>
  <c r="AH38" i="69"/>
  <c r="I26" i="70"/>
  <c r="I27" i="70"/>
  <c r="AJ26" i="70"/>
  <c r="AJ27" i="70"/>
  <c r="AB26" i="64"/>
  <c r="Q43" i="64"/>
  <c r="Q42" i="64"/>
  <c r="AE43" i="64"/>
  <c r="AE42" i="64"/>
  <c r="Q44" i="64"/>
  <c r="H59" i="65"/>
  <c r="H22" i="65"/>
  <c r="AJ59" i="65"/>
  <c r="AJ22" i="65"/>
  <c r="AJ50" i="65"/>
  <c r="AJ41" i="65"/>
  <c r="AJ13" i="65"/>
  <c r="H13" i="65"/>
  <c r="AM28" i="65"/>
  <c r="AM34" i="65" s="1"/>
  <c r="AM85" i="65"/>
  <c r="N29" i="65"/>
  <c r="N35" i="65" s="1"/>
  <c r="N79" i="65" s="1"/>
  <c r="N86" i="65"/>
  <c r="AB29" i="65"/>
  <c r="AB35" i="65" s="1"/>
  <c r="AB79" i="65" s="1"/>
  <c r="AB86" i="65"/>
  <c r="AP86" i="65"/>
  <c r="AP29" i="65"/>
  <c r="AP35" i="65" s="1"/>
  <c r="AP79" i="65" s="1"/>
  <c r="G78" i="65"/>
  <c r="AG79" i="65"/>
  <c r="F65" i="65"/>
  <c r="F71" i="65" s="1"/>
  <c r="T65" i="65"/>
  <c r="T71" i="65" s="1"/>
  <c r="AH65" i="65"/>
  <c r="AH71" i="65" s="1"/>
  <c r="F68" i="68"/>
  <c r="P71" i="70"/>
  <c r="P43" i="70"/>
  <c r="P13" i="70"/>
  <c r="AP54" i="70"/>
  <c r="AP43" i="70"/>
  <c r="AP32" i="70"/>
  <c r="AP22" i="70"/>
  <c r="AP71" i="70"/>
  <c r="AP13" i="70"/>
  <c r="K30" i="71"/>
  <c r="K35" i="71" s="1"/>
  <c r="K20" i="74" s="1"/>
  <c r="Y30" i="71"/>
  <c r="Y35" i="71" s="1"/>
  <c r="Y20" i="74" s="1"/>
  <c r="AM30" i="71"/>
  <c r="AM35" i="71" s="1"/>
  <c r="AM20" i="74" s="1"/>
  <c r="D84" i="65"/>
  <c r="R84" i="65"/>
  <c r="AF84" i="65"/>
  <c r="U85" i="65"/>
  <c r="I86" i="65"/>
  <c r="AM87" i="65"/>
  <c r="Y84" i="65"/>
  <c r="C23" i="66"/>
  <c r="AP34" i="66"/>
  <c r="AP73" i="66" s="1"/>
  <c r="AP13" i="74" s="1"/>
  <c r="AM57" i="66"/>
  <c r="Q69" i="66"/>
  <c r="Q73" i="66" s="1"/>
  <c r="Q13" i="74" s="1"/>
  <c r="C66" i="66"/>
  <c r="T62" i="68"/>
  <c r="AH62" i="68"/>
  <c r="AJ62" i="68"/>
  <c r="J70" i="68"/>
  <c r="AL62" i="68"/>
  <c r="E38" i="69"/>
  <c r="L13" i="70"/>
  <c r="L54" i="70"/>
  <c r="L43" i="70"/>
  <c r="L32" i="70"/>
  <c r="L22" i="70"/>
  <c r="L71" i="70"/>
  <c r="AL13" i="70"/>
  <c r="AL54" i="70"/>
  <c r="AL43" i="70"/>
  <c r="AL32" i="70"/>
  <c r="AL22" i="70"/>
  <c r="AL71" i="70"/>
  <c r="M26" i="70"/>
  <c r="AA27" i="70"/>
  <c r="AO26" i="70"/>
  <c r="J60" i="70"/>
  <c r="J61" i="70" s="1"/>
  <c r="X60" i="70"/>
  <c r="X61" i="70" s="1"/>
  <c r="AL60" i="70"/>
  <c r="AL61" i="70" s="1"/>
  <c r="C28" i="71"/>
  <c r="F34" i="72"/>
  <c r="F32" i="72"/>
  <c r="I33" i="72"/>
  <c r="L34" i="72"/>
  <c r="I59" i="65"/>
  <c r="I50" i="65"/>
  <c r="W59" i="65"/>
  <c r="W50" i="65"/>
  <c r="AK59" i="65"/>
  <c r="AK50" i="65"/>
  <c r="I13" i="65"/>
  <c r="AD86" i="65"/>
  <c r="R87" i="65"/>
  <c r="Q86" i="65"/>
  <c r="T13" i="66"/>
  <c r="K22" i="66"/>
  <c r="AM34" i="66"/>
  <c r="AF34" i="66"/>
  <c r="Y57" i="66"/>
  <c r="X69" i="66"/>
  <c r="X73" i="66" s="1"/>
  <c r="X13" i="74" s="1"/>
  <c r="AL69" i="66"/>
  <c r="AL73" i="66" s="1"/>
  <c r="AL13" i="74" s="1"/>
  <c r="E67" i="68"/>
  <c r="E54" i="68"/>
  <c r="M62" i="68"/>
  <c r="AA62" i="68"/>
  <c r="E71" i="68"/>
  <c r="AN62" i="68"/>
  <c r="I38" i="69"/>
  <c r="W38" i="69"/>
  <c r="AK38" i="69"/>
  <c r="F26" i="70"/>
  <c r="AG26" i="70"/>
  <c r="AG27" i="70"/>
  <c r="L14" i="71"/>
  <c r="L24" i="71"/>
  <c r="L34" i="71"/>
  <c r="Z14" i="71"/>
  <c r="Z24" i="71"/>
  <c r="Z34" i="71"/>
  <c r="AN14" i="71"/>
  <c r="AN24" i="71"/>
  <c r="AN34" i="71"/>
  <c r="J50" i="65"/>
  <c r="J41" i="65"/>
  <c r="X50" i="65"/>
  <c r="X41" i="65"/>
  <c r="AL50" i="65"/>
  <c r="AL41" i="65"/>
  <c r="J13" i="65"/>
  <c r="AN84" i="65"/>
  <c r="O85" i="65"/>
  <c r="AG87" i="65"/>
  <c r="U28" i="65"/>
  <c r="U34" i="65" s="1"/>
  <c r="U78" i="65" s="1"/>
  <c r="K65" i="65"/>
  <c r="K71" i="65" s="1"/>
  <c r="K73" i="65" s="1"/>
  <c r="Y65" i="65"/>
  <c r="Y71" i="65" s="1"/>
  <c r="Y78" i="65" s="1"/>
  <c r="AM65" i="65"/>
  <c r="AM71" i="65" s="1"/>
  <c r="AM73" i="65" s="1"/>
  <c r="AM13" i="66"/>
  <c r="C26" i="66"/>
  <c r="F4" i="68"/>
  <c r="N62" i="68"/>
  <c r="AP62" i="68"/>
  <c r="AO62" i="68"/>
  <c r="J38" i="69"/>
  <c r="X38" i="69"/>
  <c r="AL38" i="69"/>
  <c r="Z13" i="70"/>
  <c r="Z54" i="70"/>
  <c r="Z43" i="70"/>
  <c r="Z32" i="70"/>
  <c r="Z22" i="70"/>
  <c r="G26" i="70"/>
  <c r="G27" i="70"/>
  <c r="AC35" i="71"/>
  <c r="AC20" i="74" s="1"/>
  <c r="AP73" i="65"/>
  <c r="F57" i="66"/>
  <c r="F22" i="66"/>
  <c r="AH48" i="66"/>
  <c r="AH13" i="66"/>
  <c r="M34" i="66"/>
  <c r="M73" i="66" s="1"/>
  <c r="M13" i="74" s="1"/>
  <c r="C33" i="66"/>
  <c r="AE69" i="66"/>
  <c r="AE73" i="66" s="1"/>
  <c r="AE13" i="74" s="1"/>
  <c r="C8" i="67"/>
  <c r="C25" i="67"/>
  <c r="AC62" i="68"/>
  <c r="E70" i="68"/>
  <c r="AI26" i="70"/>
  <c r="AI27" i="70"/>
  <c r="E60" i="70"/>
  <c r="E61" i="70" s="1"/>
  <c r="S60" i="70"/>
  <c r="S61" i="70" s="1"/>
  <c r="AG60" i="70"/>
  <c r="AG61" i="70" s="1"/>
  <c r="AB60" i="70"/>
  <c r="AB61" i="70" s="1"/>
  <c r="AB66" i="70" s="1"/>
  <c r="AB72" i="70" s="1"/>
  <c r="AB19" i="74" s="1"/>
  <c r="D85" i="65"/>
  <c r="T69" i="66"/>
  <c r="T73" i="66" s="1"/>
  <c r="T13" i="74" s="1"/>
  <c r="C24" i="67"/>
  <c r="D67" i="68"/>
  <c r="D12" i="68"/>
  <c r="D54" i="68"/>
  <c r="L62" i="68"/>
  <c r="Z62" i="68"/>
  <c r="AB62" i="68"/>
  <c r="E26" i="70"/>
  <c r="E27" i="70"/>
  <c r="G32" i="72"/>
  <c r="J33" i="72"/>
  <c r="C11" i="73"/>
  <c r="L39" i="66"/>
  <c r="L22" i="66"/>
  <c r="Z57" i="66"/>
  <c r="Z39" i="66"/>
  <c r="Z22" i="66"/>
  <c r="AN57" i="66"/>
  <c r="AN22" i="66"/>
  <c r="C59" i="66"/>
  <c r="N26" i="67"/>
  <c r="N14" i="74" s="1"/>
  <c r="H23" i="68"/>
  <c r="V23" i="68"/>
  <c r="AJ23" i="68"/>
  <c r="C36" i="69"/>
  <c r="F49" i="69"/>
  <c r="P14" i="71"/>
  <c r="P34" i="71"/>
  <c r="AN35" i="71"/>
  <c r="AN20" i="74" s="1"/>
  <c r="P26" i="72"/>
  <c r="AD26" i="72"/>
  <c r="E33" i="72"/>
  <c r="H34" i="72"/>
  <c r="H26" i="72"/>
  <c r="C25" i="72"/>
  <c r="V26" i="72"/>
  <c r="AJ26" i="72"/>
  <c r="M57" i="66"/>
  <c r="M39" i="66"/>
  <c r="M13" i="66"/>
  <c r="AA57" i="66"/>
  <c r="AA13" i="66"/>
  <c r="AO57" i="66"/>
  <c r="AO13" i="66"/>
  <c r="L34" i="66"/>
  <c r="Z34" i="66"/>
  <c r="Z73" i="66" s="1"/>
  <c r="Z13" i="74" s="1"/>
  <c r="AN34" i="66"/>
  <c r="AN48" i="66"/>
  <c r="AH69" i="66"/>
  <c r="AH73" i="66" s="1"/>
  <c r="AH13" i="74" s="1"/>
  <c r="L26" i="67"/>
  <c r="L14" i="74" s="1"/>
  <c r="Z26" i="67"/>
  <c r="Z14" i="74" s="1"/>
  <c r="AN26" i="67"/>
  <c r="AN14" i="74" s="1"/>
  <c r="O26" i="67"/>
  <c r="O14" i="74" s="1"/>
  <c r="AC26" i="67"/>
  <c r="AC14" i="74" s="1"/>
  <c r="E26" i="67"/>
  <c r="C35" i="69"/>
  <c r="AA60" i="70"/>
  <c r="AA61" i="70" s="1"/>
  <c r="AA66" i="70" s="1"/>
  <c r="AA72" i="70" s="1"/>
  <c r="AA19" i="74" s="1"/>
  <c r="AA18" i="74" s="1"/>
  <c r="AD34" i="71"/>
  <c r="F33" i="72"/>
  <c r="C24" i="72"/>
  <c r="F26" i="72"/>
  <c r="AH26" i="72"/>
  <c r="T26" i="72"/>
  <c r="N57" i="66"/>
  <c r="N48" i="66"/>
  <c r="AB57" i="66"/>
  <c r="AB48" i="66"/>
  <c r="AP57" i="66"/>
  <c r="AP48" i="66"/>
  <c r="Q48" i="66"/>
  <c r="AF62" i="68"/>
  <c r="L38" i="69"/>
  <c r="Z38" i="69"/>
  <c r="AN38" i="69"/>
  <c r="N54" i="70"/>
  <c r="N43" i="70"/>
  <c r="N32" i="70"/>
  <c r="N22" i="70"/>
  <c r="N71" i="70"/>
  <c r="AN13" i="70"/>
  <c r="AN54" i="70"/>
  <c r="AN43" i="70"/>
  <c r="AN32" i="70"/>
  <c r="AN22" i="70"/>
  <c r="N23" i="70"/>
  <c r="N8" i="70"/>
  <c r="N34" i="71"/>
  <c r="N14" i="71"/>
  <c r="AB34" i="71"/>
  <c r="AB24" i="71"/>
  <c r="AP34" i="71"/>
  <c r="AP14" i="71"/>
  <c r="E29" i="71"/>
  <c r="E30" i="71"/>
  <c r="E35" i="71" s="1"/>
  <c r="E20" i="74" s="1"/>
  <c r="S29" i="71"/>
  <c r="S30" i="71"/>
  <c r="S35" i="71" s="1"/>
  <c r="S20" i="74" s="1"/>
  <c r="AG29" i="71"/>
  <c r="AG30" i="71"/>
  <c r="AG35" i="71" s="1"/>
  <c r="AG20" i="74" s="1"/>
  <c r="AP29" i="71"/>
  <c r="AP30" i="71"/>
  <c r="AP35" i="71" s="1"/>
  <c r="AP20" i="74" s="1"/>
  <c r="N30" i="71"/>
  <c r="N35" i="71" s="1"/>
  <c r="N20" i="74" s="1"/>
  <c r="H32" i="72"/>
  <c r="C49" i="68"/>
  <c r="G68" i="68"/>
  <c r="C32" i="69"/>
  <c r="F46" i="69"/>
  <c r="W13" i="70"/>
  <c r="W43" i="70"/>
  <c r="W32" i="70"/>
  <c r="V26" i="70"/>
  <c r="V27" i="70"/>
  <c r="AB26" i="70"/>
  <c r="R27" i="70"/>
  <c r="K60" i="70"/>
  <c r="K61" i="70" s="1"/>
  <c r="Y60" i="70"/>
  <c r="Y61" i="70" s="1"/>
  <c r="AM60" i="70"/>
  <c r="AM61" i="70" s="1"/>
  <c r="Z35" i="71"/>
  <c r="Z20" i="74" s="1"/>
  <c r="H62" i="68"/>
  <c r="AK62" i="68"/>
  <c r="C25" i="69"/>
  <c r="G46" i="69"/>
  <c r="X22" i="70"/>
  <c r="D26" i="70"/>
  <c r="R14" i="71"/>
  <c r="R24" i="71"/>
  <c r="AF14" i="71"/>
  <c r="AF24" i="71"/>
  <c r="AF34" i="71"/>
  <c r="I29" i="71"/>
  <c r="W29" i="71"/>
  <c r="AK29" i="71"/>
  <c r="AA35" i="71"/>
  <c r="AA20" i="74" s="1"/>
  <c r="Q34" i="71"/>
  <c r="C8" i="72"/>
  <c r="Z26" i="72"/>
  <c r="I62" i="68"/>
  <c r="AE38" i="69"/>
  <c r="E45" i="69"/>
  <c r="H46" i="69"/>
  <c r="J30" i="71"/>
  <c r="J35" i="71" s="1"/>
  <c r="J20" i="74" s="1"/>
  <c r="X30" i="71"/>
  <c r="X35" i="71" s="1"/>
  <c r="X20" i="74" s="1"/>
  <c r="AL30" i="71"/>
  <c r="AL35" i="71" s="1"/>
  <c r="AL20" i="74" s="1"/>
  <c r="AB30" i="71"/>
  <c r="AB35" i="71" s="1"/>
  <c r="AB20" i="74" s="1"/>
  <c r="R34" i="71"/>
  <c r="C17" i="72"/>
  <c r="K38" i="69"/>
  <c r="Y38" i="69"/>
  <c r="AM38" i="69"/>
  <c r="M13" i="70"/>
  <c r="M54" i="70"/>
  <c r="M43" i="70"/>
  <c r="M32" i="70"/>
  <c r="M22" i="70"/>
  <c r="AM13" i="70"/>
  <c r="AM54" i="70"/>
  <c r="AM43" i="70"/>
  <c r="AM32" i="70"/>
  <c r="AM22" i="70"/>
  <c r="L60" i="70"/>
  <c r="L61" i="70" s="1"/>
  <c r="Z60" i="70"/>
  <c r="Z61" i="70" s="1"/>
  <c r="AN60" i="70"/>
  <c r="AN61" i="70" s="1"/>
  <c r="M24" i="71"/>
  <c r="M34" i="71"/>
  <c r="AA24" i="71"/>
  <c r="AA34" i="71"/>
  <c r="AO24" i="71"/>
  <c r="AO34" i="71"/>
  <c r="AA14" i="71"/>
  <c r="C27" i="71"/>
  <c r="E32" i="72"/>
  <c r="E35" i="72" s="1"/>
  <c r="E22" i="74" s="1"/>
  <c r="G33" i="72"/>
  <c r="I34" i="72"/>
  <c r="E44" i="73"/>
  <c r="H45" i="73"/>
  <c r="E44" i="69"/>
  <c r="G45" i="69"/>
  <c r="G38" i="69"/>
  <c r="AA13" i="70"/>
  <c r="AA54" i="70"/>
  <c r="AA43" i="70"/>
  <c r="AA32" i="70"/>
  <c r="AA22" i="70"/>
  <c r="M8" i="70"/>
  <c r="AL27" i="70"/>
  <c r="AJ71" i="70"/>
  <c r="F29" i="71"/>
  <c r="T29" i="71"/>
  <c r="AH29" i="71"/>
  <c r="AO35" i="71"/>
  <c r="AO20" i="74" s="1"/>
  <c r="M26" i="72"/>
  <c r="AA26" i="72"/>
  <c r="AO26" i="72"/>
  <c r="G60" i="70"/>
  <c r="G61" i="70" s="1"/>
  <c r="U60" i="70"/>
  <c r="U61" i="70" s="1"/>
  <c r="AI60" i="70"/>
  <c r="AI61" i="70" s="1"/>
  <c r="G29" i="71"/>
  <c r="U29" i="71"/>
  <c r="AI29" i="71"/>
  <c r="F31" i="72"/>
  <c r="F13" i="72"/>
  <c r="F22" i="72"/>
  <c r="N26" i="72"/>
  <c r="AB26" i="72"/>
  <c r="AP26" i="72"/>
  <c r="D34" i="72"/>
  <c r="F73" i="68"/>
  <c r="J62" i="68"/>
  <c r="AG38" i="69"/>
  <c r="AO8" i="70"/>
  <c r="AB13" i="70"/>
  <c r="H60" i="70"/>
  <c r="H61" i="70" s="1"/>
  <c r="V60" i="70"/>
  <c r="V61" i="70" s="1"/>
  <c r="AJ60" i="70"/>
  <c r="AJ61" i="70" s="1"/>
  <c r="H29" i="71"/>
  <c r="H30" i="71"/>
  <c r="H35" i="71" s="1"/>
  <c r="H20" i="74" s="1"/>
  <c r="V29" i="71"/>
  <c r="V30" i="71"/>
  <c r="V35" i="71" s="1"/>
  <c r="V20" i="74" s="1"/>
  <c r="AJ29" i="71"/>
  <c r="AJ30" i="71"/>
  <c r="AJ35" i="71" s="1"/>
  <c r="AJ20" i="74" s="1"/>
  <c r="G4" i="72"/>
  <c r="O26" i="72"/>
  <c r="AC26" i="72"/>
  <c r="E34" i="71"/>
  <c r="S34" i="71"/>
  <c r="AG34" i="71"/>
  <c r="F44" i="73"/>
  <c r="I45" i="73"/>
  <c r="G44" i="73"/>
  <c r="J45" i="73"/>
  <c r="C23" i="73"/>
  <c r="F43" i="73"/>
  <c r="Q4" i="70"/>
  <c r="AE4" i="70"/>
  <c r="H24" i="71"/>
  <c r="V24" i="71"/>
  <c r="AJ24" i="71"/>
  <c r="F30" i="71"/>
  <c r="F35" i="71" s="1"/>
  <c r="F20" i="74" s="1"/>
  <c r="T30" i="71"/>
  <c r="T35" i="71" s="1"/>
  <c r="T20" i="74" s="1"/>
  <c r="AH30" i="71"/>
  <c r="AH35" i="71" s="1"/>
  <c r="AH20" i="74" s="1"/>
  <c r="D22" i="72"/>
  <c r="D42" i="73"/>
  <c r="D47" i="73" s="1"/>
  <c r="R4" i="70"/>
  <c r="AF4" i="70"/>
  <c r="G30" i="71"/>
  <c r="G35" i="71" s="1"/>
  <c r="G20" i="74" s="1"/>
  <c r="U30" i="71"/>
  <c r="U35" i="71" s="1"/>
  <c r="U20" i="74" s="1"/>
  <c r="AI30" i="71"/>
  <c r="AI35" i="71" s="1"/>
  <c r="AI20" i="74" s="1"/>
  <c r="E4" i="70"/>
  <c r="S4" i="70"/>
  <c r="AG4" i="70"/>
  <c r="F4" i="70"/>
  <c r="T4" i="70"/>
  <c r="AH4" i="70"/>
  <c r="K24" i="71"/>
  <c r="Y24" i="71"/>
  <c r="AM24" i="71"/>
  <c r="I30" i="71"/>
  <c r="I35" i="71" s="1"/>
  <c r="I20" i="74" s="1"/>
  <c r="W30" i="71"/>
  <c r="W35" i="71" s="1"/>
  <c r="W20" i="74" s="1"/>
  <c r="AK30" i="71"/>
  <c r="AK35" i="71" s="1"/>
  <c r="AK20" i="74" s="1"/>
  <c r="E13" i="72"/>
  <c r="G4" i="70"/>
  <c r="U4" i="70"/>
  <c r="AI4" i="70"/>
  <c r="D71" i="70"/>
  <c r="F41" i="73"/>
  <c r="F46" i="73"/>
  <c r="H4" i="70"/>
  <c r="V4" i="70"/>
  <c r="Q35" i="73"/>
  <c r="AE35" i="73"/>
  <c r="D46" i="73"/>
  <c r="D35" i="73"/>
  <c r="D45" i="73"/>
  <c r="F35" i="73"/>
  <c r="T35" i="73"/>
  <c r="AH35" i="73"/>
  <c r="D44" i="73"/>
  <c r="D43" i="73"/>
  <c r="R4" i="74"/>
  <c r="AF4" i="74"/>
  <c r="G4" i="74"/>
  <c r="U4" i="74"/>
  <c r="AI4" i="74"/>
  <c r="H4" i="74"/>
  <c r="V4" i="74"/>
  <c r="C17" i="58" l="1"/>
  <c r="AG38" i="60"/>
  <c r="AN38" i="60"/>
  <c r="N38" i="60"/>
  <c r="J48" i="60" s="1"/>
  <c r="J19" i="58" s="1"/>
  <c r="AS38" i="60"/>
  <c r="AL31" i="59"/>
  <c r="AI31" i="59"/>
  <c r="K31" i="59"/>
  <c r="AC31" i="59"/>
  <c r="AC8" i="58" s="1"/>
  <c r="AC9" i="58" s="1"/>
  <c r="X31" i="59"/>
  <c r="X8" i="58" s="1"/>
  <c r="X9" i="58" s="1"/>
  <c r="W31" i="59"/>
  <c r="W32" i="59" s="1"/>
  <c r="AP31" i="59"/>
  <c r="E31" i="59"/>
  <c r="E8" i="58" s="1"/>
  <c r="E9" i="58" s="1"/>
  <c r="J31" i="59"/>
  <c r="J8" i="58" s="1"/>
  <c r="J9" i="58" s="1"/>
  <c r="AG31" i="59"/>
  <c r="AG8" i="58" s="1"/>
  <c r="AG9" i="58" s="1"/>
  <c r="Z31" i="59"/>
  <c r="Z32" i="59" s="1"/>
  <c r="I31" i="59"/>
  <c r="I32" i="59" s="1"/>
  <c r="AK31" i="59"/>
  <c r="AK32" i="59" s="1"/>
  <c r="AQ31" i="59"/>
  <c r="AQ32" i="59" s="1"/>
  <c r="AJ31" i="59"/>
  <c r="AJ8" i="58" s="1"/>
  <c r="AJ9" i="58" s="1"/>
  <c r="L31" i="59"/>
  <c r="L8" i="58" s="1"/>
  <c r="L9" i="58" s="1"/>
  <c r="AA31" i="59"/>
  <c r="AA32" i="59" s="1"/>
  <c r="Q31" i="59"/>
  <c r="Q32" i="59" s="1"/>
  <c r="D31" i="59"/>
  <c r="D32" i="59" s="1"/>
  <c r="N31" i="59"/>
  <c r="N32" i="59" s="1"/>
  <c r="G31" i="59"/>
  <c r="G8" i="58" s="1"/>
  <c r="G9" i="58" s="1"/>
  <c r="I38" i="60"/>
  <c r="E48" i="60" s="1"/>
  <c r="E49" i="60" s="1"/>
  <c r="L38" i="60"/>
  <c r="H48" i="60" s="1"/>
  <c r="AP38" i="60"/>
  <c r="AL48" i="60" s="1"/>
  <c r="AL49" i="60" s="1"/>
  <c r="U38" i="60"/>
  <c r="M48" i="60"/>
  <c r="M19" i="58" s="1"/>
  <c r="AD31" i="59"/>
  <c r="AD8" i="58" s="1"/>
  <c r="AD9" i="58" s="1"/>
  <c r="V8" i="58"/>
  <c r="V9" i="58" s="1"/>
  <c r="AQ28" i="59"/>
  <c r="AQ30" i="59" s="1"/>
  <c r="S31" i="59"/>
  <c r="S32" i="59" s="1"/>
  <c r="AK38" i="60"/>
  <c r="AG48" i="60" s="1"/>
  <c r="AG49" i="60" s="1"/>
  <c r="R38" i="60"/>
  <c r="N48" i="60" s="1"/>
  <c r="H38" i="60"/>
  <c r="D48" i="60" s="1"/>
  <c r="D19" i="58" s="1"/>
  <c r="K38" i="60"/>
  <c r="G48" i="60" s="1"/>
  <c r="G19" i="58" s="1"/>
  <c r="AR38" i="60"/>
  <c r="AN48" i="60" s="1"/>
  <c r="AN49" i="60" s="1"/>
  <c r="AU38" i="60"/>
  <c r="AQ48" i="60" s="1"/>
  <c r="AQ49" i="60" s="1"/>
  <c r="P38" i="60"/>
  <c r="L48" i="60" s="1"/>
  <c r="AE38" i="60"/>
  <c r="AA48" i="60" s="1"/>
  <c r="AA49" i="60" s="1"/>
  <c r="AF38" i="60"/>
  <c r="AB48" i="60" s="1"/>
  <c r="AB49" i="60" s="1"/>
  <c r="O38" i="60"/>
  <c r="K48" i="60" s="1"/>
  <c r="K49" i="60" s="1"/>
  <c r="V38" i="60"/>
  <c r="R48" i="60" s="1"/>
  <c r="AQ45" i="60"/>
  <c r="AQ16" i="58" s="1"/>
  <c r="AQ18" i="58" s="1"/>
  <c r="G5" i="42"/>
  <c r="G7" i="50"/>
  <c r="G5" i="35" s="1"/>
  <c r="G25" i="47"/>
  <c r="G48" i="41"/>
  <c r="G19" i="47"/>
  <c r="H19" i="47"/>
  <c r="H18" i="36" s="1"/>
  <c r="H25" i="47"/>
  <c r="H19" i="36" s="1"/>
  <c r="H48" i="41"/>
  <c r="H37" i="45"/>
  <c r="H42" i="43" s="1"/>
  <c r="H7" i="44"/>
  <c r="H25" i="45"/>
  <c r="H40" i="43" s="1"/>
  <c r="H31" i="45"/>
  <c r="H41" i="43" s="1"/>
  <c r="H13" i="44"/>
  <c r="H6" i="42" s="1"/>
  <c r="H19" i="44"/>
  <c r="H7" i="42" s="1"/>
  <c r="J72" i="40"/>
  <c r="J78" i="40"/>
  <c r="J66" i="40"/>
  <c r="I46" i="41"/>
  <c r="H13" i="45"/>
  <c r="H6" i="43" s="1"/>
  <c r="H19" i="45"/>
  <c r="H7" i="43" s="1"/>
  <c r="H7" i="45"/>
  <c r="H5" i="43" s="1"/>
  <c r="H22" i="10"/>
  <c r="T66" i="70"/>
  <c r="T72" i="70" s="1"/>
  <c r="T19" i="74" s="1"/>
  <c r="T18" i="74" s="1"/>
  <c r="T26" i="70"/>
  <c r="H26" i="70"/>
  <c r="AH27" i="70"/>
  <c r="AH66" i="70" s="1"/>
  <c r="AH72" i="70" s="1"/>
  <c r="AH19" i="74" s="1"/>
  <c r="AH18" i="74" s="1"/>
  <c r="O32" i="70"/>
  <c r="AK32" i="70"/>
  <c r="AO66" i="70"/>
  <c r="AO72" i="70" s="1"/>
  <c r="AO19" i="74" s="1"/>
  <c r="AO18" i="74" s="1"/>
  <c r="X54" i="70"/>
  <c r="U27" i="70"/>
  <c r="X13" i="70"/>
  <c r="AB22" i="70"/>
  <c r="AO71" i="70"/>
  <c r="AD43" i="70"/>
  <c r="Y32" i="70"/>
  <c r="AO22" i="70"/>
  <c r="AD13" i="70"/>
  <c r="AB71" i="70"/>
  <c r="AB32" i="70"/>
  <c r="Y22" i="70"/>
  <c r="W22" i="70"/>
  <c r="W71" i="70"/>
  <c r="V66" i="70"/>
  <c r="V72" i="70" s="1"/>
  <c r="V19" i="74" s="1"/>
  <c r="V18" i="74" s="1"/>
  <c r="Y54" i="70"/>
  <c r="AO43" i="70"/>
  <c r="AD54" i="70"/>
  <c r="X32" i="70"/>
  <c r="U66" i="70"/>
  <c r="U72" i="70" s="1"/>
  <c r="U19" i="74" s="1"/>
  <c r="U18" i="74" s="1"/>
  <c r="X43" i="70"/>
  <c r="AB43" i="70"/>
  <c r="Y43" i="70"/>
  <c r="Y13" i="70"/>
  <c r="O43" i="70"/>
  <c r="AK22" i="70"/>
  <c r="AD71" i="70"/>
  <c r="O54" i="70"/>
  <c r="R66" i="70"/>
  <c r="R72" i="70" s="1"/>
  <c r="R19" i="74" s="1"/>
  <c r="R18" i="74" s="1"/>
  <c r="F66" i="70"/>
  <c r="F72" i="70" s="1"/>
  <c r="F19" i="74" s="1"/>
  <c r="F18" i="74" s="1"/>
  <c r="D61" i="70"/>
  <c r="C61" i="70" s="1"/>
  <c r="C60" i="70"/>
  <c r="I22" i="70"/>
  <c r="I71" i="70"/>
  <c r="AO32" i="70"/>
  <c r="X26" i="70"/>
  <c r="I66" i="70"/>
  <c r="I72" i="70" s="1"/>
  <c r="I19" i="74" s="1"/>
  <c r="I18" i="74" s="1"/>
  <c r="AO54" i="70"/>
  <c r="AQ54" i="70"/>
  <c r="AQ43" i="70"/>
  <c r="AQ71" i="70"/>
  <c r="AQ32" i="70"/>
  <c r="AQ13" i="70"/>
  <c r="AQ22" i="70"/>
  <c r="AC71" i="70"/>
  <c r="I32" i="70"/>
  <c r="AJ13" i="70"/>
  <c r="AJ54" i="70"/>
  <c r="AJ43" i="70"/>
  <c r="AJ32" i="70"/>
  <c r="AJ22" i="70"/>
  <c r="AC32" i="70"/>
  <c r="AC13" i="70"/>
  <c r="AC54" i="70"/>
  <c r="AC43" i="70"/>
  <c r="I54" i="70"/>
  <c r="AG66" i="70"/>
  <c r="AG72" i="70" s="1"/>
  <c r="AG19" i="74" s="1"/>
  <c r="AG18" i="74" s="1"/>
  <c r="I13" i="70"/>
  <c r="AI66" i="70"/>
  <c r="AI72" i="70" s="1"/>
  <c r="AI19" i="74" s="1"/>
  <c r="AI18" i="74" s="1"/>
  <c r="W27" i="70"/>
  <c r="W66" i="70" s="1"/>
  <c r="W72" i="70" s="1"/>
  <c r="W19" i="74" s="1"/>
  <c r="W18" i="74" s="1"/>
  <c r="C23" i="70"/>
  <c r="D27" i="70"/>
  <c r="S26" i="70"/>
  <c r="S27" i="70"/>
  <c r="S66" i="70" s="1"/>
  <c r="S72" i="70" s="1"/>
  <c r="S19" i="74" s="1"/>
  <c r="S18" i="74" s="1"/>
  <c r="AJ66" i="70"/>
  <c r="AJ72" i="70" s="1"/>
  <c r="AJ19" i="74" s="1"/>
  <c r="AJ18" i="74" s="1"/>
  <c r="AF26" i="70"/>
  <c r="AF27" i="70"/>
  <c r="AF66" i="70" s="1"/>
  <c r="AF72" i="70" s="1"/>
  <c r="AF19" i="74" s="1"/>
  <c r="AF18" i="74" s="1"/>
  <c r="Q12" i="61"/>
  <c r="U12" i="61"/>
  <c r="E21" i="61"/>
  <c r="E23" i="61" s="1"/>
  <c r="R20" i="61"/>
  <c r="O20" i="61"/>
  <c r="AQ12" i="61"/>
  <c r="AQ20" i="61"/>
  <c r="L80" i="65"/>
  <c r="L12" i="74" s="1"/>
  <c r="K11" i="40"/>
  <c r="J59" i="40"/>
  <c r="J29" i="40"/>
  <c r="J23" i="40"/>
  <c r="J17" i="40"/>
  <c r="I5" i="4" s="1"/>
  <c r="I5" i="61" s="1"/>
  <c r="I47" i="40"/>
  <c r="H13" i="4" s="1"/>
  <c r="I53" i="40"/>
  <c r="I28" i="58"/>
  <c r="C6" i="58"/>
  <c r="N20" i="61"/>
  <c r="AB12" i="61"/>
  <c r="AB20" i="61"/>
  <c r="G20" i="61"/>
  <c r="G12" i="61"/>
  <c r="Z20" i="61"/>
  <c r="Z12" i="61"/>
  <c r="AK20" i="61"/>
  <c r="AK12" i="61"/>
  <c r="H20" i="61"/>
  <c r="K20" i="61"/>
  <c r="K12" i="61"/>
  <c r="AP20" i="61"/>
  <c r="AP12" i="61"/>
  <c r="Y20" i="61"/>
  <c r="Y12" i="61"/>
  <c r="E12" i="61"/>
  <c r="E20" i="61"/>
  <c r="AC12" i="61"/>
  <c r="T12" i="61"/>
  <c r="T20" i="61"/>
  <c r="L12" i="61"/>
  <c r="F7" i="61"/>
  <c r="G13" i="61"/>
  <c r="F13" i="61"/>
  <c r="V78" i="65"/>
  <c r="V80" i="65" s="1"/>
  <c r="V12" i="74" s="1"/>
  <c r="V11" i="74" s="1"/>
  <c r="P80" i="65"/>
  <c r="P12" i="74" s="1"/>
  <c r="O80" i="65"/>
  <c r="O12" i="74" s="1"/>
  <c r="O11" i="74" s="1"/>
  <c r="AP41" i="3"/>
  <c r="AP42" i="3" s="1"/>
  <c r="AP31" i="3"/>
  <c r="AO31" i="3"/>
  <c r="AO41" i="3"/>
  <c r="AO42" i="3" s="1"/>
  <c r="AQ41" i="3"/>
  <c r="AQ42" i="3" s="1"/>
  <c r="AQ31" i="3"/>
  <c r="AP7" i="3"/>
  <c r="AP10" i="3" s="1"/>
  <c r="AP27" i="3"/>
  <c r="AQ7" i="3"/>
  <c r="AQ10" i="3" s="1"/>
  <c r="AQ27" i="3"/>
  <c r="AO7" i="3"/>
  <c r="AO10" i="3" s="1"/>
  <c r="AO27" i="3"/>
  <c r="AL38" i="60"/>
  <c r="AH48" i="60" s="1"/>
  <c r="AT38" i="60"/>
  <c r="AP48" i="60" s="1"/>
  <c r="AP49" i="60" s="1"/>
  <c r="X38" i="60"/>
  <c r="T48" i="60" s="1"/>
  <c r="T19" i="58" s="1"/>
  <c r="T38" i="60"/>
  <c r="P48" i="60" s="1"/>
  <c r="AJ38" i="60"/>
  <c r="AF48" i="60" s="1"/>
  <c r="AM38" i="60"/>
  <c r="AI48" i="60" s="1"/>
  <c r="AH38" i="60"/>
  <c r="AD48" i="60" s="1"/>
  <c r="AQ38" i="60"/>
  <c r="AM48" i="60" s="1"/>
  <c r="AM49" i="60" s="1"/>
  <c r="M38" i="60"/>
  <c r="I48" i="60" s="1"/>
  <c r="Z38" i="60"/>
  <c r="V48" i="60" s="1"/>
  <c r="AC38" i="60"/>
  <c r="Y48" i="60" s="1"/>
  <c r="Y49" i="60" s="1"/>
  <c r="S38" i="60"/>
  <c r="O48" i="60" s="1"/>
  <c r="O19" i="58" s="1"/>
  <c r="AO38" i="60"/>
  <c r="AK48" i="60" s="1"/>
  <c r="AK19" i="58" s="1"/>
  <c r="J38" i="60"/>
  <c r="F48" i="60" s="1"/>
  <c r="AA38" i="60"/>
  <c r="W48" i="60" s="1"/>
  <c r="AB38" i="60"/>
  <c r="X48" i="60" s="1"/>
  <c r="X19" i="58" s="1"/>
  <c r="Y38" i="60"/>
  <c r="U48" i="60" s="1"/>
  <c r="AI38" i="60"/>
  <c r="AE48" i="60" s="1"/>
  <c r="AD38" i="60"/>
  <c r="Z48" i="60" s="1"/>
  <c r="Z19" i="58" s="1"/>
  <c r="W38" i="60"/>
  <c r="S48" i="60" s="1"/>
  <c r="H73" i="65"/>
  <c r="AP80" i="65"/>
  <c r="AP12" i="74" s="1"/>
  <c r="AP11" i="74" s="1"/>
  <c r="AA36" i="65"/>
  <c r="AJ48" i="60"/>
  <c r="AJ49" i="60" s="1"/>
  <c r="F8" i="58"/>
  <c r="F9" i="58" s="1"/>
  <c r="F32" i="59"/>
  <c r="AB78" i="65"/>
  <c r="AL79" i="65"/>
  <c r="AF80" i="65"/>
  <c r="AF12" i="74" s="1"/>
  <c r="AF11" i="74" s="1"/>
  <c r="N73" i="65"/>
  <c r="C84" i="65"/>
  <c r="AJ80" i="65"/>
  <c r="AJ12" i="74" s="1"/>
  <c r="AJ11" i="74" s="1"/>
  <c r="R36" i="65"/>
  <c r="R80" i="65"/>
  <c r="R12" i="74" s="1"/>
  <c r="R11" i="74" s="1"/>
  <c r="C87" i="65"/>
  <c r="H36" i="65"/>
  <c r="AM78" i="65"/>
  <c r="AM80" i="65" s="1"/>
  <c r="AM12" i="74" s="1"/>
  <c r="AM11" i="74" s="1"/>
  <c r="AA80" i="65"/>
  <c r="AA12" i="74" s="1"/>
  <c r="AA11" i="74" s="1"/>
  <c r="G8" i="56"/>
  <c r="G29" i="56" s="1"/>
  <c r="C29" i="56" s="1"/>
  <c r="K4" i="56"/>
  <c r="K25" i="56" s="1"/>
  <c r="H6" i="56"/>
  <c r="H27" i="56" s="1"/>
  <c r="G6" i="56"/>
  <c r="C9" i="56"/>
  <c r="D17" i="57" s="1"/>
  <c r="H7" i="56"/>
  <c r="H28" i="56" s="1"/>
  <c r="G7" i="56"/>
  <c r="C7" i="56" s="1"/>
  <c r="I26" i="56"/>
  <c r="I33" i="56" s="1"/>
  <c r="I5" i="74" s="1"/>
  <c r="F50" i="64"/>
  <c r="F10" i="74" s="1"/>
  <c r="M49" i="60"/>
  <c r="AH32" i="59"/>
  <c r="AH8" i="58"/>
  <c r="AH9" i="58" s="1"/>
  <c r="D23" i="74"/>
  <c r="F67" i="68"/>
  <c r="F54" i="68"/>
  <c r="G4" i="68"/>
  <c r="F41" i="68"/>
  <c r="R22" i="67"/>
  <c r="R13" i="67"/>
  <c r="H13" i="67"/>
  <c r="H22" i="67"/>
  <c r="J33" i="64"/>
  <c r="J9" i="74" s="1"/>
  <c r="H32" i="59"/>
  <c r="H8" i="58"/>
  <c r="H9" i="58" s="1"/>
  <c r="AB31" i="59"/>
  <c r="T73" i="65"/>
  <c r="T77" i="65"/>
  <c r="AL77" i="65"/>
  <c r="AL80" i="65" s="1"/>
  <c r="AL12" i="74" s="1"/>
  <c r="AL11" i="74" s="1"/>
  <c r="AL36" i="65"/>
  <c r="M34" i="72"/>
  <c r="M127" i="54"/>
  <c r="L4" i="56"/>
  <c r="M30" i="64"/>
  <c r="M58" i="54"/>
  <c r="Q26" i="58"/>
  <c r="Q37" i="58"/>
  <c r="S26" i="58"/>
  <c r="S37" i="58"/>
  <c r="O37" i="58"/>
  <c r="O26" i="58"/>
  <c r="J44" i="73"/>
  <c r="J238" i="54"/>
  <c r="G31" i="56"/>
  <c r="C31" i="56" s="1"/>
  <c r="C10" i="56"/>
  <c r="D18" i="57" s="1"/>
  <c r="E7" i="63"/>
  <c r="E33" i="63" s="1"/>
  <c r="E21" i="63"/>
  <c r="C26" i="64"/>
  <c r="D31" i="64"/>
  <c r="AG32" i="59"/>
  <c r="G66" i="70"/>
  <c r="G72" i="70" s="1"/>
  <c r="G19" i="74" s="1"/>
  <c r="G18" i="74" s="1"/>
  <c r="E66" i="70"/>
  <c r="E72" i="70" s="1"/>
  <c r="E19" i="74" s="1"/>
  <c r="E18" i="74" s="1"/>
  <c r="F35" i="72"/>
  <c r="F22" i="74" s="1"/>
  <c r="AP22" i="67"/>
  <c r="AP13" i="67"/>
  <c r="V22" i="67"/>
  <c r="V13" i="67"/>
  <c r="AJ31" i="63"/>
  <c r="AJ17" i="63"/>
  <c r="AJ47" i="63"/>
  <c r="AE79" i="65"/>
  <c r="K78" i="65"/>
  <c r="K80" i="65" s="1"/>
  <c r="K12" i="74" s="1"/>
  <c r="K11" i="74" s="1"/>
  <c r="AT11" i="59"/>
  <c r="AP28" i="59" s="1"/>
  <c r="AF11" i="59"/>
  <c r="AB28" i="59" s="1"/>
  <c r="R11" i="59"/>
  <c r="N28" i="59" s="1"/>
  <c r="AE11" i="59"/>
  <c r="AA28" i="59" s="1"/>
  <c r="P11" i="59"/>
  <c r="L28" i="59" s="1"/>
  <c r="AS11" i="59"/>
  <c r="AO28" i="59" s="1"/>
  <c r="AD11" i="59"/>
  <c r="Z28" i="59" s="1"/>
  <c r="O11" i="59"/>
  <c r="K28" i="59" s="1"/>
  <c r="AR11" i="59"/>
  <c r="AN28" i="59" s="1"/>
  <c r="AC11" i="59"/>
  <c r="Y28" i="59" s="1"/>
  <c r="N11" i="59"/>
  <c r="J28" i="59" s="1"/>
  <c r="AQ11" i="59"/>
  <c r="AM28" i="59" s="1"/>
  <c r="AB11" i="59"/>
  <c r="X28" i="59" s="1"/>
  <c r="M11" i="59"/>
  <c r="I28" i="59" s="1"/>
  <c r="AO11" i="59"/>
  <c r="AK28" i="59" s="1"/>
  <c r="Z11" i="59"/>
  <c r="V28" i="59" s="1"/>
  <c r="K11" i="59"/>
  <c r="G28" i="59" s="1"/>
  <c r="AJ11" i="59"/>
  <c r="AF28" i="59" s="1"/>
  <c r="J11" i="59"/>
  <c r="F28" i="59" s="1"/>
  <c r="AH11" i="59"/>
  <c r="AD28" i="59" s="1"/>
  <c r="H11" i="59"/>
  <c r="D28" i="59" s="1"/>
  <c r="AG11" i="59"/>
  <c r="AC28" i="59" s="1"/>
  <c r="Y11" i="59"/>
  <c r="U28" i="59" s="1"/>
  <c r="V11" i="59"/>
  <c r="R28" i="59" s="1"/>
  <c r="AM11" i="59"/>
  <c r="AI28" i="59" s="1"/>
  <c r="AL11" i="59"/>
  <c r="AH28" i="59" s="1"/>
  <c r="AK11" i="59"/>
  <c r="AG28" i="59" s="1"/>
  <c r="AA11" i="59"/>
  <c r="W28" i="59" s="1"/>
  <c r="X11" i="59"/>
  <c r="T28" i="59" s="1"/>
  <c r="Q11" i="59"/>
  <c r="M28" i="59" s="1"/>
  <c r="W11" i="59"/>
  <c r="S28" i="59" s="1"/>
  <c r="U11" i="59"/>
  <c r="Q28" i="59" s="1"/>
  <c r="T11" i="59"/>
  <c r="P28" i="59" s="1"/>
  <c r="S11" i="59"/>
  <c r="O28" i="59" s="1"/>
  <c r="L11" i="59"/>
  <c r="H28" i="59" s="1"/>
  <c r="I11" i="59"/>
  <c r="E28" i="59" s="1"/>
  <c r="AN11" i="59"/>
  <c r="AJ28" i="59" s="1"/>
  <c r="AI11" i="59"/>
  <c r="AE28" i="59" s="1"/>
  <c r="AP11" i="59"/>
  <c r="AL28" i="59" s="1"/>
  <c r="W8" i="58"/>
  <c r="W9" i="58" s="1"/>
  <c r="AP32" i="59"/>
  <c r="AP8" i="58"/>
  <c r="AP9" i="58" s="1"/>
  <c r="X77" i="65"/>
  <c r="X80" i="65" s="1"/>
  <c r="X12" i="74" s="1"/>
  <c r="X11" i="74" s="1"/>
  <c r="X36" i="65"/>
  <c r="Z80" i="65"/>
  <c r="Z12" i="74" s="1"/>
  <c r="Z11" i="74" s="1"/>
  <c r="AP14" i="60"/>
  <c r="AB14" i="60"/>
  <c r="N14" i="60"/>
  <c r="AN14" i="60"/>
  <c r="Y14" i="60"/>
  <c r="J14" i="60"/>
  <c r="AM14" i="60"/>
  <c r="X14" i="60"/>
  <c r="I14" i="60"/>
  <c r="AL14" i="60"/>
  <c r="W14" i="60"/>
  <c r="H14" i="60"/>
  <c r="AK14" i="60"/>
  <c r="V14" i="60"/>
  <c r="AI14" i="60"/>
  <c r="T14" i="60"/>
  <c r="Z14" i="60"/>
  <c r="AS14" i="60"/>
  <c r="S14" i="60"/>
  <c r="AR14" i="60"/>
  <c r="R14" i="60"/>
  <c r="AO14" i="60"/>
  <c r="P14" i="60"/>
  <c r="AH14" i="60"/>
  <c r="M14" i="60"/>
  <c r="AG14" i="60"/>
  <c r="L14" i="60"/>
  <c r="AE14" i="60"/>
  <c r="AD14" i="60"/>
  <c r="AC14" i="60"/>
  <c r="U14" i="60"/>
  <c r="Q14" i="60"/>
  <c r="AT14" i="60"/>
  <c r="AQ14" i="60"/>
  <c r="AF14" i="60"/>
  <c r="AJ14" i="60"/>
  <c r="AA14" i="60"/>
  <c r="O14" i="60"/>
  <c r="K14" i="60"/>
  <c r="G46" i="73"/>
  <c r="G240" i="54"/>
  <c r="D32" i="64"/>
  <c r="C27" i="64"/>
  <c r="AC37" i="58"/>
  <c r="AC26" i="58"/>
  <c r="AG37" i="58"/>
  <c r="AG26" i="58"/>
  <c r="G69" i="68"/>
  <c r="G89" i="54"/>
  <c r="C35" i="73"/>
  <c r="AG31" i="63"/>
  <c r="AG47" i="63"/>
  <c r="AG17" i="63"/>
  <c r="H80" i="65"/>
  <c r="H12" i="74" s="1"/>
  <c r="H11" i="74" s="1"/>
  <c r="AK77" i="65"/>
  <c r="AK80" i="65" s="1"/>
  <c r="AK12" i="74" s="1"/>
  <c r="AK11" i="74" s="1"/>
  <c r="AK36" i="65"/>
  <c r="C23" i="68"/>
  <c r="AN26" i="70"/>
  <c r="AN27" i="70"/>
  <c r="AN66" i="70" s="1"/>
  <c r="AN72" i="70" s="1"/>
  <c r="AN19" i="74" s="1"/>
  <c r="AN18" i="74" s="1"/>
  <c r="AL32" i="59"/>
  <c r="AL8" i="58"/>
  <c r="AL9" i="58" s="1"/>
  <c r="F77" i="65"/>
  <c r="L31" i="64"/>
  <c r="L33" i="64" s="1"/>
  <c r="L9" i="74" s="1"/>
  <c r="L59" i="54"/>
  <c r="M5" i="56"/>
  <c r="M12" i="56" s="1"/>
  <c r="Y80" i="65"/>
  <c r="Y12" i="74" s="1"/>
  <c r="Y11" i="74" s="1"/>
  <c r="V26" i="58"/>
  <c r="V37" i="58"/>
  <c r="T26" i="58"/>
  <c r="T37" i="58"/>
  <c r="G41" i="73"/>
  <c r="G235" i="54"/>
  <c r="AL31" i="63"/>
  <c r="AL47" i="63"/>
  <c r="AL17" i="63"/>
  <c r="AJ13" i="67"/>
  <c r="AJ22" i="67"/>
  <c r="H35" i="72"/>
  <c r="H22" i="74" s="1"/>
  <c r="AH22" i="67"/>
  <c r="AH13" i="67"/>
  <c r="I13" i="67"/>
  <c r="I22" i="67"/>
  <c r="F31" i="63"/>
  <c r="F47" i="63"/>
  <c r="F17" i="63"/>
  <c r="R17" i="63"/>
  <c r="R47" i="63"/>
  <c r="R31" i="63"/>
  <c r="W77" i="65"/>
  <c r="W80" i="65" s="1"/>
  <c r="W12" i="74" s="1"/>
  <c r="W11" i="74" s="1"/>
  <c r="W36" i="65"/>
  <c r="AP36" i="65"/>
  <c r="E33" i="56"/>
  <c r="M26" i="56"/>
  <c r="M33" i="56" s="1"/>
  <c r="M5" i="74" s="1"/>
  <c r="H43" i="73"/>
  <c r="H237" i="54"/>
  <c r="X37" i="58"/>
  <c r="X26" i="58"/>
  <c r="N26" i="58"/>
  <c r="N37" i="58"/>
  <c r="G37" i="58"/>
  <c r="G26" i="58"/>
  <c r="E47" i="73"/>
  <c r="E23" i="74" s="1"/>
  <c r="J90" i="54"/>
  <c r="J46" i="69"/>
  <c r="F32" i="70"/>
  <c r="F22" i="70"/>
  <c r="F54" i="70"/>
  <c r="F13" i="70"/>
  <c r="F43" i="70"/>
  <c r="F71" i="70"/>
  <c r="S22" i="67"/>
  <c r="S13" i="67"/>
  <c r="U8" i="58"/>
  <c r="U9" i="58" s="1"/>
  <c r="U32" i="59"/>
  <c r="U36" i="65"/>
  <c r="U77" i="65"/>
  <c r="U80" i="65" s="1"/>
  <c r="U12" i="74" s="1"/>
  <c r="U11" i="74" s="1"/>
  <c r="E21" i="74"/>
  <c r="K13" i="67"/>
  <c r="K22" i="67"/>
  <c r="C64" i="65"/>
  <c r="D70" i="65"/>
  <c r="D51" i="69"/>
  <c r="W22" i="67"/>
  <c r="W13" i="67"/>
  <c r="C26" i="72"/>
  <c r="AI31" i="63"/>
  <c r="AI17" i="63"/>
  <c r="AI47" i="63"/>
  <c r="D69" i="66"/>
  <c r="C65" i="66"/>
  <c r="Z27" i="70"/>
  <c r="Z66" i="70" s="1"/>
  <c r="Z72" i="70" s="1"/>
  <c r="Z19" i="74" s="1"/>
  <c r="Z18" i="74" s="1"/>
  <c r="Z26" i="70"/>
  <c r="AK8" i="58"/>
  <c r="AK9" i="58" s="1"/>
  <c r="Y32" i="59"/>
  <c r="Y8" i="58"/>
  <c r="Y9" i="58" s="1"/>
  <c r="AF79" i="65"/>
  <c r="AF36" i="65"/>
  <c r="J77" i="65"/>
  <c r="J80" i="65" s="1"/>
  <c r="J12" i="74" s="1"/>
  <c r="J11" i="74" s="1"/>
  <c r="J36" i="65"/>
  <c r="F17" i="56"/>
  <c r="F25" i="62" s="1"/>
  <c r="F19" i="56"/>
  <c r="G44" i="69"/>
  <c r="G88" i="54"/>
  <c r="C44" i="64"/>
  <c r="J32" i="72"/>
  <c r="J35" i="72" s="1"/>
  <c r="J22" i="74" s="1"/>
  <c r="J125" i="54"/>
  <c r="AF26" i="58"/>
  <c r="AF37" i="58"/>
  <c r="AO26" i="58"/>
  <c r="AO37" i="58"/>
  <c r="F26" i="58"/>
  <c r="F37" i="58"/>
  <c r="U37" i="58"/>
  <c r="U26" i="58"/>
  <c r="K26" i="58"/>
  <c r="K37" i="58"/>
  <c r="AE22" i="67"/>
  <c r="AE13" i="67"/>
  <c r="AG77" i="65"/>
  <c r="AG80" i="65" s="1"/>
  <c r="AG12" i="74" s="1"/>
  <c r="AG11" i="74" s="1"/>
  <c r="AG36" i="65"/>
  <c r="M78" i="65"/>
  <c r="M80" i="65" s="1"/>
  <c r="M12" i="74" s="1"/>
  <c r="M11" i="74" s="1"/>
  <c r="M36" i="65"/>
  <c r="AD26" i="70"/>
  <c r="AD27" i="70"/>
  <c r="AD66" i="70" s="1"/>
  <c r="AD72" i="70" s="1"/>
  <c r="AD19" i="74" s="1"/>
  <c r="AD18" i="74" s="1"/>
  <c r="U31" i="63"/>
  <c r="U47" i="63"/>
  <c r="U17" i="63"/>
  <c r="AF71" i="70"/>
  <c r="AF32" i="70"/>
  <c r="AF22" i="70"/>
  <c r="AF54" i="70"/>
  <c r="AF13" i="70"/>
  <c r="AF43" i="70"/>
  <c r="V13" i="70"/>
  <c r="V54" i="70"/>
  <c r="V71" i="70"/>
  <c r="V43" i="70"/>
  <c r="V22" i="70"/>
  <c r="V32" i="70"/>
  <c r="H66" i="70"/>
  <c r="H72" i="70" s="1"/>
  <c r="H19" i="74" s="1"/>
  <c r="H18" i="74" s="1"/>
  <c r="AI22" i="67"/>
  <c r="AI13" i="67"/>
  <c r="AK22" i="67"/>
  <c r="AK13" i="67"/>
  <c r="P73" i="66"/>
  <c r="P13" i="74" s="1"/>
  <c r="AO77" i="65"/>
  <c r="AO80" i="65" s="1"/>
  <c r="AO12" i="74" s="1"/>
  <c r="AO11" i="74" s="1"/>
  <c r="AO36" i="65"/>
  <c r="Q77" i="65"/>
  <c r="Q80" i="65" s="1"/>
  <c r="Q12" i="74" s="1"/>
  <c r="Q11" i="74" s="1"/>
  <c r="Q36" i="65"/>
  <c r="T31" i="63"/>
  <c r="T47" i="63"/>
  <c r="T17" i="63"/>
  <c r="AD80" i="65"/>
  <c r="AD12" i="74" s="1"/>
  <c r="AD11" i="74" s="1"/>
  <c r="I36" i="65"/>
  <c r="I77" i="65"/>
  <c r="I80" i="65" s="1"/>
  <c r="I12" i="74" s="1"/>
  <c r="I11" i="74" s="1"/>
  <c r="AI36" i="65"/>
  <c r="AI77" i="65"/>
  <c r="AI80" i="65" s="1"/>
  <c r="AI12" i="74" s="1"/>
  <c r="AI11" i="74" s="1"/>
  <c r="AM73" i="66"/>
  <c r="AM13" i="74" s="1"/>
  <c r="K27" i="70"/>
  <c r="K66" i="70" s="1"/>
  <c r="K72" i="70" s="1"/>
  <c r="K19" i="74" s="1"/>
  <c r="K18" i="74" s="1"/>
  <c r="K26" i="70"/>
  <c r="S77" i="65"/>
  <c r="S80" i="65" s="1"/>
  <c r="S12" i="74" s="1"/>
  <c r="S11" i="74" s="1"/>
  <c r="S36" i="65"/>
  <c r="O31" i="59"/>
  <c r="AN32" i="59"/>
  <c r="AN8" i="58"/>
  <c r="AN9" i="58" s="1"/>
  <c r="K36" i="65"/>
  <c r="K5" i="56"/>
  <c r="K12" i="56" s="1"/>
  <c r="K27" i="56"/>
  <c r="K26" i="56" s="1"/>
  <c r="K33" i="56" s="1"/>
  <c r="K5" i="74" s="1"/>
  <c r="F35" i="63"/>
  <c r="F51" i="63"/>
  <c r="I35" i="72"/>
  <c r="I22" i="74" s="1"/>
  <c r="AH78" i="65"/>
  <c r="AH37" i="58"/>
  <c r="AH26" i="58"/>
  <c r="AB26" i="58"/>
  <c r="AB37" i="58"/>
  <c r="AI37" i="58"/>
  <c r="AI26" i="58"/>
  <c r="Y26" i="58"/>
  <c r="Y37" i="58"/>
  <c r="C43" i="64"/>
  <c r="F74" i="68"/>
  <c r="F50" i="69"/>
  <c r="F94" i="54"/>
  <c r="C38" i="69"/>
  <c r="AJ36" i="65"/>
  <c r="H13" i="70"/>
  <c r="H32" i="70"/>
  <c r="H22" i="70"/>
  <c r="H71" i="70"/>
  <c r="H54" i="70"/>
  <c r="H43" i="70"/>
  <c r="AE71" i="70"/>
  <c r="AE54" i="70"/>
  <c r="AE22" i="70"/>
  <c r="AE13" i="70"/>
  <c r="AE32" i="70"/>
  <c r="AE43" i="70"/>
  <c r="AG71" i="70"/>
  <c r="AG32" i="70"/>
  <c r="AG22" i="70"/>
  <c r="AG54" i="70"/>
  <c r="AG13" i="70"/>
  <c r="AG43" i="70"/>
  <c r="Q71" i="70"/>
  <c r="Q43" i="70"/>
  <c r="Q32" i="70"/>
  <c r="Q13" i="70"/>
  <c r="Q22" i="70"/>
  <c r="Q54" i="70"/>
  <c r="N26" i="70"/>
  <c r="N27" i="70"/>
  <c r="N66" i="70" s="1"/>
  <c r="N72" i="70" s="1"/>
  <c r="N19" i="74" s="1"/>
  <c r="N18" i="74" s="1"/>
  <c r="D20" i="68"/>
  <c r="E20" i="68" s="1"/>
  <c r="F20" i="68" s="1"/>
  <c r="G20" i="68" s="1"/>
  <c r="H20" i="68" s="1"/>
  <c r="I20" i="68" s="1"/>
  <c r="J20" i="68" s="1"/>
  <c r="K20" i="68" s="1"/>
  <c r="L20" i="68" s="1"/>
  <c r="M20" i="68" s="1"/>
  <c r="N20" i="68" s="1"/>
  <c r="O20" i="68" s="1"/>
  <c r="P20" i="68" s="1"/>
  <c r="Q20" i="68" s="1"/>
  <c r="R20" i="68" s="1"/>
  <c r="S20" i="68" s="1"/>
  <c r="T20" i="68" s="1"/>
  <c r="U20" i="68" s="1"/>
  <c r="V20" i="68" s="1"/>
  <c r="W20" i="68" s="1"/>
  <c r="X20" i="68" s="1"/>
  <c r="Y20" i="68" s="1"/>
  <c r="Z20" i="68" s="1"/>
  <c r="AA20" i="68" s="1"/>
  <c r="AB20" i="68" s="1"/>
  <c r="AC20" i="68" s="1"/>
  <c r="AD20" i="68" s="1"/>
  <c r="AE20" i="68" s="1"/>
  <c r="AF20" i="68" s="1"/>
  <c r="AG20" i="68" s="1"/>
  <c r="AH20" i="68" s="1"/>
  <c r="AI20" i="68" s="1"/>
  <c r="AJ20" i="68" s="1"/>
  <c r="AK20" i="68" s="1"/>
  <c r="AL20" i="68" s="1"/>
  <c r="AM20" i="68" s="1"/>
  <c r="AN20" i="68" s="1"/>
  <c r="AO20" i="68" s="1"/>
  <c r="AP20" i="68" s="1"/>
  <c r="E12" i="68"/>
  <c r="F12" i="68" s="1"/>
  <c r="G12" i="68" s="1"/>
  <c r="H12" i="68" s="1"/>
  <c r="I12" i="68" s="1"/>
  <c r="J12" i="68" s="1"/>
  <c r="K12" i="68" s="1"/>
  <c r="L12" i="68" s="1"/>
  <c r="M12" i="68" s="1"/>
  <c r="N12" i="68" s="1"/>
  <c r="O12" i="68" s="1"/>
  <c r="P12" i="68" s="1"/>
  <c r="Q12" i="68" s="1"/>
  <c r="R12" i="68" s="1"/>
  <c r="S12" i="68" s="1"/>
  <c r="T12" i="68" s="1"/>
  <c r="U12" i="68" s="1"/>
  <c r="V12" i="68" s="1"/>
  <c r="W12" i="68" s="1"/>
  <c r="X12" i="68" s="1"/>
  <c r="Y12" i="68" s="1"/>
  <c r="Z12" i="68" s="1"/>
  <c r="AA12" i="68" s="1"/>
  <c r="AB12" i="68" s="1"/>
  <c r="AC12" i="68" s="1"/>
  <c r="AD12" i="68" s="1"/>
  <c r="AE12" i="68" s="1"/>
  <c r="AF12" i="68" s="1"/>
  <c r="AG12" i="68" s="1"/>
  <c r="AH12" i="68" s="1"/>
  <c r="AI12" i="68" s="1"/>
  <c r="AJ12" i="68" s="1"/>
  <c r="AK12" i="68" s="1"/>
  <c r="AL12" i="68" s="1"/>
  <c r="AM12" i="68" s="1"/>
  <c r="AN12" i="68" s="1"/>
  <c r="AO12" i="68" s="1"/>
  <c r="AP12" i="68" s="1"/>
  <c r="F22" i="67"/>
  <c r="F13" i="67"/>
  <c r="J13" i="67"/>
  <c r="J22" i="67"/>
  <c r="E75" i="68"/>
  <c r="E16" i="74" s="1"/>
  <c r="E15" i="74" s="1"/>
  <c r="D35" i="72"/>
  <c r="T78" i="65"/>
  <c r="T36" i="65"/>
  <c r="E31" i="63"/>
  <c r="E47" i="63"/>
  <c r="E17" i="63"/>
  <c r="C34" i="66"/>
  <c r="E33" i="65"/>
  <c r="C27" i="65"/>
  <c r="AQ35" i="60"/>
  <c r="AC35" i="60"/>
  <c r="O35" i="60"/>
  <c r="AN35" i="60"/>
  <c r="Y35" i="60"/>
  <c r="J35" i="60"/>
  <c r="AM35" i="60"/>
  <c r="X35" i="60"/>
  <c r="I35" i="60"/>
  <c r="AL35" i="60"/>
  <c r="W35" i="60"/>
  <c r="H35" i="60"/>
  <c r="AK35" i="60"/>
  <c r="V35" i="60"/>
  <c r="AI35" i="60"/>
  <c r="T35" i="60"/>
  <c r="AF35" i="60"/>
  <c r="K35" i="60"/>
  <c r="AD35" i="60"/>
  <c r="AB35" i="60"/>
  <c r="Z35" i="60"/>
  <c r="AS35" i="60"/>
  <c r="S35" i="60"/>
  <c r="AR35" i="60"/>
  <c r="R35" i="60"/>
  <c r="U35" i="60"/>
  <c r="Q35" i="60"/>
  <c r="P35" i="60"/>
  <c r="M35" i="60"/>
  <c r="L35" i="60"/>
  <c r="AH35" i="60"/>
  <c r="AJ35" i="60"/>
  <c r="AG35" i="60"/>
  <c r="AE35" i="60"/>
  <c r="AA35" i="60"/>
  <c r="N35" i="60"/>
  <c r="AP35" i="60"/>
  <c r="AO35" i="60"/>
  <c r="AT35" i="60"/>
  <c r="D39" i="58"/>
  <c r="L27" i="70"/>
  <c r="L66" i="70" s="1"/>
  <c r="L72" i="70" s="1"/>
  <c r="L19" i="74" s="1"/>
  <c r="L18" i="74" s="1"/>
  <c r="L26" i="70"/>
  <c r="AI32" i="59"/>
  <c r="AI8" i="58"/>
  <c r="AI9" i="58" s="1"/>
  <c r="K32" i="59"/>
  <c r="K8" i="58"/>
  <c r="K9" i="58" s="1"/>
  <c r="AC48" i="60"/>
  <c r="C6" i="56"/>
  <c r="G27" i="56"/>
  <c r="S73" i="65"/>
  <c r="F33" i="64"/>
  <c r="F9" i="74" s="1"/>
  <c r="G49" i="69"/>
  <c r="G93" i="54"/>
  <c r="AM26" i="58"/>
  <c r="AM37" i="58"/>
  <c r="E14" i="74"/>
  <c r="C14" i="74" s="1"/>
  <c r="C26" i="67"/>
  <c r="N22" i="67"/>
  <c r="N13" i="67"/>
  <c r="G30" i="69"/>
  <c r="G43" i="69"/>
  <c r="G17" i="69"/>
  <c r="H4" i="69"/>
  <c r="P27" i="70"/>
  <c r="P66" i="70" s="1"/>
  <c r="P72" i="70" s="1"/>
  <c r="P19" i="74" s="1"/>
  <c r="P18" i="74" s="1"/>
  <c r="P26" i="70"/>
  <c r="S71" i="70"/>
  <c r="S32" i="70"/>
  <c r="S43" i="70"/>
  <c r="S22" i="70"/>
  <c r="S54" i="70"/>
  <c r="S13" i="70"/>
  <c r="AL66" i="70"/>
  <c r="AL72" i="70" s="1"/>
  <c r="AL19" i="74" s="1"/>
  <c r="AL18" i="74" s="1"/>
  <c r="Z13" i="67"/>
  <c r="Z22" i="67"/>
  <c r="X13" i="67"/>
  <c r="X22" i="67"/>
  <c r="AB36" i="65"/>
  <c r="AB77" i="65"/>
  <c r="AH12" i="61"/>
  <c r="AH20" i="61"/>
  <c r="H33" i="64"/>
  <c r="H9" i="74" s="1"/>
  <c r="C32" i="66"/>
  <c r="P31" i="59"/>
  <c r="Z8" i="58"/>
  <c r="Z9" i="58" s="1"/>
  <c r="C86" i="65"/>
  <c r="AP18" i="74"/>
  <c r="C28" i="65"/>
  <c r="AQ36" i="60"/>
  <c r="AC36" i="60"/>
  <c r="O36" i="60"/>
  <c r="AR36" i="60"/>
  <c r="AB36" i="60"/>
  <c r="M36" i="60"/>
  <c r="AP36" i="60"/>
  <c r="AA36" i="60"/>
  <c r="L36" i="60"/>
  <c r="AO36" i="60"/>
  <c r="Z36" i="60"/>
  <c r="K36" i="60"/>
  <c r="AN36" i="60"/>
  <c r="Y36" i="60"/>
  <c r="J36" i="60"/>
  <c r="AL36" i="60"/>
  <c r="W36" i="60"/>
  <c r="H36" i="60"/>
  <c r="AJ36" i="60"/>
  <c r="P36" i="60"/>
  <c r="AH36" i="60"/>
  <c r="I36" i="60"/>
  <c r="AG36" i="60"/>
  <c r="AE36" i="60"/>
  <c r="X36" i="60"/>
  <c r="V36" i="60"/>
  <c r="S36" i="60"/>
  <c r="R36" i="60"/>
  <c r="Q36" i="60"/>
  <c r="AT36" i="60"/>
  <c r="AF36" i="60"/>
  <c r="AS36" i="60"/>
  <c r="AM36" i="60"/>
  <c r="T36" i="60"/>
  <c r="N36" i="60"/>
  <c r="AK36" i="60"/>
  <c r="U36" i="60"/>
  <c r="AI36" i="60"/>
  <c r="AD36" i="60"/>
  <c r="L27" i="56"/>
  <c r="L26" i="56" s="1"/>
  <c r="L33" i="56" s="1"/>
  <c r="L5" i="74" s="1"/>
  <c r="L5" i="56"/>
  <c r="L12" i="56" s="1"/>
  <c r="E26" i="58"/>
  <c r="E37" i="58"/>
  <c r="P37" i="58"/>
  <c r="P26" i="58"/>
  <c r="T13" i="67"/>
  <c r="T22" i="67"/>
  <c r="D75" i="68"/>
  <c r="F72" i="65"/>
  <c r="C66" i="65"/>
  <c r="R71" i="70"/>
  <c r="R43" i="70"/>
  <c r="R32" i="70"/>
  <c r="R22" i="70"/>
  <c r="R54" i="70"/>
  <c r="R13" i="70"/>
  <c r="AI22" i="70"/>
  <c r="AI13" i="70"/>
  <c r="AI43" i="70"/>
  <c r="AI71" i="70"/>
  <c r="AI32" i="70"/>
  <c r="AI54" i="70"/>
  <c r="U54" i="70"/>
  <c r="U13" i="70"/>
  <c r="U22" i="70"/>
  <c r="U32" i="70"/>
  <c r="U71" i="70"/>
  <c r="U43" i="70"/>
  <c r="E71" i="70"/>
  <c r="E13" i="70"/>
  <c r="E43" i="70"/>
  <c r="E32" i="70"/>
  <c r="E54" i="70"/>
  <c r="E22" i="70"/>
  <c r="E51" i="69"/>
  <c r="E17" i="74" s="1"/>
  <c r="G35" i="72"/>
  <c r="G22" i="74" s="1"/>
  <c r="X66" i="70"/>
  <c r="X72" i="70" s="1"/>
  <c r="X19" i="74" s="1"/>
  <c r="X18" i="74" s="1"/>
  <c r="L13" i="67"/>
  <c r="L22" i="67"/>
  <c r="AL13" i="67"/>
  <c r="AL22" i="67"/>
  <c r="M18" i="74"/>
  <c r="F36" i="65"/>
  <c r="F78" i="65"/>
  <c r="AH47" i="63"/>
  <c r="AH31" i="63"/>
  <c r="AH17" i="63"/>
  <c r="AM36" i="65"/>
  <c r="S20" i="61"/>
  <c r="S12" i="61"/>
  <c r="AE78" i="65"/>
  <c r="AE80" i="65" s="1"/>
  <c r="AE12" i="74" s="1"/>
  <c r="AE11" i="74" s="1"/>
  <c r="AE36" i="65"/>
  <c r="G36" i="65"/>
  <c r="G77" i="65"/>
  <c r="G80" i="65" s="1"/>
  <c r="G12" i="74" s="1"/>
  <c r="G11" i="74" s="1"/>
  <c r="N36" i="65"/>
  <c r="AO8" i="58"/>
  <c r="AO9" i="58" s="1"/>
  <c r="AO32" i="59"/>
  <c r="AO48" i="60"/>
  <c r="AF32" i="59"/>
  <c r="AF8" i="58"/>
  <c r="AF9" i="58" s="1"/>
  <c r="C34" i="65"/>
  <c r="E7" i="64"/>
  <c r="J5" i="56"/>
  <c r="J12" i="56" s="1"/>
  <c r="AP26" i="58"/>
  <c r="AP37" i="58"/>
  <c r="J37" i="58"/>
  <c r="J26" i="58"/>
  <c r="G32" i="70"/>
  <c r="G22" i="70"/>
  <c r="G43" i="70"/>
  <c r="G71" i="70"/>
  <c r="G13" i="70"/>
  <c r="G54" i="70"/>
  <c r="J66" i="70"/>
  <c r="J72" i="70" s="1"/>
  <c r="J19" i="74" s="1"/>
  <c r="J18" i="74" s="1"/>
  <c r="U13" i="67"/>
  <c r="U22" i="67"/>
  <c r="AC13" i="67"/>
  <c r="AC22" i="67"/>
  <c r="F28" i="73"/>
  <c r="F40" i="73"/>
  <c r="F16" i="73"/>
  <c r="G4" i="73"/>
  <c r="K34" i="72"/>
  <c r="E73" i="66"/>
  <c r="E13" i="74" s="1"/>
  <c r="S31" i="63"/>
  <c r="S47" i="63"/>
  <c r="S17" i="63"/>
  <c r="M12" i="61"/>
  <c r="M20" i="61"/>
  <c r="AE47" i="63"/>
  <c r="AE17" i="63"/>
  <c r="AE31" i="63"/>
  <c r="D23" i="61"/>
  <c r="F71" i="68"/>
  <c r="F75" i="68" s="1"/>
  <c r="F16" i="74" s="1"/>
  <c r="F91" i="54"/>
  <c r="AC78" i="65"/>
  <c r="AC80" i="65" s="1"/>
  <c r="AC12" i="74" s="1"/>
  <c r="AC11" i="74" s="1"/>
  <c r="AJ73" i="65"/>
  <c r="AM27" i="70"/>
  <c r="AM66" i="70" s="1"/>
  <c r="AM72" i="70" s="1"/>
  <c r="AM19" i="74" s="1"/>
  <c r="AM18" i="74" s="1"/>
  <c r="AM26" i="70"/>
  <c r="N80" i="65"/>
  <c r="N12" i="74" s="1"/>
  <c r="N11" i="74" s="1"/>
  <c r="R31" i="59"/>
  <c r="D35" i="65"/>
  <c r="C29" i="65"/>
  <c r="Q48" i="60"/>
  <c r="D50" i="64"/>
  <c r="AE32" i="59"/>
  <c r="AE8" i="58"/>
  <c r="AE9" i="58" s="1"/>
  <c r="D71" i="65"/>
  <c r="C71" i="65" s="1"/>
  <c r="C65" i="65"/>
  <c r="J26" i="56"/>
  <c r="J33" i="56" s="1"/>
  <c r="J5" i="74" s="1"/>
  <c r="AD26" i="58"/>
  <c r="AD37" i="58"/>
  <c r="I26" i="58"/>
  <c r="I37" i="58"/>
  <c r="R73" i="65"/>
  <c r="L33" i="72"/>
  <c r="L126" i="54"/>
  <c r="K45" i="73"/>
  <c r="K239" i="54"/>
  <c r="E17" i="56"/>
  <c r="H26" i="58"/>
  <c r="H37" i="58"/>
  <c r="AJ26" i="58"/>
  <c r="AJ37" i="58"/>
  <c r="W26" i="58"/>
  <c r="W37" i="58"/>
  <c r="L26" i="58"/>
  <c r="L37" i="58"/>
  <c r="AH32" i="70"/>
  <c r="AH22" i="70"/>
  <c r="AH13" i="70"/>
  <c r="AH43" i="70"/>
  <c r="AH71" i="70"/>
  <c r="AH54" i="70"/>
  <c r="G13" i="72"/>
  <c r="G22" i="72"/>
  <c r="H4" i="72"/>
  <c r="G31" i="72"/>
  <c r="C85" i="65"/>
  <c r="AF22" i="67"/>
  <c r="AF13" i="67"/>
  <c r="M22" i="67"/>
  <c r="M13" i="67"/>
  <c r="C30" i="71"/>
  <c r="D35" i="71"/>
  <c r="O26" i="70"/>
  <c r="O27" i="70"/>
  <c r="O66" i="70" s="1"/>
  <c r="O72" i="70" s="1"/>
  <c r="O19" i="74" s="1"/>
  <c r="O18" i="74" s="1"/>
  <c r="J17" i="63"/>
  <c r="J31" i="63"/>
  <c r="J47" i="63"/>
  <c r="AA20" i="61"/>
  <c r="AA12" i="61"/>
  <c r="P31" i="63"/>
  <c r="P17" i="63"/>
  <c r="P47" i="63"/>
  <c r="AN73" i="66"/>
  <c r="AN13" i="74" s="1"/>
  <c r="AN78" i="65"/>
  <c r="AN80" i="65" s="1"/>
  <c r="AN12" i="74" s="1"/>
  <c r="AN11" i="74" s="1"/>
  <c r="Y27" i="70"/>
  <c r="Y66" i="70" s="1"/>
  <c r="Y72" i="70" s="1"/>
  <c r="Y19" i="74" s="1"/>
  <c r="Y18" i="74" s="1"/>
  <c r="Y26" i="70"/>
  <c r="AM8" i="58"/>
  <c r="AM9" i="58" s="1"/>
  <c r="AM32" i="59"/>
  <c r="Z36" i="65"/>
  <c r="C42" i="64"/>
  <c r="D35" i="63"/>
  <c r="D51" i="63"/>
  <c r="T54" i="70"/>
  <c r="T13" i="70"/>
  <c r="T32" i="70"/>
  <c r="T43" i="70"/>
  <c r="T71" i="70"/>
  <c r="T22" i="70"/>
  <c r="AB18" i="74"/>
  <c r="Q22" i="67"/>
  <c r="Q13" i="67"/>
  <c r="AD13" i="67"/>
  <c r="AD22" i="67"/>
  <c r="C29" i="71"/>
  <c r="AK66" i="70"/>
  <c r="AK72" i="70" s="1"/>
  <c r="AK19" i="74" s="1"/>
  <c r="AK18" i="74" s="1"/>
  <c r="Y73" i="65"/>
  <c r="P36" i="65"/>
  <c r="X47" i="63"/>
  <c r="X17" i="63"/>
  <c r="X31" i="63"/>
  <c r="AO12" i="61"/>
  <c r="AO20" i="61"/>
  <c r="L73" i="66"/>
  <c r="L13" i="74" s="1"/>
  <c r="L11" i="74" s="1"/>
  <c r="T8" i="58"/>
  <c r="T9" i="58" s="1"/>
  <c r="T32" i="59"/>
  <c r="M31" i="59"/>
  <c r="AH73" i="65"/>
  <c r="AH77" i="65"/>
  <c r="G42" i="73"/>
  <c r="G236" i="54"/>
  <c r="D17" i="56"/>
  <c r="E51" i="63"/>
  <c r="E35" i="63"/>
  <c r="I5" i="56"/>
  <c r="I12" i="56" s="1"/>
  <c r="AA26" i="58"/>
  <c r="AA37" i="58"/>
  <c r="R26" i="58"/>
  <c r="R37" i="58"/>
  <c r="M26" i="58"/>
  <c r="M37" i="58"/>
  <c r="AK26" i="58"/>
  <c r="AK37" i="58"/>
  <c r="Z26" i="58"/>
  <c r="Z37" i="58"/>
  <c r="D30" i="64"/>
  <c r="C25" i="64"/>
  <c r="G48" i="69"/>
  <c r="G92" i="54"/>
  <c r="AL37" i="58"/>
  <c r="AL26" i="58"/>
  <c r="AE37" i="58"/>
  <c r="AE26" i="58"/>
  <c r="AN26" i="58"/>
  <c r="AN37" i="58"/>
  <c r="F45" i="73"/>
  <c r="L60" i="54"/>
  <c r="M60" i="54" s="1"/>
  <c r="L32" i="64"/>
  <c r="X32" i="59" l="1"/>
  <c r="AC32" i="59"/>
  <c r="E32" i="59"/>
  <c r="J32" i="59"/>
  <c r="D8" i="58"/>
  <c r="AQ8" i="58"/>
  <c r="AQ9" i="58" s="1"/>
  <c r="AJ32" i="59"/>
  <c r="AA8" i="58"/>
  <c r="AA9" i="58" s="1"/>
  <c r="I8" i="58"/>
  <c r="I9" i="58" s="1"/>
  <c r="AD32" i="59"/>
  <c r="AQ33" i="59"/>
  <c r="G32" i="59"/>
  <c r="N8" i="58"/>
  <c r="N9" i="58" s="1"/>
  <c r="Q8" i="58"/>
  <c r="Q9" i="58" s="1"/>
  <c r="L32" i="59"/>
  <c r="S8" i="58"/>
  <c r="S9" i="58" s="1"/>
  <c r="AA19" i="58"/>
  <c r="AA20" i="58" s="1"/>
  <c r="AN19" i="58"/>
  <c r="AN20" i="58" s="1"/>
  <c r="G49" i="60"/>
  <c r="AQ47" i="60"/>
  <c r="AQ50" i="60" s="1"/>
  <c r="Z45" i="60"/>
  <c r="Z16" i="58" s="1"/>
  <c r="M45" i="60"/>
  <c r="AK49" i="60"/>
  <c r="T49" i="60"/>
  <c r="L19" i="58"/>
  <c r="L30" i="58" s="1"/>
  <c r="L49" i="60"/>
  <c r="E19" i="58"/>
  <c r="E20" i="58" s="1"/>
  <c r="J45" i="60"/>
  <c r="J47" i="60" s="1"/>
  <c r="AA45" i="60"/>
  <c r="AA47" i="60" s="1"/>
  <c r="AA50" i="60" s="1"/>
  <c r="AQ19" i="58"/>
  <c r="Q45" i="60"/>
  <c r="Q16" i="58" s="1"/>
  <c r="AL45" i="60"/>
  <c r="AL16" i="58" s="1"/>
  <c r="AO45" i="60"/>
  <c r="AO16" i="58" s="1"/>
  <c r="Y19" i="58"/>
  <c r="Y30" i="58" s="1"/>
  <c r="AH45" i="60"/>
  <c r="AH47" i="60" s="1"/>
  <c r="J49" i="60"/>
  <c r="O45" i="60"/>
  <c r="O47" i="60" s="1"/>
  <c r="E45" i="60"/>
  <c r="E47" i="60" s="1"/>
  <c r="E50" i="60" s="1"/>
  <c r="W45" i="60"/>
  <c r="W47" i="60" s="1"/>
  <c r="V45" i="60"/>
  <c r="V16" i="58" s="1"/>
  <c r="X45" i="60"/>
  <c r="X47" i="60" s="1"/>
  <c r="H45" i="60"/>
  <c r="H16" i="58" s="1"/>
  <c r="P45" i="60"/>
  <c r="P16" i="58" s="1"/>
  <c r="Y45" i="60"/>
  <c r="Y47" i="60" s="1"/>
  <c r="Y50" i="60" s="1"/>
  <c r="AD45" i="60"/>
  <c r="AD47" i="60" s="1"/>
  <c r="K45" i="60"/>
  <c r="K47" i="60" s="1"/>
  <c r="K50" i="60" s="1"/>
  <c r="AG45" i="60"/>
  <c r="AG47" i="60" s="1"/>
  <c r="AG50" i="60" s="1"/>
  <c r="AC45" i="60"/>
  <c r="AC16" i="58" s="1"/>
  <c r="AB45" i="60"/>
  <c r="AB47" i="60" s="1"/>
  <c r="AB50" i="60" s="1"/>
  <c r="AI45" i="60"/>
  <c r="AI16" i="58" s="1"/>
  <c r="F45" i="60"/>
  <c r="F47" i="60" s="1"/>
  <c r="U45" i="60"/>
  <c r="U47" i="60" s="1"/>
  <c r="AF45" i="60"/>
  <c r="AF47" i="60" s="1"/>
  <c r="G45" i="60"/>
  <c r="AJ45" i="60"/>
  <c r="AJ16" i="58" s="1"/>
  <c r="I45" i="60"/>
  <c r="I47" i="60" s="1"/>
  <c r="AE45" i="60"/>
  <c r="AE47" i="60" s="1"/>
  <c r="AM45" i="60"/>
  <c r="AM47" i="60" s="1"/>
  <c r="AM50" i="60" s="1"/>
  <c r="L45" i="60"/>
  <c r="L47" i="60" s="1"/>
  <c r="R45" i="60"/>
  <c r="R16" i="58" s="1"/>
  <c r="AP19" i="58"/>
  <c r="AP30" i="58" s="1"/>
  <c r="AP45" i="60"/>
  <c r="AP47" i="60" s="1"/>
  <c r="AP50" i="60" s="1"/>
  <c r="N45" i="60"/>
  <c r="N47" i="60" s="1"/>
  <c r="S45" i="60"/>
  <c r="S47" i="60" s="1"/>
  <c r="T45" i="60"/>
  <c r="T47" i="60" s="1"/>
  <c r="D45" i="60"/>
  <c r="D47" i="60" s="1"/>
  <c r="AK45" i="60"/>
  <c r="AK16" i="58" s="1"/>
  <c r="AN45" i="60"/>
  <c r="AN16" i="58" s="1"/>
  <c r="P11" i="74"/>
  <c r="AB80" i="65"/>
  <c r="AB12" i="74" s="1"/>
  <c r="AB11" i="74" s="1"/>
  <c r="H49" i="41"/>
  <c r="H14" i="33"/>
  <c r="G18" i="36"/>
  <c r="I45" i="41"/>
  <c r="I47" i="41" s="1"/>
  <c r="G14" i="33"/>
  <c r="G49" i="41"/>
  <c r="G19" i="36"/>
  <c r="H7" i="50"/>
  <c r="H5" i="35" s="1"/>
  <c r="H5" i="42"/>
  <c r="C26" i="70"/>
  <c r="C27" i="70"/>
  <c r="D66" i="70"/>
  <c r="D72" i="70" s="1"/>
  <c r="C72" i="70" s="1"/>
  <c r="I23" i="10"/>
  <c r="K35" i="40"/>
  <c r="K59" i="40"/>
  <c r="K29" i="40"/>
  <c r="K23" i="40"/>
  <c r="K17" i="40"/>
  <c r="J5" i="4" s="1"/>
  <c r="J5" i="61" s="1"/>
  <c r="L11" i="40"/>
  <c r="J41" i="40"/>
  <c r="I39" i="58"/>
  <c r="C39" i="58" s="1"/>
  <c r="C28" i="58"/>
  <c r="F15" i="61"/>
  <c r="F21" i="61"/>
  <c r="F23" i="61" s="1"/>
  <c r="H13" i="61"/>
  <c r="G7" i="61"/>
  <c r="AQ38" i="3"/>
  <c r="AQ40" i="3" s="1"/>
  <c r="AQ43" i="3" s="1"/>
  <c r="AQ6" i="19" s="1"/>
  <c r="AQ29" i="3"/>
  <c r="AQ32" i="3" s="1"/>
  <c r="AO29" i="3"/>
  <c r="AO32" i="3" s="1"/>
  <c r="AO38" i="3"/>
  <c r="AO40" i="3" s="1"/>
  <c r="AO43" i="3" s="1"/>
  <c r="AO6" i="19" s="1"/>
  <c r="AP29" i="3"/>
  <c r="AP32" i="3" s="1"/>
  <c r="AP38" i="3"/>
  <c r="AP40" i="3" s="1"/>
  <c r="AP43" i="3" s="1"/>
  <c r="AP6" i="19" s="1"/>
  <c r="AF19" i="58"/>
  <c r="AF30" i="58" s="1"/>
  <c r="AF49" i="60"/>
  <c r="F49" i="60"/>
  <c r="F19" i="58"/>
  <c r="F20" i="58" s="1"/>
  <c r="U19" i="58"/>
  <c r="U30" i="58" s="1"/>
  <c r="U49" i="60"/>
  <c r="AI19" i="58"/>
  <c r="AI30" i="58" s="1"/>
  <c r="AI49" i="60"/>
  <c r="I49" i="60"/>
  <c r="I19" i="58"/>
  <c r="I20" i="58" s="1"/>
  <c r="D49" i="60"/>
  <c r="AL19" i="58"/>
  <c r="AL30" i="58" s="1"/>
  <c r="AG19" i="58"/>
  <c r="AG20" i="58" s="1"/>
  <c r="AM19" i="58"/>
  <c r="AM30" i="58" s="1"/>
  <c r="AJ19" i="58"/>
  <c r="AJ30" i="58" s="1"/>
  <c r="O49" i="60"/>
  <c r="Z49" i="60"/>
  <c r="X49" i="60"/>
  <c r="K19" i="58"/>
  <c r="K30" i="58" s="1"/>
  <c r="C31" i="59"/>
  <c r="AQ5" i="58"/>
  <c r="AQ27" i="58" s="1"/>
  <c r="AB19" i="58"/>
  <c r="AB20" i="58" s="1"/>
  <c r="M47" i="60"/>
  <c r="M50" i="60" s="1"/>
  <c r="C48" i="60"/>
  <c r="C28" i="59"/>
  <c r="T80" i="65"/>
  <c r="T12" i="74" s="1"/>
  <c r="T11" i="74" s="1"/>
  <c r="D78" i="65"/>
  <c r="C78" i="65" s="1"/>
  <c r="G5" i="56"/>
  <c r="G12" i="56" s="1"/>
  <c r="C8" i="56"/>
  <c r="H26" i="56"/>
  <c r="H33" i="56" s="1"/>
  <c r="H5" i="74" s="1"/>
  <c r="G28" i="56"/>
  <c r="C28" i="56" s="1"/>
  <c r="L8" i="57"/>
  <c r="H5" i="56"/>
  <c r="H12" i="56" s="1"/>
  <c r="H5" i="63" s="1"/>
  <c r="K32" i="72"/>
  <c r="K125" i="54"/>
  <c r="D73" i="65"/>
  <c r="C70" i="65"/>
  <c r="D77" i="65"/>
  <c r="M31" i="64"/>
  <c r="M59" i="54"/>
  <c r="H240" i="54"/>
  <c r="H46" i="73"/>
  <c r="AE30" i="59"/>
  <c r="AE33" i="59" s="1"/>
  <c r="AE5" i="58"/>
  <c r="AE7" i="58" s="1"/>
  <c r="AE10" i="58" s="1"/>
  <c r="R30" i="59"/>
  <c r="R5" i="58"/>
  <c r="R7" i="58" s="1"/>
  <c r="Y5" i="58"/>
  <c r="Y7" i="58" s="1"/>
  <c r="Y10" i="58" s="1"/>
  <c r="Y30" i="59"/>
  <c r="Y33" i="59" s="1"/>
  <c r="D33" i="64"/>
  <c r="AJ30" i="59"/>
  <c r="AJ33" i="59" s="1"/>
  <c r="AJ5" i="58"/>
  <c r="AJ7" i="58" s="1"/>
  <c r="AJ10" i="58" s="1"/>
  <c r="D9" i="58"/>
  <c r="N58" i="54"/>
  <c r="N30" i="64"/>
  <c r="L5" i="63"/>
  <c r="L15" i="56"/>
  <c r="L16" i="56" s="1"/>
  <c r="G71" i="68"/>
  <c r="G91" i="54"/>
  <c r="G47" i="69"/>
  <c r="E30" i="59"/>
  <c r="E33" i="59" s="1"/>
  <c r="E5" i="58"/>
  <c r="E7" i="58" s="1"/>
  <c r="E10" i="58" s="1"/>
  <c r="AC30" i="59"/>
  <c r="AC33" i="59" s="1"/>
  <c r="AC5" i="58"/>
  <c r="AC7" i="58" s="1"/>
  <c r="AC10" i="58" s="1"/>
  <c r="K5" i="58"/>
  <c r="K7" i="58" s="1"/>
  <c r="K10" i="58" s="1"/>
  <c r="K30" i="59"/>
  <c r="K33" i="59" s="1"/>
  <c r="M33" i="64"/>
  <c r="M9" i="74" s="1"/>
  <c r="U30" i="59"/>
  <c r="U33" i="59" s="1"/>
  <c r="U5" i="58"/>
  <c r="U7" i="58" s="1"/>
  <c r="U10" i="58" s="1"/>
  <c r="H30" i="59"/>
  <c r="H33" i="59" s="1"/>
  <c r="H5" i="58"/>
  <c r="H7" i="58" s="1"/>
  <c r="H10" i="58" s="1"/>
  <c r="D5" i="58"/>
  <c r="D30" i="59"/>
  <c r="Z5" i="58"/>
  <c r="Z7" i="58" s="1"/>
  <c r="Z10" i="58" s="1"/>
  <c r="Z30" i="59"/>
  <c r="Z33" i="59" s="1"/>
  <c r="G30" i="58"/>
  <c r="G20" i="58"/>
  <c r="C69" i="66"/>
  <c r="D73" i="66"/>
  <c r="I43" i="73"/>
  <c r="I237" i="54"/>
  <c r="G47" i="73"/>
  <c r="G23" i="74" s="1"/>
  <c r="O30" i="59"/>
  <c r="O5" i="58"/>
  <c r="O7" i="58" s="1"/>
  <c r="AD30" i="59"/>
  <c r="AD5" i="58"/>
  <c r="AD7" i="58" s="1"/>
  <c r="AD10" i="58" s="1"/>
  <c r="AO5" i="58"/>
  <c r="AO7" i="58" s="1"/>
  <c r="AO10" i="58" s="1"/>
  <c r="AO30" i="59"/>
  <c r="AO33" i="59" s="1"/>
  <c r="K44" i="73"/>
  <c r="K238" i="54"/>
  <c r="L25" i="56"/>
  <c r="M4" i="56"/>
  <c r="M25" i="56" s="1"/>
  <c r="AB32" i="59"/>
  <c r="AB8" i="58"/>
  <c r="AB9" i="58" s="1"/>
  <c r="AN30" i="59"/>
  <c r="AN33" i="59" s="1"/>
  <c r="AN5" i="58"/>
  <c r="AN7" i="58" s="1"/>
  <c r="AN10" i="58" s="1"/>
  <c r="F47" i="73"/>
  <c r="F23" i="74" s="1"/>
  <c r="H235" i="54"/>
  <c r="H41" i="73"/>
  <c r="L6" i="57"/>
  <c r="D15" i="57"/>
  <c r="I5" i="63"/>
  <c r="I15" i="56"/>
  <c r="I16" i="56" s="1"/>
  <c r="E25" i="62"/>
  <c r="E20" i="56"/>
  <c r="V49" i="60"/>
  <c r="V19" i="58"/>
  <c r="E77" i="65"/>
  <c r="E80" i="65" s="1"/>
  <c r="E12" i="74" s="1"/>
  <c r="E11" i="74" s="1"/>
  <c r="E36" i="65"/>
  <c r="C33" i="65"/>
  <c r="O32" i="59"/>
  <c r="O8" i="58"/>
  <c r="O9" i="58" s="1"/>
  <c r="W49" i="60"/>
  <c r="W19" i="58"/>
  <c r="P32" i="59"/>
  <c r="P8" i="58"/>
  <c r="P9" i="58" s="1"/>
  <c r="P30" i="59"/>
  <c r="P5" i="58"/>
  <c r="P7" i="58" s="1"/>
  <c r="F30" i="59"/>
  <c r="F33" i="59" s="1"/>
  <c r="F5" i="58"/>
  <c r="F7" i="58" s="1"/>
  <c r="F10" i="58" s="1"/>
  <c r="L30" i="59"/>
  <c r="L33" i="59" s="1"/>
  <c r="L5" i="58"/>
  <c r="L7" i="58" s="1"/>
  <c r="L10" i="58" s="1"/>
  <c r="H49" i="69"/>
  <c r="H93" i="54"/>
  <c r="H48" i="64"/>
  <c r="H73" i="68"/>
  <c r="H45" i="69"/>
  <c r="H69" i="68"/>
  <c r="H89" i="54"/>
  <c r="D20" i="74"/>
  <c r="C20" i="74" s="1"/>
  <c r="C35" i="71"/>
  <c r="H68" i="68"/>
  <c r="H88" i="54"/>
  <c r="H44" i="69"/>
  <c r="D7" i="63"/>
  <c r="D21" i="63"/>
  <c r="AH80" i="65"/>
  <c r="AH12" i="74" s="1"/>
  <c r="AH11" i="74" s="1"/>
  <c r="C35" i="65"/>
  <c r="D79" i="65"/>
  <c r="D36" i="65"/>
  <c r="J5" i="63"/>
  <c r="J15" i="56"/>
  <c r="J16" i="56" s="1"/>
  <c r="AE19" i="58"/>
  <c r="AE49" i="60"/>
  <c r="Q30" i="59"/>
  <c r="Q33" i="59" s="1"/>
  <c r="Q5" i="58"/>
  <c r="Q7" i="58" s="1"/>
  <c r="AF30" i="59"/>
  <c r="AF33" i="59" s="1"/>
  <c r="AF5" i="58"/>
  <c r="AF7" i="58" s="1"/>
  <c r="AF10" i="58" s="1"/>
  <c r="AA5" i="58"/>
  <c r="AA7" i="58" s="1"/>
  <c r="AA10" i="58" s="1"/>
  <c r="AA30" i="59"/>
  <c r="AA33" i="59" s="1"/>
  <c r="N34" i="72"/>
  <c r="N127" i="54"/>
  <c r="AK20" i="58"/>
  <c r="AK30" i="58"/>
  <c r="N19" i="58"/>
  <c r="N49" i="60"/>
  <c r="G50" i="69"/>
  <c r="G74" i="68"/>
  <c r="G94" i="54"/>
  <c r="G49" i="64"/>
  <c r="L45" i="73"/>
  <c r="L239" i="54"/>
  <c r="AO49" i="60"/>
  <c r="AO19" i="58"/>
  <c r="G26" i="56"/>
  <c r="C27" i="56"/>
  <c r="D20" i="58"/>
  <c r="D30" i="58"/>
  <c r="K46" i="69"/>
  <c r="K90" i="54"/>
  <c r="K70" i="68"/>
  <c r="AH19" i="58"/>
  <c r="AH49" i="60"/>
  <c r="S30" i="59"/>
  <c r="S33" i="59" s="1"/>
  <c r="S5" i="58"/>
  <c r="S7" i="58" s="1"/>
  <c r="G30" i="59"/>
  <c r="G33" i="59" s="1"/>
  <c r="G5" i="58"/>
  <c r="G7" i="58" s="1"/>
  <c r="G10" i="58" s="1"/>
  <c r="N5" i="58"/>
  <c r="N7" i="58" s="1"/>
  <c r="N30" i="59"/>
  <c r="N33" i="59" s="1"/>
  <c r="F21" i="74"/>
  <c r="G54" i="68"/>
  <c r="G41" i="68"/>
  <c r="H4" i="68"/>
  <c r="G67" i="68"/>
  <c r="Z30" i="58"/>
  <c r="Z20" i="58"/>
  <c r="D14" i="57"/>
  <c r="L5" i="57"/>
  <c r="F51" i="69"/>
  <c r="F17" i="74" s="1"/>
  <c r="F15" i="74" s="1"/>
  <c r="F48" i="63"/>
  <c r="F32" i="63"/>
  <c r="E5" i="74"/>
  <c r="J30" i="58"/>
  <c r="J20" i="58"/>
  <c r="H49" i="60"/>
  <c r="H19" i="58"/>
  <c r="M5" i="58"/>
  <c r="M7" i="58" s="1"/>
  <c r="M30" i="59"/>
  <c r="V30" i="59"/>
  <c r="V33" i="59" s="1"/>
  <c r="V5" i="58"/>
  <c r="V7" i="58" s="1"/>
  <c r="V10" i="58" s="1"/>
  <c r="AB5" i="58"/>
  <c r="AB7" i="58" s="1"/>
  <c r="AB30" i="59"/>
  <c r="R19" i="58"/>
  <c r="R49" i="60"/>
  <c r="M32" i="59"/>
  <c r="M8" i="58"/>
  <c r="M9" i="58" s="1"/>
  <c r="G28" i="73"/>
  <c r="G40" i="73"/>
  <c r="H4" i="73"/>
  <c r="G16" i="73"/>
  <c r="M33" i="72"/>
  <c r="M126" i="54"/>
  <c r="R32" i="59"/>
  <c r="R8" i="58"/>
  <c r="R9" i="58" s="1"/>
  <c r="T30" i="59"/>
  <c r="T33" i="59" s="1"/>
  <c r="T5" i="58"/>
  <c r="T7" i="58" s="1"/>
  <c r="T10" i="58" s="1"/>
  <c r="AK30" i="59"/>
  <c r="AK33" i="59" s="1"/>
  <c r="AK5" i="58"/>
  <c r="AK7" i="58" s="1"/>
  <c r="AK10" i="58" s="1"/>
  <c r="AP5" i="58"/>
  <c r="AP7" i="58" s="1"/>
  <c r="AP10" i="58" s="1"/>
  <c r="AP30" i="59"/>
  <c r="AP33" i="59" s="1"/>
  <c r="L7" i="57"/>
  <c r="D16" i="57"/>
  <c r="H30" i="69"/>
  <c r="H43" i="69"/>
  <c r="H17" i="69"/>
  <c r="I4" i="69"/>
  <c r="AD19" i="58"/>
  <c r="AD49" i="60"/>
  <c r="W30" i="59"/>
  <c r="W33" i="59" s="1"/>
  <c r="W5" i="58"/>
  <c r="W7" i="58" s="1"/>
  <c r="W10" i="58" s="1"/>
  <c r="I5" i="58"/>
  <c r="I7" i="58" s="1"/>
  <c r="I10" i="58" s="1"/>
  <c r="I30" i="59"/>
  <c r="I33" i="59" s="1"/>
  <c r="T30" i="58"/>
  <c r="T20" i="58"/>
  <c r="F7" i="64"/>
  <c r="C7" i="64" s="1"/>
  <c r="F79" i="65"/>
  <c r="C72" i="65"/>
  <c r="X30" i="58"/>
  <c r="X20" i="58"/>
  <c r="F80" i="65"/>
  <c r="F12" i="74" s="1"/>
  <c r="F11" i="74" s="1"/>
  <c r="AG30" i="59"/>
  <c r="AG33" i="59" s="1"/>
  <c r="AG5" i="58"/>
  <c r="AG7" i="58" s="1"/>
  <c r="AG10" i="58" s="1"/>
  <c r="X30" i="59"/>
  <c r="X33" i="59" s="1"/>
  <c r="X5" i="58"/>
  <c r="X7" i="58" s="1"/>
  <c r="X10" i="58" s="1"/>
  <c r="O20" i="58"/>
  <c r="M20" i="58"/>
  <c r="N32" i="64"/>
  <c r="N60" i="54"/>
  <c r="P19" i="58"/>
  <c r="P49" i="60"/>
  <c r="Q49" i="60"/>
  <c r="Q19" i="58"/>
  <c r="D9" i="64"/>
  <c r="D10" i="64"/>
  <c r="D8" i="64"/>
  <c r="AC19" i="58"/>
  <c r="AC49" i="60"/>
  <c r="H72" i="68"/>
  <c r="H92" i="54"/>
  <c r="H47" i="64"/>
  <c r="H48" i="69"/>
  <c r="H22" i="72"/>
  <c r="H31" i="72"/>
  <c r="H13" i="72"/>
  <c r="I4" i="72"/>
  <c r="E9" i="64"/>
  <c r="E14" i="64" s="1"/>
  <c r="E8" i="64"/>
  <c r="E13" i="64" s="1"/>
  <c r="E10" i="64"/>
  <c r="E15" i="64" s="1"/>
  <c r="D17" i="74"/>
  <c r="F73" i="65"/>
  <c r="AH30" i="59"/>
  <c r="AH33" i="59" s="1"/>
  <c r="AH5" i="58"/>
  <c r="AH7" i="58" s="1"/>
  <c r="AH10" i="58" s="1"/>
  <c r="AM5" i="58"/>
  <c r="AM7" i="58" s="1"/>
  <c r="AM10" i="58" s="1"/>
  <c r="AM30" i="59"/>
  <c r="AM33" i="59" s="1"/>
  <c r="D22" i="74"/>
  <c r="D10" i="74"/>
  <c r="D20" i="56"/>
  <c r="D25" i="62"/>
  <c r="M32" i="64"/>
  <c r="D16" i="74"/>
  <c r="H236" i="54"/>
  <c r="H42" i="73"/>
  <c r="K5" i="63"/>
  <c r="K15" i="56"/>
  <c r="K16" i="56" s="1"/>
  <c r="M15" i="56"/>
  <c r="M16" i="56" s="1"/>
  <c r="M5" i="63"/>
  <c r="AL30" i="59"/>
  <c r="AL33" i="59" s="1"/>
  <c r="AL5" i="58"/>
  <c r="AL7" i="58" s="1"/>
  <c r="AL10" i="58" s="1"/>
  <c r="AI30" i="59"/>
  <c r="AI33" i="59" s="1"/>
  <c r="AI5" i="58"/>
  <c r="AI7" i="58" s="1"/>
  <c r="AI10" i="58" s="1"/>
  <c r="J30" i="59"/>
  <c r="J33" i="59" s="1"/>
  <c r="J5" i="58"/>
  <c r="J7" i="58" s="1"/>
  <c r="J10" i="58" s="1"/>
  <c r="S19" i="58"/>
  <c r="S49" i="60"/>
  <c r="Y20" i="58" l="1"/>
  <c r="AD33" i="59"/>
  <c r="Q10" i="58"/>
  <c r="N10" i="58"/>
  <c r="AA30" i="58"/>
  <c r="AN30" i="58"/>
  <c r="T16" i="58"/>
  <c r="T27" i="58" s="1"/>
  <c r="S10" i="58"/>
  <c r="AB33" i="59"/>
  <c r="E30" i="58"/>
  <c r="E31" i="58" s="1"/>
  <c r="L20" i="58"/>
  <c r="T50" i="60"/>
  <c r="L50" i="60"/>
  <c r="F50" i="60"/>
  <c r="I30" i="58"/>
  <c r="I41" i="58" s="1"/>
  <c r="I42" i="58" s="1"/>
  <c r="AL20" i="58"/>
  <c r="J50" i="60"/>
  <c r="AQ20" i="58"/>
  <c r="AQ21" i="58" s="1"/>
  <c r="AQ30" i="58"/>
  <c r="F30" i="58"/>
  <c r="F31" i="58" s="1"/>
  <c r="AB16" i="58"/>
  <c r="AB27" i="58" s="1"/>
  <c r="X50" i="60"/>
  <c r="AF50" i="60"/>
  <c r="U50" i="60"/>
  <c r="AG30" i="58"/>
  <c r="AG31" i="58" s="1"/>
  <c r="AF20" i="58"/>
  <c r="U20" i="58"/>
  <c r="AP20" i="58"/>
  <c r="AF16" i="58"/>
  <c r="AF18" i="58" s="1"/>
  <c r="G50" i="41"/>
  <c r="G15" i="33"/>
  <c r="K72" i="40"/>
  <c r="K78" i="40"/>
  <c r="K66" i="40"/>
  <c r="J46" i="41"/>
  <c r="I19" i="47"/>
  <c r="I25" i="47"/>
  <c r="I48" i="41"/>
  <c r="H50" i="41"/>
  <c r="H15" i="33"/>
  <c r="C66" i="70"/>
  <c r="D19" i="74"/>
  <c r="C19" i="74" s="1"/>
  <c r="F49" i="63"/>
  <c r="F50" i="63" s="1"/>
  <c r="I25" i="45"/>
  <c r="I31" i="45"/>
  <c r="I37" i="45"/>
  <c r="I7" i="44"/>
  <c r="I13" i="44"/>
  <c r="I19" i="44"/>
  <c r="I19" i="45"/>
  <c r="I7" i="45"/>
  <c r="I13" i="45"/>
  <c r="I22" i="10"/>
  <c r="J23" i="10"/>
  <c r="J53" i="40"/>
  <c r="J47" i="40"/>
  <c r="I13" i="4" s="1"/>
  <c r="L59" i="40"/>
  <c r="L29" i="40"/>
  <c r="L23" i="40"/>
  <c r="L17" i="40"/>
  <c r="K5" i="4" s="1"/>
  <c r="K5" i="61" s="1"/>
  <c r="M11" i="40"/>
  <c r="L35" i="40"/>
  <c r="K41" i="40"/>
  <c r="I13" i="61"/>
  <c r="H7" i="61"/>
  <c r="G15" i="61"/>
  <c r="G49" i="63" s="1"/>
  <c r="G21" i="61"/>
  <c r="G23" i="61" s="1"/>
  <c r="F21" i="63"/>
  <c r="F7" i="63"/>
  <c r="F33" i="63" s="1"/>
  <c r="F34" i="63" s="1"/>
  <c r="K20" i="58"/>
  <c r="AL47" i="60"/>
  <c r="AL50" i="60" s="1"/>
  <c r="I50" i="60"/>
  <c r="R47" i="60"/>
  <c r="R50" i="60" s="1"/>
  <c r="D16" i="58"/>
  <c r="D27" i="58" s="1"/>
  <c r="O50" i="60"/>
  <c r="AI20" i="58"/>
  <c r="F16" i="58"/>
  <c r="F27" i="58" s="1"/>
  <c r="P47" i="60"/>
  <c r="P50" i="60" s="1"/>
  <c r="AK47" i="60"/>
  <c r="AK50" i="60" s="1"/>
  <c r="AJ20" i="58"/>
  <c r="E16" i="58"/>
  <c r="E18" i="58" s="1"/>
  <c r="E21" i="58" s="1"/>
  <c r="E52" i="63" s="1"/>
  <c r="E54" i="63" s="1"/>
  <c r="C19" i="58"/>
  <c r="AM20" i="58"/>
  <c r="W16" i="58"/>
  <c r="W18" i="58" s="1"/>
  <c r="AD16" i="58"/>
  <c r="AD27" i="58" s="1"/>
  <c r="AE50" i="60"/>
  <c r="AP16" i="58"/>
  <c r="AP27" i="58" s="1"/>
  <c r="AC47" i="60"/>
  <c r="AC50" i="60" s="1"/>
  <c r="AM16" i="58"/>
  <c r="AM27" i="58" s="1"/>
  <c r="AH16" i="58"/>
  <c r="AH18" i="58" s="1"/>
  <c r="U16" i="58"/>
  <c r="U18" i="58" s="1"/>
  <c r="I16" i="58"/>
  <c r="I18" i="58" s="1"/>
  <c r="I21" i="58" s="1"/>
  <c r="I52" i="63" s="1"/>
  <c r="N16" i="58"/>
  <c r="N27" i="58" s="1"/>
  <c r="AN47" i="60"/>
  <c r="AN50" i="60" s="1"/>
  <c r="M16" i="58"/>
  <c r="M27" i="58" s="1"/>
  <c r="H47" i="60"/>
  <c r="H50" i="60" s="1"/>
  <c r="AA16" i="58"/>
  <c r="AA27" i="58" s="1"/>
  <c r="O30" i="58"/>
  <c r="O41" i="58" s="1"/>
  <c r="O42" i="58" s="1"/>
  <c r="C9" i="58"/>
  <c r="C32" i="59"/>
  <c r="C8" i="58"/>
  <c r="AQ7" i="58"/>
  <c r="AQ10" i="58" s="1"/>
  <c r="C5" i="58"/>
  <c r="AQ29" i="58"/>
  <c r="AQ38" i="58"/>
  <c r="AQ40" i="58" s="1"/>
  <c r="S16" i="58"/>
  <c r="S18" i="58" s="1"/>
  <c r="L16" i="58"/>
  <c r="L18" i="58" s="1"/>
  <c r="O16" i="58"/>
  <c r="O27" i="58" s="1"/>
  <c r="AG16" i="58"/>
  <c r="AG27" i="58" s="1"/>
  <c r="AJ47" i="60"/>
  <c r="AJ50" i="60" s="1"/>
  <c r="AO47" i="60"/>
  <c r="AO50" i="60" s="1"/>
  <c r="AI47" i="60"/>
  <c r="AI50" i="60" s="1"/>
  <c r="Q47" i="60"/>
  <c r="Q50" i="60" s="1"/>
  <c r="X16" i="58"/>
  <c r="X18" i="58" s="1"/>
  <c r="X21" i="58" s="1"/>
  <c r="X52" i="63" s="1"/>
  <c r="X54" i="63" s="1"/>
  <c r="Y16" i="58"/>
  <c r="Y18" i="58" s="1"/>
  <c r="Y21" i="58" s="1"/>
  <c r="Y52" i="63" s="1"/>
  <c r="Y54" i="63" s="1"/>
  <c r="Z47" i="60"/>
  <c r="Z50" i="60" s="1"/>
  <c r="AE16" i="58"/>
  <c r="K16" i="58"/>
  <c r="K27" i="58" s="1"/>
  <c r="J16" i="58"/>
  <c r="J18" i="58" s="1"/>
  <c r="J21" i="58" s="1"/>
  <c r="J52" i="63" s="1"/>
  <c r="J54" i="63" s="1"/>
  <c r="C45" i="60"/>
  <c r="C49" i="60"/>
  <c r="G47" i="60"/>
  <c r="G50" i="60" s="1"/>
  <c r="G16" i="58"/>
  <c r="G27" i="58" s="1"/>
  <c r="N50" i="60"/>
  <c r="V47" i="60"/>
  <c r="V50" i="60" s="1"/>
  <c r="AH50" i="60"/>
  <c r="AB10" i="58"/>
  <c r="AB30" i="58"/>
  <c r="AB31" i="58" s="1"/>
  <c r="P10" i="58"/>
  <c r="O10" i="58"/>
  <c r="P33" i="59"/>
  <c r="O33" i="59"/>
  <c r="C30" i="59"/>
  <c r="C36" i="65"/>
  <c r="H15" i="56"/>
  <c r="C5" i="56"/>
  <c r="G41" i="58"/>
  <c r="G42" i="58" s="1"/>
  <c r="G31" i="58"/>
  <c r="E48" i="63"/>
  <c r="E50" i="63" s="1"/>
  <c r="E32" i="63"/>
  <c r="E34" i="63" s="1"/>
  <c r="I17" i="56"/>
  <c r="I19" i="56"/>
  <c r="L31" i="58"/>
  <c r="L41" i="58"/>
  <c r="L42" i="58" s="1"/>
  <c r="I47" i="64"/>
  <c r="I92" i="54"/>
  <c r="I72" i="68"/>
  <c r="I48" i="69"/>
  <c r="W20" i="58"/>
  <c r="W30" i="58"/>
  <c r="AN18" i="58"/>
  <c r="AN21" i="58" s="1"/>
  <c r="AN52" i="63" s="1"/>
  <c r="AN54" i="63" s="1"/>
  <c r="AN27" i="58"/>
  <c r="H27" i="58"/>
  <c r="H18" i="58"/>
  <c r="E16" i="64"/>
  <c r="E8" i="74" s="1"/>
  <c r="E7" i="74" s="1"/>
  <c r="D33" i="59"/>
  <c r="Y41" i="58"/>
  <c r="Y42" i="58" s="1"/>
  <c r="Y31" i="58"/>
  <c r="D13" i="64"/>
  <c r="O60" i="54"/>
  <c r="O32" i="64"/>
  <c r="D41" i="58"/>
  <c r="D31" i="58"/>
  <c r="C79" i="65"/>
  <c r="H47" i="73"/>
  <c r="D7" i="58"/>
  <c r="L19" i="56"/>
  <c r="L17" i="56"/>
  <c r="N31" i="64"/>
  <c r="N59" i="54"/>
  <c r="AL31" i="58"/>
  <c r="AL41" i="58"/>
  <c r="AL42" i="58" s="1"/>
  <c r="J31" i="58"/>
  <c r="J41" i="58"/>
  <c r="J42" i="58" s="1"/>
  <c r="I49" i="69"/>
  <c r="I93" i="54"/>
  <c r="I73" i="68"/>
  <c r="I48" i="64"/>
  <c r="I240" i="54"/>
  <c r="I46" i="73"/>
  <c r="K41" i="58"/>
  <c r="K42" i="58" s="1"/>
  <c r="K31" i="58"/>
  <c r="D32" i="63"/>
  <c r="D48" i="63"/>
  <c r="I22" i="72"/>
  <c r="J4" i="72"/>
  <c r="I13" i="72"/>
  <c r="I31" i="72"/>
  <c r="D15" i="64"/>
  <c r="AI41" i="58"/>
  <c r="AI42" i="58" s="1"/>
  <c r="AI31" i="58"/>
  <c r="G50" i="64"/>
  <c r="I235" i="54"/>
  <c r="I41" i="73"/>
  <c r="AM41" i="58"/>
  <c r="AM42" i="58" s="1"/>
  <c r="AM31" i="58"/>
  <c r="AI27" i="58"/>
  <c r="AI18" i="58"/>
  <c r="Q18" i="58"/>
  <c r="Q27" i="58"/>
  <c r="M19" i="56"/>
  <c r="M17" i="56"/>
  <c r="N126" i="54"/>
  <c r="N33" i="72"/>
  <c r="H94" i="54"/>
  <c r="H50" i="69"/>
  <c r="H49" i="64"/>
  <c r="H74" i="68"/>
  <c r="J237" i="54"/>
  <c r="J43" i="73"/>
  <c r="D80" i="65"/>
  <c r="C77" i="65"/>
  <c r="P27" i="58"/>
  <c r="P18" i="58"/>
  <c r="D50" i="60"/>
  <c r="AL18" i="58"/>
  <c r="AL27" i="58"/>
  <c r="T41" i="58"/>
  <c r="T42" i="58" s="1"/>
  <c r="T31" i="58"/>
  <c r="H67" i="68"/>
  <c r="H54" i="68"/>
  <c r="H41" i="68"/>
  <c r="I4" i="68"/>
  <c r="AE30" i="58"/>
  <c r="AE20" i="58"/>
  <c r="I51" i="63"/>
  <c r="I35" i="63"/>
  <c r="I68" i="68"/>
  <c r="I88" i="54"/>
  <c r="I44" i="69"/>
  <c r="H91" i="54"/>
  <c r="H47" i="69"/>
  <c r="H71" i="68"/>
  <c r="D21" i="74"/>
  <c r="AA41" i="58"/>
  <c r="AA42" i="58" s="1"/>
  <c r="AA31" i="58"/>
  <c r="M30" i="58"/>
  <c r="AO27" i="58"/>
  <c r="AO18" i="58"/>
  <c r="V27" i="58"/>
  <c r="V18" i="58"/>
  <c r="P20" i="58"/>
  <c r="P30" i="58"/>
  <c r="L46" i="69"/>
  <c r="L70" i="68"/>
  <c r="L90" i="54"/>
  <c r="S30" i="58"/>
  <c r="S20" i="58"/>
  <c r="G21" i="74"/>
  <c r="D19" i="57"/>
  <c r="E15" i="57" s="1"/>
  <c r="I45" i="69"/>
  <c r="I89" i="54"/>
  <c r="I69" i="68"/>
  <c r="L238" i="54"/>
  <c r="L44" i="73"/>
  <c r="D13" i="74"/>
  <c r="C13" i="74" s="1"/>
  <c r="C73" i="66"/>
  <c r="N33" i="64"/>
  <c r="N9" i="74" s="1"/>
  <c r="C73" i="65"/>
  <c r="W50" i="60"/>
  <c r="R18" i="58"/>
  <c r="R27" i="58"/>
  <c r="O58" i="54"/>
  <c r="O30" i="64"/>
  <c r="L32" i="72"/>
  <c r="L35" i="72" s="1"/>
  <c r="L22" i="74" s="1"/>
  <c r="L125" i="54"/>
  <c r="J17" i="56"/>
  <c r="J19" i="56"/>
  <c r="O34" i="72"/>
  <c r="O127" i="54"/>
  <c r="H51" i="69"/>
  <c r="H17" i="74" s="1"/>
  <c r="D9" i="74"/>
  <c r="AC20" i="58"/>
  <c r="AC30" i="58"/>
  <c r="G75" i="68"/>
  <c r="Q30" i="58"/>
  <c r="Q20" i="58"/>
  <c r="M10" i="58"/>
  <c r="AO30" i="58"/>
  <c r="AO20" i="58"/>
  <c r="D33" i="63"/>
  <c r="V30" i="58"/>
  <c r="V20" i="58"/>
  <c r="R10" i="58"/>
  <c r="K35" i="72"/>
  <c r="AP41" i="58"/>
  <c r="AP42" i="58" s="1"/>
  <c r="AP31" i="58"/>
  <c r="R20" i="58"/>
  <c r="R30" i="58"/>
  <c r="M45" i="73"/>
  <c r="M239" i="54"/>
  <c r="K19" i="56"/>
  <c r="K17" i="56"/>
  <c r="D14" i="64"/>
  <c r="I42" i="73"/>
  <c r="I236" i="54"/>
  <c r="M33" i="59"/>
  <c r="AD20" i="58"/>
  <c r="AD30" i="58"/>
  <c r="H28" i="73"/>
  <c r="H40" i="73"/>
  <c r="I4" i="73"/>
  <c r="H16" i="73"/>
  <c r="H30" i="58"/>
  <c r="H20" i="58"/>
  <c r="Z41" i="58"/>
  <c r="Z42" i="58" s="1"/>
  <c r="Z31" i="58"/>
  <c r="AH30" i="58"/>
  <c r="AH20" i="58"/>
  <c r="N30" i="58"/>
  <c r="N20" i="58"/>
  <c r="G5" i="63"/>
  <c r="G15" i="56"/>
  <c r="G16" i="56" s="1"/>
  <c r="C12" i="56"/>
  <c r="C3" i="62" s="1"/>
  <c r="AF41" i="58"/>
  <c r="AF42" i="58" s="1"/>
  <c r="AF31" i="58"/>
  <c r="AJ41" i="58"/>
  <c r="AJ42" i="58" s="1"/>
  <c r="AJ31" i="58"/>
  <c r="R33" i="59"/>
  <c r="Z27" i="58"/>
  <c r="Z18" i="58"/>
  <c r="Z21" i="58" s="1"/>
  <c r="Z52" i="63" s="1"/>
  <c r="Z54" i="63" s="1"/>
  <c r="AD50" i="60"/>
  <c r="AJ18" i="58"/>
  <c r="AJ27" i="58"/>
  <c r="X31" i="58"/>
  <c r="X41" i="58"/>
  <c r="X42" i="58" s="1"/>
  <c r="H51" i="63"/>
  <c r="H35" i="63"/>
  <c r="G33" i="56"/>
  <c r="C26" i="56"/>
  <c r="AN41" i="58"/>
  <c r="AN42" i="58" s="1"/>
  <c r="AN31" i="58"/>
  <c r="D15" i="74"/>
  <c r="H50" i="64"/>
  <c r="H10" i="74" s="1"/>
  <c r="I17" i="69"/>
  <c r="I30" i="69"/>
  <c r="J4" i="69"/>
  <c r="I43" i="69"/>
  <c r="AK41" i="58"/>
  <c r="AK42" i="58" s="1"/>
  <c r="AK31" i="58"/>
  <c r="S50" i="60"/>
  <c r="AC27" i="58"/>
  <c r="AC18" i="58"/>
  <c r="G51" i="69"/>
  <c r="G17" i="74" s="1"/>
  <c r="U41" i="58"/>
  <c r="U42" i="58" s="1"/>
  <c r="U31" i="58"/>
  <c r="AK27" i="58"/>
  <c r="AK18" i="58"/>
  <c r="AK21" i="58" s="1"/>
  <c r="AK52" i="63" s="1"/>
  <c r="AK54" i="63" s="1"/>
  <c r="T18" i="58" l="1"/>
  <c r="T21" i="58" s="1"/>
  <c r="T52" i="63" s="1"/>
  <c r="T54" i="63" s="1"/>
  <c r="E41" i="58"/>
  <c r="E42" i="58" s="1"/>
  <c r="AF27" i="58"/>
  <c r="D18" i="74"/>
  <c r="C18" i="74" s="1"/>
  <c r="L21" i="58"/>
  <c r="L52" i="63" s="1"/>
  <c r="L54" i="63" s="1"/>
  <c r="F18" i="58"/>
  <c r="F21" i="58" s="1"/>
  <c r="F52" i="63" s="1"/>
  <c r="F54" i="63" s="1"/>
  <c r="F55" i="63" s="1"/>
  <c r="AL21" i="58"/>
  <c r="AL52" i="63" s="1"/>
  <c r="AL54" i="63" s="1"/>
  <c r="AB18" i="58"/>
  <c r="AB21" i="58" s="1"/>
  <c r="AB52" i="63" s="1"/>
  <c r="AB54" i="63" s="1"/>
  <c r="I31" i="58"/>
  <c r="F41" i="58"/>
  <c r="F42" i="58" s="1"/>
  <c r="U21" i="58"/>
  <c r="U52" i="63" s="1"/>
  <c r="U54" i="63" s="1"/>
  <c r="AF21" i="58"/>
  <c r="AF52" i="63" s="1"/>
  <c r="AF54" i="63" s="1"/>
  <c r="W27" i="58"/>
  <c r="W38" i="58" s="1"/>
  <c r="W40" i="58" s="1"/>
  <c r="AG41" i="58"/>
  <c r="AG42" i="58" s="1"/>
  <c r="AQ31" i="58"/>
  <c r="AQ32" i="58" s="1"/>
  <c r="AQ41" i="58"/>
  <c r="AQ42" i="58" s="1"/>
  <c r="AQ43" i="58" s="1"/>
  <c r="I18" i="36"/>
  <c r="J45" i="41"/>
  <c r="J47" i="41" s="1"/>
  <c r="L66" i="40"/>
  <c r="L72" i="40"/>
  <c r="L78" i="40"/>
  <c r="K46" i="41"/>
  <c r="K45" i="41" s="1"/>
  <c r="K47" i="41" s="1"/>
  <c r="H16" i="33"/>
  <c r="H51" i="41"/>
  <c r="I49" i="41"/>
  <c r="I14" i="33"/>
  <c r="I19" i="36"/>
  <c r="G16" i="33"/>
  <c r="G51" i="41"/>
  <c r="I6" i="42"/>
  <c r="I42" i="43"/>
  <c r="I41" i="43"/>
  <c r="I40" i="43"/>
  <c r="I7" i="42"/>
  <c r="I6" i="43"/>
  <c r="I5" i="43"/>
  <c r="I7" i="43"/>
  <c r="U27" i="58"/>
  <c r="U29" i="58" s="1"/>
  <c r="U32" i="58" s="1"/>
  <c r="C7" i="58"/>
  <c r="D18" i="58"/>
  <c r="D21" i="58" s="1"/>
  <c r="J19" i="45"/>
  <c r="J7" i="43" s="1"/>
  <c r="J7" i="45"/>
  <c r="J5" i="43" s="1"/>
  <c r="J13" i="45"/>
  <c r="J6" i="43" s="1"/>
  <c r="J22" i="10"/>
  <c r="I7" i="50"/>
  <c r="I5" i="42"/>
  <c r="J19" i="44"/>
  <c r="J7" i="42" s="1"/>
  <c r="J25" i="45"/>
  <c r="J40" i="43" s="1"/>
  <c r="J31" i="45"/>
  <c r="J41" i="43" s="1"/>
  <c r="J7" i="44"/>
  <c r="J37" i="45"/>
  <c r="J42" i="43" s="1"/>
  <c r="J13" i="44"/>
  <c r="J6" i="42" s="1"/>
  <c r="K53" i="40"/>
  <c r="K47" i="40"/>
  <c r="J13" i="4" s="1"/>
  <c r="K23" i="10"/>
  <c r="M59" i="40"/>
  <c r="M29" i="40"/>
  <c r="M23" i="40"/>
  <c r="M17" i="40"/>
  <c r="L5" i="4" s="1"/>
  <c r="L5" i="61" s="1"/>
  <c r="N11" i="40"/>
  <c r="M35" i="40"/>
  <c r="L41" i="40"/>
  <c r="H15" i="61"/>
  <c r="H49" i="63" s="1"/>
  <c r="H21" i="61"/>
  <c r="H23" i="61" s="1"/>
  <c r="G21" i="63"/>
  <c r="G7" i="63"/>
  <c r="G33" i="63" s="1"/>
  <c r="J13" i="61"/>
  <c r="I7" i="61"/>
  <c r="AJ21" i="58"/>
  <c r="AJ52" i="63" s="1"/>
  <c r="AJ54" i="63" s="1"/>
  <c r="E27" i="58"/>
  <c r="E29" i="58" s="1"/>
  <c r="E32" i="58" s="1"/>
  <c r="G18" i="58"/>
  <c r="G21" i="58" s="1"/>
  <c r="G52" i="63" s="1"/>
  <c r="AI21" i="58"/>
  <c r="AI52" i="63" s="1"/>
  <c r="AI54" i="63" s="1"/>
  <c r="AP18" i="58"/>
  <c r="AP21" i="58" s="1"/>
  <c r="AP52" i="63" s="1"/>
  <c r="AP54" i="63" s="1"/>
  <c r="AD18" i="58"/>
  <c r="AD21" i="58" s="1"/>
  <c r="AD52" i="63" s="1"/>
  <c r="AD54" i="63" s="1"/>
  <c r="C20" i="58"/>
  <c r="O31" i="58"/>
  <c r="C30" i="58"/>
  <c r="W21" i="58"/>
  <c r="W52" i="63" s="1"/>
  <c r="W54" i="63" s="1"/>
  <c r="AG18" i="58"/>
  <c r="AG21" i="58" s="1"/>
  <c r="AG52" i="63" s="1"/>
  <c r="AG54" i="63" s="1"/>
  <c r="AH27" i="58"/>
  <c r="AH29" i="58" s="1"/>
  <c r="AM18" i="58"/>
  <c r="AM21" i="58" s="1"/>
  <c r="AM52" i="63" s="1"/>
  <c r="AM54" i="63" s="1"/>
  <c r="N18" i="58"/>
  <c r="N21" i="58" s="1"/>
  <c r="N52" i="63" s="1"/>
  <c r="N54" i="63" s="1"/>
  <c r="I27" i="58"/>
  <c r="I38" i="58" s="1"/>
  <c r="I40" i="58" s="1"/>
  <c r="I43" i="58" s="1"/>
  <c r="I6" i="74" s="1"/>
  <c r="AA18" i="58"/>
  <c r="AA21" i="58" s="1"/>
  <c r="AA52" i="63" s="1"/>
  <c r="AA54" i="63" s="1"/>
  <c r="O18" i="58"/>
  <c r="O21" i="58" s="1"/>
  <c r="O52" i="63" s="1"/>
  <c r="O54" i="63" s="1"/>
  <c r="L27" i="58"/>
  <c r="L38" i="58" s="1"/>
  <c r="L40" i="58" s="1"/>
  <c r="L43" i="58" s="1"/>
  <c r="L6" i="74" s="1"/>
  <c r="S27" i="58"/>
  <c r="S29" i="58" s="1"/>
  <c r="M18" i="58"/>
  <c r="M21" i="58" s="1"/>
  <c r="M52" i="63" s="1"/>
  <c r="M54" i="63" s="1"/>
  <c r="K18" i="58"/>
  <c r="K21" i="58" s="1"/>
  <c r="K52" i="63" s="1"/>
  <c r="K54" i="63" s="1"/>
  <c r="AB41" i="58"/>
  <c r="AB42" i="58" s="1"/>
  <c r="X27" i="58"/>
  <c r="X29" i="58" s="1"/>
  <c r="X32" i="58" s="1"/>
  <c r="C16" i="58"/>
  <c r="AC21" i="58"/>
  <c r="AC52" i="63" s="1"/>
  <c r="AC54" i="63" s="1"/>
  <c r="Y27" i="58"/>
  <c r="Y38" i="58" s="1"/>
  <c r="Y40" i="58" s="1"/>
  <c r="Y43" i="58" s="1"/>
  <c r="Y6" i="74" s="1"/>
  <c r="J27" i="58"/>
  <c r="J38" i="58" s="1"/>
  <c r="J40" i="58" s="1"/>
  <c r="J43" i="58" s="1"/>
  <c r="J6" i="74" s="1"/>
  <c r="AE18" i="58"/>
  <c r="AE21" i="58" s="1"/>
  <c r="AE52" i="63" s="1"/>
  <c r="AE54" i="63" s="1"/>
  <c r="AE27" i="58"/>
  <c r="AE38" i="58" s="1"/>
  <c r="AE40" i="58" s="1"/>
  <c r="I54" i="63"/>
  <c r="S21" i="58"/>
  <c r="S52" i="63" s="1"/>
  <c r="S54" i="63" s="1"/>
  <c r="AO21" i="58"/>
  <c r="AO52" i="63" s="1"/>
  <c r="AO54" i="63" s="1"/>
  <c r="C50" i="60"/>
  <c r="C47" i="60"/>
  <c r="C33" i="59"/>
  <c r="H16" i="56"/>
  <c r="C16" i="56" s="1"/>
  <c r="H19" i="56"/>
  <c r="E55" i="63"/>
  <c r="I25" i="62"/>
  <c r="I20" i="56"/>
  <c r="K25" i="62"/>
  <c r="K20" i="56"/>
  <c r="J25" i="62"/>
  <c r="J20" i="56"/>
  <c r="M25" i="62"/>
  <c r="M20" i="56"/>
  <c r="V29" i="58"/>
  <c r="V38" i="58"/>
  <c r="V40" i="58" s="1"/>
  <c r="I91" i="54"/>
  <c r="I47" i="69"/>
  <c r="I71" i="68"/>
  <c r="I75" i="68" s="1"/>
  <c r="I16" i="74" s="1"/>
  <c r="H23" i="74"/>
  <c r="AF29" i="58"/>
  <c r="AF32" i="58" s="1"/>
  <c r="AF38" i="58"/>
  <c r="AF40" i="58" s="1"/>
  <c r="AF43" i="58" s="1"/>
  <c r="AF6" i="74" s="1"/>
  <c r="J88" i="54"/>
  <c r="J68" i="68"/>
  <c r="J44" i="69"/>
  <c r="G9" i="64"/>
  <c r="G14" i="64" s="1"/>
  <c r="G10" i="64"/>
  <c r="G15" i="64" s="1"/>
  <c r="G8" i="64"/>
  <c r="G13" i="64" s="1"/>
  <c r="AM29" i="58"/>
  <c r="AM32" i="58" s="1"/>
  <c r="AM38" i="58"/>
  <c r="AM40" i="58" s="1"/>
  <c r="AM43" i="58" s="1"/>
  <c r="AM6" i="74" s="1"/>
  <c r="V41" i="58"/>
  <c r="V42" i="58" s="1"/>
  <c r="V31" i="58"/>
  <c r="AO29" i="58"/>
  <c r="AO38" i="58"/>
  <c r="AO40" i="58" s="1"/>
  <c r="K4" i="72"/>
  <c r="J13" i="72"/>
  <c r="J22" i="72"/>
  <c r="J31" i="72"/>
  <c r="J73" i="68"/>
  <c r="J93" i="54"/>
  <c r="J48" i="64"/>
  <c r="J49" i="69"/>
  <c r="J92" i="54"/>
  <c r="J47" i="64"/>
  <c r="J72" i="68"/>
  <c r="J48" i="69"/>
  <c r="F9" i="64"/>
  <c r="F8" i="64"/>
  <c r="F10" i="64"/>
  <c r="M125" i="54"/>
  <c r="M32" i="72"/>
  <c r="M35" i="72" s="1"/>
  <c r="M22" i="74" s="1"/>
  <c r="AP38" i="58"/>
  <c r="AP40" i="58" s="1"/>
  <c r="AP43" i="58" s="1"/>
  <c r="AP6" i="74" s="1"/>
  <c r="AP29" i="58"/>
  <c r="AP32" i="58" s="1"/>
  <c r="O33" i="64"/>
  <c r="O9" i="74" s="1"/>
  <c r="N38" i="58"/>
  <c r="N40" i="58" s="1"/>
  <c r="N29" i="58"/>
  <c r="M41" i="58"/>
  <c r="M42" i="58" s="1"/>
  <c r="M31" i="58"/>
  <c r="D42" i="58"/>
  <c r="I50" i="64"/>
  <c r="I10" i="74" s="1"/>
  <c r="AB38" i="58"/>
  <c r="AB40" i="58" s="1"/>
  <c r="AB29" i="58"/>
  <c r="AB32" i="58" s="1"/>
  <c r="J236" i="54"/>
  <c r="J42" i="73"/>
  <c r="P58" i="54"/>
  <c r="P30" i="64"/>
  <c r="AL38" i="58"/>
  <c r="AL40" i="58" s="1"/>
  <c r="AL43" i="58" s="1"/>
  <c r="AL6" i="74" s="1"/>
  <c r="AL29" i="58"/>
  <c r="AL32" i="58" s="1"/>
  <c r="K43" i="73"/>
  <c r="K237" i="54"/>
  <c r="Q38" i="58"/>
  <c r="Q29" i="58"/>
  <c r="O38" i="58"/>
  <c r="O40" i="58" s="1"/>
  <c r="O43" i="58" s="1"/>
  <c r="O6" i="74" s="1"/>
  <c r="O29" i="58"/>
  <c r="AC41" i="58"/>
  <c r="AC42" i="58" s="1"/>
  <c r="AC31" i="58"/>
  <c r="O59" i="54"/>
  <c r="O31" i="64"/>
  <c r="H41" i="58"/>
  <c r="H42" i="58" s="1"/>
  <c r="H31" i="58"/>
  <c r="M44" i="73"/>
  <c r="M238" i="54"/>
  <c r="S31" i="58"/>
  <c r="S41" i="58"/>
  <c r="S42" i="58" s="1"/>
  <c r="Q21" i="58"/>
  <c r="I47" i="73"/>
  <c r="I23" i="74" s="1"/>
  <c r="I21" i="74" s="1"/>
  <c r="D50" i="63"/>
  <c r="K38" i="58"/>
  <c r="K40" i="58" s="1"/>
  <c r="K43" i="58" s="1"/>
  <c r="K6" i="74" s="1"/>
  <c r="K29" i="58"/>
  <c r="K32" i="58" s="1"/>
  <c r="P127" i="54"/>
  <c r="P34" i="72"/>
  <c r="J235" i="54"/>
  <c r="J41" i="73"/>
  <c r="H21" i="58"/>
  <c r="H52" i="63" s="1"/>
  <c r="H54" i="63" s="1"/>
  <c r="D29" i="58"/>
  <c r="D38" i="58"/>
  <c r="D34" i="63"/>
  <c r="H29" i="58"/>
  <c r="H38" i="58"/>
  <c r="H40" i="58" s="1"/>
  <c r="F29" i="58"/>
  <c r="F32" i="58" s="1"/>
  <c r="F38" i="58"/>
  <c r="F40" i="58" s="1"/>
  <c r="AA29" i="58"/>
  <c r="AA32" i="58" s="1"/>
  <c r="AA38" i="58"/>
  <c r="AA40" i="58" s="1"/>
  <c r="AA43" i="58" s="1"/>
  <c r="AA6" i="74" s="1"/>
  <c r="I40" i="73"/>
  <c r="I28" i="73"/>
  <c r="J4" i="73"/>
  <c r="I16" i="73"/>
  <c r="AO41" i="58"/>
  <c r="AO42" i="58" s="1"/>
  <c r="AO31" i="58"/>
  <c r="J69" i="68"/>
  <c r="J89" i="54"/>
  <c r="J45" i="69"/>
  <c r="M70" i="68"/>
  <c r="M46" i="69"/>
  <c r="M90" i="54"/>
  <c r="AC38" i="58"/>
  <c r="AC40" i="58" s="1"/>
  <c r="AC29" i="58"/>
  <c r="H75" i="68"/>
  <c r="H16" i="74" s="1"/>
  <c r="H15" i="74" s="1"/>
  <c r="AD38" i="58"/>
  <c r="AD40" i="58" s="1"/>
  <c r="AD29" i="58"/>
  <c r="I94" i="54"/>
  <c r="I50" i="69"/>
  <c r="I51" i="69" s="1"/>
  <c r="I74" i="68"/>
  <c r="I49" i="64"/>
  <c r="P60" i="54"/>
  <c r="P32" i="64"/>
  <c r="G38" i="58"/>
  <c r="G40" i="58" s="1"/>
  <c r="G43" i="58" s="1"/>
  <c r="G6" i="74" s="1"/>
  <c r="G29" i="58"/>
  <c r="G32" i="58" s="1"/>
  <c r="J30" i="69"/>
  <c r="K4" i="69"/>
  <c r="J17" i="69"/>
  <c r="J43" i="69"/>
  <c r="D12" i="74"/>
  <c r="C80" i="65"/>
  <c r="G5" i="74"/>
  <c r="C33" i="56"/>
  <c r="AJ38" i="58"/>
  <c r="AJ40" i="58" s="1"/>
  <c r="AJ43" i="58" s="1"/>
  <c r="AJ6" i="74" s="1"/>
  <c r="AJ29" i="58"/>
  <c r="AJ32" i="58" s="1"/>
  <c r="R29" i="58"/>
  <c r="R38" i="58"/>
  <c r="R40" i="58" s="1"/>
  <c r="E18" i="57"/>
  <c r="E17" i="57"/>
  <c r="AE31" i="58"/>
  <c r="AE41" i="58"/>
  <c r="AE42" i="58" s="1"/>
  <c r="G10" i="74"/>
  <c r="L25" i="62"/>
  <c r="L20" i="56"/>
  <c r="Z38" i="58"/>
  <c r="Z40" i="58" s="1"/>
  <c r="Z43" i="58" s="1"/>
  <c r="Z6" i="74" s="1"/>
  <c r="Z29" i="58"/>
  <c r="Z32" i="58" s="1"/>
  <c r="C26" i="62"/>
  <c r="G19" i="56"/>
  <c r="C19" i="56" s="1"/>
  <c r="C15" i="56"/>
  <c r="AD31" i="58"/>
  <c r="AD41" i="58"/>
  <c r="AD42" i="58" s="1"/>
  <c r="Q31" i="58"/>
  <c r="Q41" i="58"/>
  <c r="Q42" i="58" s="1"/>
  <c r="R21" i="58"/>
  <c r="R52" i="63" s="1"/>
  <c r="R54" i="63" s="1"/>
  <c r="E14" i="57"/>
  <c r="P41" i="58"/>
  <c r="P42" i="58" s="1"/>
  <c r="P31" i="58"/>
  <c r="M38" i="58"/>
  <c r="M40" i="58" s="1"/>
  <c r="M29" i="58"/>
  <c r="I67" i="68"/>
  <c r="I41" i="68"/>
  <c r="J4" i="68"/>
  <c r="I54" i="68"/>
  <c r="D16" i="64"/>
  <c r="AN38" i="58"/>
  <c r="AN40" i="58" s="1"/>
  <c r="AN43" i="58" s="1"/>
  <c r="AN6" i="74" s="1"/>
  <c r="AN29" i="58"/>
  <c r="AN32" i="58" s="1"/>
  <c r="N41" i="58"/>
  <c r="N42" i="58" s="1"/>
  <c r="N31" i="58"/>
  <c r="AK38" i="58"/>
  <c r="AK40" i="58" s="1"/>
  <c r="AK43" i="58" s="1"/>
  <c r="AK6" i="74" s="1"/>
  <c r="AK29" i="58"/>
  <c r="AK32" i="58" s="1"/>
  <c r="R41" i="58"/>
  <c r="R42" i="58" s="1"/>
  <c r="R31" i="58"/>
  <c r="AH41" i="58"/>
  <c r="AH42" i="58" s="1"/>
  <c r="AH31" i="58"/>
  <c r="G35" i="63"/>
  <c r="G51" i="63"/>
  <c r="C5" i="63"/>
  <c r="AG29" i="58"/>
  <c r="AG32" i="58" s="1"/>
  <c r="AG38" i="58"/>
  <c r="AG40" i="58" s="1"/>
  <c r="P21" i="58"/>
  <c r="P52" i="63" s="1"/>
  <c r="P54" i="63" s="1"/>
  <c r="O126" i="54"/>
  <c r="O33" i="72"/>
  <c r="AI38" i="58"/>
  <c r="AI40" i="58" s="1"/>
  <c r="AI43" i="58" s="1"/>
  <c r="AI6" i="74" s="1"/>
  <c r="AI29" i="58"/>
  <c r="AI32" i="58" s="1"/>
  <c r="J240" i="54"/>
  <c r="J46" i="73"/>
  <c r="T29" i="58"/>
  <c r="T32" i="58" s="1"/>
  <c r="T38" i="58"/>
  <c r="T40" i="58" s="1"/>
  <c r="T43" i="58" s="1"/>
  <c r="T6" i="74" s="1"/>
  <c r="E16" i="57"/>
  <c r="N239" i="54"/>
  <c r="N45" i="73"/>
  <c r="K22" i="74"/>
  <c r="G16" i="74"/>
  <c r="AH21" i="58"/>
  <c r="AH52" i="63" s="1"/>
  <c r="AH54" i="63" s="1"/>
  <c r="V21" i="58"/>
  <c r="V52" i="63" s="1"/>
  <c r="V54" i="63" s="1"/>
  <c r="P38" i="58"/>
  <c r="P40" i="58" s="1"/>
  <c r="P29" i="58"/>
  <c r="D10" i="58"/>
  <c r="C10" i="58" s="1"/>
  <c r="W41" i="58"/>
  <c r="W42" i="58" s="1"/>
  <c r="W31" i="58"/>
  <c r="AG43" i="58" l="1"/>
  <c r="AG6" i="74" s="1"/>
  <c r="W29" i="58"/>
  <c r="F43" i="58"/>
  <c r="F6" i="74" s="1"/>
  <c r="AB43" i="58"/>
  <c r="AB6" i="74" s="1"/>
  <c r="U38" i="58"/>
  <c r="U40" i="58" s="1"/>
  <c r="U43" i="58" s="1"/>
  <c r="U6" i="74" s="1"/>
  <c r="K48" i="41"/>
  <c r="K19" i="47"/>
  <c r="K18" i="36" s="1"/>
  <c r="K25" i="47"/>
  <c r="K19" i="36" s="1"/>
  <c r="I50" i="41"/>
  <c r="I15" i="33"/>
  <c r="M66" i="40"/>
  <c r="L23" i="10" s="1"/>
  <c r="M72" i="40"/>
  <c r="M78" i="40"/>
  <c r="L46" i="41"/>
  <c r="L45" i="41" s="1"/>
  <c r="L47" i="41" s="1"/>
  <c r="J25" i="47"/>
  <c r="J48" i="41"/>
  <c r="J19" i="47"/>
  <c r="E38" i="58"/>
  <c r="E40" i="58" s="1"/>
  <c r="E43" i="58" s="1"/>
  <c r="E6" i="74" s="1"/>
  <c r="E25" i="74" s="1"/>
  <c r="J7" i="50"/>
  <c r="J5" i="35" s="1"/>
  <c r="J5" i="42"/>
  <c r="I5" i="35"/>
  <c r="K13" i="45"/>
  <c r="K6" i="43" s="1"/>
  <c r="K19" i="45"/>
  <c r="K7" i="43" s="1"/>
  <c r="K7" i="45"/>
  <c r="K5" i="43" s="1"/>
  <c r="K22" i="10"/>
  <c r="K19" i="44"/>
  <c r="K7" i="42" s="1"/>
  <c r="K25" i="45"/>
  <c r="K40" i="43" s="1"/>
  <c r="K31" i="45"/>
  <c r="K41" i="43" s="1"/>
  <c r="K37" i="45"/>
  <c r="K42" i="43" s="1"/>
  <c r="K13" i="44"/>
  <c r="K6" i="42" s="1"/>
  <c r="K7" i="44"/>
  <c r="L53" i="40"/>
  <c r="L47" i="40"/>
  <c r="K13" i="4" s="1"/>
  <c r="N59" i="40"/>
  <c r="N29" i="40"/>
  <c r="N17" i="40"/>
  <c r="M5" i="4" s="1"/>
  <c r="M5" i="61" s="1"/>
  <c r="O11" i="40"/>
  <c r="N23" i="40"/>
  <c r="N35" i="40"/>
  <c r="M41" i="40"/>
  <c r="K13" i="61"/>
  <c r="J7" i="61"/>
  <c r="H21" i="63"/>
  <c r="H7" i="63"/>
  <c r="H33" i="63" s="1"/>
  <c r="I21" i="61"/>
  <c r="I23" i="61" s="1"/>
  <c r="I15" i="61"/>
  <c r="I49" i="63" s="1"/>
  <c r="O32" i="58"/>
  <c r="O6" i="63" s="1"/>
  <c r="AH38" i="58"/>
  <c r="AH40" i="58" s="1"/>
  <c r="AH43" i="58" s="1"/>
  <c r="AH6" i="74" s="1"/>
  <c r="C31" i="58"/>
  <c r="I29" i="58"/>
  <c r="I32" i="58" s="1"/>
  <c r="I19" i="63" s="1"/>
  <c r="X38" i="58"/>
  <c r="X40" i="58" s="1"/>
  <c r="X43" i="58" s="1"/>
  <c r="X6" i="74" s="1"/>
  <c r="L29" i="58"/>
  <c r="L32" i="58" s="1"/>
  <c r="L6" i="63" s="1"/>
  <c r="S38" i="58"/>
  <c r="S40" i="58" s="1"/>
  <c r="S43" i="58" s="1"/>
  <c r="S6" i="74" s="1"/>
  <c r="J29" i="58"/>
  <c r="J32" i="58" s="1"/>
  <c r="J6" i="63" s="1"/>
  <c r="C41" i="58"/>
  <c r="C42" i="58"/>
  <c r="Y29" i="58"/>
  <c r="Y32" i="58" s="1"/>
  <c r="Y19" i="63" s="1"/>
  <c r="Q40" i="58"/>
  <c r="Q43" i="58" s="1"/>
  <c r="Q52" i="63"/>
  <c r="Q54" i="63" s="1"/>
  <c r="C21" i="58"/>
  <c r="C18" i="58"/>
  <c r="C27" i="58"/>
  <c r="M43" i="58"/>
  <c r="M6" i="74" s="1"/>
  <c r="AE29" i="58"/>
  <c r="V32" i="58"/>
  <c r="V19" i="63" s="1"/>
  <c r="P32" i="58"/>
  <c r="P6" i="63" s="1"/>
  <c r="W43" i="58"/>
  <c r="W6" i="74" s="1"/>
  <c r="AC32" i="58"/>
  <c r="AC6" i="63" s="1"/>
  <c r="R43" i="58"/>
  <c r="R6" i="74" s="1"/>
  <c r="AO32" i="58"/>
  <c r="AO6" i="63" s="1"/>
  <c r="AC43" i="58"/>
  <c r="AC6" i="74" s="1"/>
  <c r="S32" i="58"/>
  <c r="S6" i="63" s="1"/>
  <c r="V43" i="58"/>
  <c r="V6" i="74" s="1"/>
  <c r="H17" i="56"/>
  <c r="G17" i="56"/>
  <c r="G25" i="62" s="1"/>
  <c r="I17" i="74"/>
  <c r="I15" i="74"/>
  <c r="G54" i="63"/>
  <c r="C51" i="63"/>
  <c r="K236" i="54"/>
  <c r="K42" i="73"/>
  <c r="AP6" i="63"/>
  <c r="AP19" i="63"/>
  <c r="K93" i="54"/>
  <c r="K49" i="69"/>
  <c r="K73" i="68"/>
  <c r="K48" i="64"/>
  <c r="AM6" i="63"/>
  <c r="AM19" i="63"/>
  <c r="Q127" i="54"/>
  <c r="Q34" i="72"/>
  <c r="U19" i="63"/>
  <c r="U6" i="63"/>
  <c r="K240" i="54"/>
  <c r="K46" i="73"/>
  <c r="C35" i="63"/>
  <c r="D8" i="74"/>
  <c r="X19" i="63"/>
  <c r="X6" i="63"/>
  <c r="AD32" i="58"/>
  <c r="D40" i="58"/>
  <c r="K19" i="63"/>
  <c r="K6" i="63"/>
  <c r="AB6" i="63"/>
  <c r="AB19" i="63"/>
  <c r="H21" i="74"/>
  <c r="D3" i="62"/>
  <c r="AF19" i="63"/>
  <c r="AF6" i="63"/>
  <c r="G15" i="74"/>
  <c r="AI19" i="63"/>
  <c r="AI6" i="63"/>
  <c r="K30" i="69"/>
  <c r="K17" i="69"/>
  <c r="K43" i="69"/>
  <c r="L4" i="69"/>
  <c r="AD43" i="58"/>
  <c r="AD6" i="74" s="1"/>
  <c r="J28" i="73"/>
  <c r="J40" i="73"/>
  <c r="J16" i="73"/>
  <c r="K4" i="73"/>
  <c r="D11" i="74"/>
  <c r="C11" i="74" s="1"/>
  <c r="C12" i="74"/>
  <c r="Q32" i="58"/>
  <c r="N125" i="54"/>
  <c r="N32" i="72"/>
  <c r="N35" i="72" s="1"/>
  <c r="G16" i="64"/>
  <c r="G8" i="74" s="1"/>
  <c r="G7" i="74" s="1"/>
  <c r="E19" i="63"/>
  <c r="E6" i="63"/>
  <c r="D52" i="63"/>
  <c r="R32" i="58"/>
  <c r="N90" i="54"/>
  <c r="N46" i="69"/>
  <c r="N70" i="68"/>
  <c r="AA19" i="63"/>
  <c r="AA6" i="63"/>
  <c r="F13" i="64"/>
  <c r="J67" i="68"/>
  <c r="J41" i="68"/>
  <c r="K4" i="68"/>
  <c r="J54" i="68"/>
  <c r="G19" i="63"/>
  <c r="G6" i="63"/>
  <c r="L237" i="54"/>
  <c r="L43" i="73"/>
  <c r="F15" i="64"/>
  <c r="O45" i="73"/>
  <c r="O239" i="54"/>
  <c r="M32" i="58"/>
  <c r="Q60" i="54"/>
  <c r="Q32" i="64"/>
  <c r="P59" i="54"/>
  <c r="P31" i="64"/>
  <c r="AL19" i="63"/>
  <c r="AL6" i="63"/>
  <c r="F14" i="64"/>
  <c r="AO43" i="58"/>
  <c r="AO6" i="74" s="1"/>
  <c r="J71" i="68"/>
  <c r="J75" i="68" s="1"/>
  <c r="J91" i="54"/>
  <c r="J47" i="69"/>
  <c r="J51" i="69" s="1"/>
  <c r="T19" i="63"/>
  <c r="T6" i="63"/>
  <c r="K44" i="69"/>
  <c r="K88" i="54"/>
  <c r="K68" i="68"/>
  <c r="K31" i="72"/>
  <c r="K22" i="72"/>
  <c r="K13" i="72"/>
  <c r="L4" i="72"/>
  <c r="AJ6" i="63"/>
  <c r="AJ19" i="63"/>
  <c r="F19" i="63"/>
  <c r="F6" i="63"/>
  <c r="J47" i="73"/>
  <c r="AG6" i="63"/>
  <c r="AG19" i="63"/>
  <c r="Z19" i="63"/>
  <c r="Z6" i="63"/>
  <c r="K45" i="69"/>
  <c r="K69" i="68"/>
  <c r="K89" i="54"/>
  <c r="H32" i="58"/>
  <c r="K41" i="73"/>
  <c r="K235" i="54"/>
  <c r="Q58" i="54"/>
  <c r="Q30" i="64"/>
  <c r="N32" i="58"/>
  <c r="I32" i="63"/>
  <c r="I48" i="63"/>
  <c r="AK19" i="63"/>
  <c r="AK6" i="63"/>
  <c r="H43" i="58"/>
  <c r="H6" i="74" s="1"/>
  <c r="P33" i="64"/>
  <c r="P9" i="74" s="1"/>
  <c r="J50" i="69"/>
  <c r="J94" i="54"/>
  <c r="J74" i="68"/>
  <c r="J49" i="64"/>
  <c r="J50" i="64" s="1"/>
  <c r="N43" i="58"/>
  <c r="N6" i="74" s="1"/>
  <c r="K92" i="54"/>
  <c r="K72" i="68"/>
  <c r="K48" i="69"/>
  <c r="K47" i="64"/>
  <c r="H9" i="64"/>
  <c r="H14" i="64" s="1"/>
  <c r="H8" i="64"/>
  <c r="H13" i="64" s="1"/>
  <c r="H10" i="64"/>
  <c r="H15" i="64" s="1"/>
  <c r="D32" i="58"/>
  <c r="P126" i="54"/>
  <c r="P33" i="72"/>
  <c r="AH32" i="58"/>
  <c r="E20" i="57"/>
  <c r="E21" i="57" s="1"/>
  <c r="C5" i="74"/>
  <c r="P43" i="58"/>
  <c r="P6" i="74" s="1"/>
  <c r="AN19" i="63"/>
  <c r="AN6" i="63"/>
  <c r="W32" i="58"/>
  <c r="AE43" i="58"/>
  <c r="AE6" i="74" s="1"/>
  <c r="N238" i="54"/>
  <c r="N44" i="73"/>
  <c r="L19" i="63" l="1"/>
  <c r="L19" i="47"/>
  <c r="L18" i="36" s="1"/>
  <c r="L48" i="41"/>
  <c r="L25" i="47"/>
  <c r="L19" i="36" s="1"/>
  <c r="N66" i="40"/>
  <c r="N72" i="40"/>
  <c r="N78" i="40"/>
  <c r="M46" i="41"/>
  <c r="M45" i="41" s="1"/>
  <c r="M47" i="41" s="1"/>
  <c r="J18" i="36"/>
  <c r="I16" i="33"/>
  <c r="I51" i="41"/>
  <c r="J49" i="41"/>
  <c r="J14" i="33"/>
  <c r="J19" i="36"/>
  <c r="K14" i="33"/>
  <c r="K49" i="41"/>
  <c r="O19" i="63"/>
  <c r="K7" i="50"/>
  <c r="K5" i="42"/>
  <c r="L13" i="44"/>
  <c r="L6" i="42" s="1"/>
  <c r="L19" i="44"/>
  <c r="L7" i="42" s="1"/>
  <c r="L25" i="45"/>
  <c r="L40" i="43" s="1"/>
  <c r="L31" i="45"/>
  <c r="L41" i="43" s="1"/>
  <c r="L37" i="45"/>
  <c r="L42" i="43" s="1"/>
  <c r="L7" i="44"/>
  <c r="L13" i="45"/>
  <c r="L6" i="43" s="1"/>
  <c r="L19" i="45"/>
  <c r="L7" i="43" s="1"/>
  <c r="L7" i="45"/>
  <c r="L5" i="43" s="1"/>
  <c r="L22" i="10"/>
  <c r="M23" i="10"/>
  <c r="O59" i="40"/>
  <c r="O29" i="40"/>
  <c r="O23" i="40"/>
  <c r="P11" i="40"/>
  <c r="O17" i="40"/>
  <c r="N5" i="4" s="1"/>
  <c r="N5" i="61" s="1"/>
  <c r="O35" i="40"/>
  <c r="M53" i="40"/>
  <c r="M47" i="40"/>
  <c r="L13" i="4" s="1"/>
  <c r="N41" i="40"/>
  <c r="I6" i="63"/>
  <c r="I36" i="63" s="1"/>
  <c r="I38" i="63" s="1"/>
  <c r="G25" i="74"/>
  <c r="I50" i="63"/>
  <c r="I55" i="63" s="1"/>
  <c r="J21" i="61"/>
  <c r="J23" i="61" s="1"/>
  <c r="J15" i="61"/>
  <c r="J49" i="63" s="1"/>
  <c r="J50" i="63" s="1"/>
  <c r="J55" i="63" s="1"/>
  <c r="I7" i="63"/>
  <c r="I33" i="63" s="1"/>
  <c r="I34" i="63" s="1"/>
  <c r="I21" i="63"/>
  <c r="L13" i="61"/>
  <c r="K7" i="61"/>
  <c r="C38" i="58"/>
  <c r="J19" i="63"/>
  <c r="C29" i="58"/>
  <c r="Y6" i="63"/>
  <c r="Y36" i="63" s="1"/>
  <c r="Y38" i="63" s="1"/>
  <c r="P19" i="63"/>
  <c r="C40" i="58"/>
  <c r="AE32" i="58"/>
  <c r="AE19" i="63" s="1"/>
  <c r="AC19" i="63"/>
  <c r="Q6" i="74"/>
  <c r="V6" i="63"/>
  <c r="V36" i="63" s="1"/>
  <c r="V38" i="63" s="1"/>
  <c r="AO19" i="63"/>
  <c r="S19" i="63"/>
  <c r="H25" i="62"/>
  <c r="H20" i="56"/>
  <c r="G20" i="56"/>
  <c r="C17" i="56"/>
  <c r="J10" i="74"/>
  <c r="J17" i="74"/>
  <c r="J16" i="74"/>
  <c r="O46" i="69"/>
  <c r="O90" i="54"/>
  <c r="O70" i="68"/>
  <c r="L92" i="54"/>
  <c r="L72" i="68"/>
  <c r="L48" i="69"/>
  <c r="L47" i="64"/>
  <c r="H19" i="63"/>
  <c r="H6" i="63"/>
  <c r="F36" i="63"/>
  <c r="F38" i="63" s="1"/>
  <c r="F39" i="63" s="1"/>
  <c r="F9" i="63"/>
  <c r="R6" i="63"/>
  <c r="R19" i="63"/>
  <c r="N22" i="74"/>
  <c r="AI36" i="63"/>
  <c r="AI38" i="63" s="1"/>
  <c r="O36" i="63"/>
  <c r="O38" i="63" s="1"/>
  <c r="AB36" i="63"/>
  <c r="AB38" i="63" s="1"/>
  <c r="K47" i="73"/>
  <c r="K23" i="74" s="1"/>
  <c r="K21" i="74" s="1"/>
  <c r="L36" i="63"/>
  <c r="L38" i="63" s="1"/>
  <c r="M6" i="63"/>
  <c r="M19" i="63"/>
  <c r="L73" i="68"/>
  <c r="L93" i="54"/>
  <c r="L49" i="69"/>
  <c r="L48" i="64"/>
  <c r="Q33" i="72"/>
  <c r="Q126" i="54"/>
  <c r="D19" i="63"/>
  <c r="D6" i="63"/>
  <c r="L89" i="54"/>
  <c r="L45" i="69"/>
  <c r="L69" i="68"/>
  <c r="P239" i="54"/>
  <c r="P45" i="73"/>
  <c r="O32" i="72"/>
  <c r="O125" i="54"/>
  <c r="K36" i="63"/>
  <c r="K38" i="63" s="1"/>
  <c r="L240" i="54"/>
  <c r="L46" i="73"/>
  <c r="AP36" i="63"/>
  <c r="AP38" i="63" s="1"/>
  <c r="AN36" i="63"/>
  <c r="AN38" i="63" s="1"/>
  <c r="C52" i="63"/>
  <c r="D54" i="63"/>
  <c r="Q19" i="63"/>
  <c r="Q6" i="63"/>
  <c r="K40" i="73"/>
  <c r="L4" i="73"/>
  <c r="K16" i="73"/>
  <c r="K28" i="73"/>
  <c r="AD6" i="63"/>
  <c r="AD19" i="63"/>
  <c r="AK36" i="63"/>
  <c r="AK38" i="63" s="1"/>
  <c r="L235" i="54"/>
  <c r="L41" i="73"/>
  <c r="L47" i="73" s="1"/>
  <c r="L23" i="74" s="1"/>
  <c r="L21" i="74" s="1"/>
  <c r="K91" i="54"/>
  <c r="K47" i="69"/>
  <c r="K71" i="68"/>
  <c r="AJ36" i="63"/>
  <c r="AJ38" i="63" s="1"/>
  <c r="L236" i="54"/>
  <c r="L42" i="73"/>
  <c r="AL36" i="63"/>
  <c r="AL38" i="63" s="1"/>
  <c r="R127" i="54"/>
  <c r="R34" i="72"/>
  <c r="U36" i="63"/>
  <c r="U38" i="63" s="1"/>
  <c r="C12" i="54"/>
  <c r="C17" i="54" s="1"/>
  <c r="D7" i="57"/>
  <c r="E7" i="57" s="1"/>
  <c r="D4" i="57"/>
  <c r="E4" i="57" s="1"/>
  <c r="F4" i="57" s="1"/>
  <c r="G4" i="57" s="1"/>
  <c r="H4" i="57" s="1"/>
  <c r="D8" i="57"/>
  <c r="E8" i="57" s="1"/>
  <c r="D5" i="57"/>
  <c r="E5" i="57" s="1"/>
  <c r="D6" i="57"/>
  <c r="E6" i="57" s="1"/>
  <c r="M237" i="54"/>
  <c r="M43" i="73"/>
  <c r="P36" i="63"/>
  <c r="P38" i="63" s="1"/>
  <c r="AG36" i="63"/>
  <c r="AG38" i="63" s="1"/>
  <c r="F16" i="64"/>
  <c r="L30" i="69"/>
  <c r="L17" i="69"/>
  <c r="L43" i="69"/>
  <c r="M4" i="69"/>
  <c r="AF36" i="63"/>
  <c r="AF38" i="63" s="1"/>
  <c r="O238" i="54"/>
  <c r="O44" i="73"/>
  <c r="I8" i="64"/>
  <c r="I13" i="64" s="1"/>
  <c r="I10" i="64"/>
  <c r="I9" i="64"/>
  <c r="M4" i="72"/>
  <c r="L31" i="72"/>
  <c r="L13" i="72"/>
  <c r="L22" i="72"/>
  <c r="AC36" i="63"/>
  <c r="AC38" i="63" s="1"/>
  <c r="G36" i="63"/>
  <c r="G38" i="63" s="1"/>
  <c r="G9" i="63"/>
  <c r="X36" i="63"/>
  <c r="X38" i="63" s="1"/>
  <c r="L44" i="69"/>
  <c r="L88" i="54"/>
  <c r="L68" i="68"/>
  <c r="E36" i="63"/>
  <c r="E38" i="63" s="1"/>
  <c r="E39" i="63" s="1"/>
  <c r="E9" i="63"/>
  <c r="Z36" i="63"/>
  <c r="Z38" i="63" s="1"/>
  <c r="G48" i="63"/>
  <c r="G32" i="63"/>
  <c r="C25" i="62"/>
  <c r="W19" i="63"/>
  <c r="W6" i="63"/>
  <c r="H16" i="64"/>
  <c r="H8" i="74" s="1"/>
  <c r="H7" i="74" s="1"/>
  <c r="H25" i="74" s="1"/>
  <c r="N6" i="63"/>
  <c r="N19" i="63"/>
  <c r="J23" i="74"/>
  <c r="J21" i="74" s="1"/>
  <c r="T36" i="63"/>
  <c r="T38" i="63" s="1"/>
  <c r="Q59" i="54"/>
  <c r="Q31" i="64"/>
  <c r="AA36" i="63"/>
  <c r="AA38" i="63" s="1"/>
  <c r="AM36" i="63"/>
  <c r="AM38" i="63" s="1"/>
  <c r="K50" i="69"/>
  <c r="K51" i="69" s="1"/>
  <c r="K17" i="74" s="1"/>
  <c r="K94" i="54"/>
  <c r="K74" i="68"/>
  <c r="K75" i="68" s="1"/>
  <c r="K49" i="64"/>
  <c r="K50" i="64" s="1"/>
  <c r="AO36" i="63"/>
  <c r="AO38" i="63" s="1"/>
  <c r="R60" i="54"/>
  <c r="R32" i="64"/>
  <c r="D43" i="58"/>
  <c r="C43" i="58" s="1"/>
  <c r="S36" i="63"/>
  <c r="S38" i="63" s="1"/>
  <c r="Q33" i="64"/>
  <c r="AH6" i="63"/>
  <c r="AH19" i="63"/>
  <c r="R58" i="54"/>
  <c r="R30" i="64"/>
  <c r="K54" i="68"/>
  <c r="K41" i="68"/>
  <c r="L4" i="68"/>
  <c r="K67" i="68"/>
  <c r="J36" i="63"/>
  <c r="J38" i="63" s="1"/>
  <c r="D7" i="74"/>
  <c r="M25" i="47" l="1"/>
  <c r="M19" i="36" s="1"/>
  <c r="M48" i="41"/>
  <c r="M19" i="47"/>
  <c r="M18" i="36" s="1"/>
  <c r="J15" i="33"/>
  <c r="J50" i="41"/>
  <c r="K50" i="41"/>
  <c r="K15" i="33"/>
  <c r="L49" i="41"/>
  <c r="L14" i="33"/>
  <c r="O66" i="40"/>
  <c r="N23" i="10" s="1"/>
  <c r="O72" i="40"/>
  <c r="O78" i="40"/>
  <c r="N46" i="41"/>
  <c r="N45" i="41" s="1"/>
  <c r="N47" i="41" s="1"/>
  <c r="I9" i="63"/>
  <c r="M13" i="44"/>
  <c r="M6" i="42" s="1"/>
  <c r="M19" i="44"/>
  <c r="M7" i="42" s="1"/>
  <c r="M25" i="45"/>
  <c r="M40" i="43" s="1"/>
  <c r="M37" i="45"/>
  <c r="M42" i="43" s="1"/>
  <c r="M31" i="45"/>
  <c r="M41" i="43" s="1"/>
  <c r="M7" i="44"/>
  <c r="L7" i="50"/>
  <c r="L5" i="35" s="1"/>
  <c r="L5" i="42"/>
  <c r="M13" i="45"/>
  <c r="M6" i="43" s="1"/>
  <c r="M19" i="45"/>
  <c r="M7" i="43" s="1"/>
  <c r="M7" i="45"/>
  <c r="M22" i="10"/>
  <c r="K5" i="35"/>
  <c r="P23" i="40"/>
  <c r="P17" i="40"/>
  <c r="O5" i="4" s="1"/>
  <c r="O5" i="61" s="1"/>
  <c r="P35" i="40"/>
  <c r="Q11" i="40"/>
  <c r="P59" i="40"/>
  <c r="P29" i="40"/>
  <c r="O41" i="40"/>
  <c r="N47" i="40"/>
  <c r="M13" i="4" s="1"/>
  <c r="N53" i="40"/>
  <c r="L7" i="61"/>
  <c r="M13" i="61"/>
  <c r="J21" i="63"/>
  <c r="J7" i="63"/>
  <c r="K21" i="61"/>
  <c r="K23" i="61" s="1"/>
  <c r="K21" i="63" s="1"/>
  <c r="K15" i="61"/>
  <c r="K49" i="63" s="1"/>
  <c r="K50" i="63" s="1"/>
  <c r="K55" i="63" s="1"/>
  <c r="C32" i="58"/>
  <c r="C6" i="62" s="1"/>
  <c r="AE6" i="63"/>
  <c r="C6" i="63" s="1"/>
  <c r="C20" i="56"/>
  <c r="H32" i="63"/>
  <c r="H34" i="63" s="1"/>
  <c r="H48" i="63"/>
  <c r="H50" i="63" s="1"/>
  <c r="H55" i="63" s="1"/>
  <c r="K10" i="74"/>
  <c r="K16" i="74"/>
  <c r="K15" i="74" s="1"/>
  <c r="S34" i="72"/>
  <c r="S127" i="54"/>
  <c r="P125" i="54"/>
  <c r="P32" i="72"/>
  <c r="P35" i="72" s="1"/>
  <c r="P22" i="74" s="1"/>
  <c r="L50" i="64"/>
  <c r="L10" i="74" s="1"/>
  <c r="D6" i="74"/>
  <c r="M17" i="69"/>
  <c r="N4" i="69"/>
  <c r="M43" i="69"/>
  <c r="M30" i="69"/>
  <c r="M48" i="64"/>
  <c r="M93" i="54"/>
  <c r="M73" i="68"/>
  <c r="M49" i="69"/>
  <c r="M72" i="68"/>
  <c r="M92" i="54"/>
  <c r="M47" i="64"/>
  <c r="M48" i="69"/>
  <c r="W36" i="63"/>
  <c r="W38" i="63" s="1"/>
  <c r="F8" i="57"/>
  <c r="G8" i="57" s="1"/>
  <c r="H8" i="57" s="1"/>
  <c r="I8" i="57" s="1"/>
  <c r="M8" i="57"/>
  <c r="AD36" i="63"/>
  <c r="AD38" i="63" s="1"/>
  <c r="Q45" i="73"/>
  <c r="Q239" i="54"/>
  <c r="P46" i="69"/>
  <c r="P90" i="54"/>
  <c r="P70" i="68"/>
  <c r="M41" i="73"/>
  <c r="M235" i="54"/>
  <c r="L74" i="68"/>
  <c r="L49" i="64"/>
  <c r="L94" i="54"/>
  <c r="L50" i="69"/>
  <c r="M44" i="69"/>
  <c r="M88" i="54"/>
  <c r="M68" i="68"/>
  <c r="N4" i="72"/>
  <c r="M13" i="72"/>
  <c r="M31" i="72"/>
  <c r="M22" i="72"/>
  <c r="M5" i="57"/>
  <c r="F5" i="57"/>
  <c r="G5" i="57" s="1"/>
  <c r="H5" i="57" s="1"/>
  <c r="I5" i="57" s="1"/>
  <c r="I14" i="64"/>
  <c r="I4" i="57"/>
  <c r="I39" i="63"/>
  <c r="M36" i="63"/>
  <c r="M38" i="63" s="1"/>
  <c r="R36" i="63"/>
  <c r="R38" i="63" s="1"/>
  <c r="M6" i="57"/>
  <c r="F6" i="57"/>
  <c r="G6" i="57" s="1"/>
  <c r="H6" i="57" s="1"/>
  <c r="I6" i="57" s="1"/>
  <c r="S30" i="64"/>
  <c r="S58" i="54"/>
  <c r="F7" i="57"/>
  <c r="G7" i="57" s="1"/>
  <c r="H7" i="57" s="1"/>
  <c r="I7" i="57" s="1"/>
  <c r="M7" i="57"/>
  <c r="M45" i="69"/>
  <c r="M89" i="54"/>
  <c r="M69" i="68"/>
  <c r="J15" i="74"/>
  <c r="S60" i="54"/>
  <c r="S32" i="64"/>
  <c r="G50" i="63"/>
  <c r="C48" i="63"/>
  <c r="O35" i="72"/>
  <c r="L54" i="68"/>
  <c r="L41" i="68"/>
  <c r="L67" i="68"/>
  <c r="M4" i="68"/>
  <c r="G34" i="63"/>
  <c r="C32" i="63"/>
  <c r="Q9" i="74"/>
  <c r="M46" i="73"/>
  <c r="M240" i="54"/>
  <c r="D36" i="63"/>
  <c r="D9" i="63"/>
  <c r="N36" i="63"/>
  <c r="N38" i="63" s="1"/>
  <c r="F8" i="74"/>
  <c r="M42" i="73"/>
  <c r="M236" i="54"/>
  <c r="R59" i="54"/>
  <c r="R31" i="64"/>
  <c r="R33" i="64" s="1"/>
  <c r="C54" i="63"/>
  <c r="D55" i="63"/>
  <c r="C19" i="63"/>
  <c r="H36" i="63"/>
  <c r="H38" i="63" s="1"/>
  <c r="H9" i="63"/>
  <c r="N237" i="54"/>
  <c r="N43" i="73"/>
  <c r="I15" i="64"/>
  <c r="L40" i="73"/>
  <c r="M4" i="73"/>
  <c r="L28" i="73"/>
  <c r="L16" i="73"/>
  <c r="AH36" i="63"/>
  <c r="AH38" i="63" s="1"/>
  <c r="J8" i="64"/>
  <c r="J13" i="64" s="1"/>
  <c r="J10" i="64"/>
  <c r="J15" i="64" s="1"/>
  <c r="J9" i="64"/>
  <c r="J14" i="64" s="1"/>
  <c r="Q36" i="63"/>
  <c r="Q38" i="63" s="1"/>
  <c r="P238" i="54"/>
  <c r="P44" i="73"/>
  <c r="L91" i="54"/>
  <c r="L47" i="69"/>
  <c r="L51" i="69" s="1"/>
  <c r="L17" i="74" s="1"/>
  <c r="L71" i="68"/>
  <c r="L75" i="68" s="1"/>
  <c r="L16" i="74" s="1"/>
  <c r="R126" i="54"/>
  <c r="R33" i="72"/>
  <c r="L50" i="41" l="1"/>
  <c r="L15" i="33"/>
  <c r="K16" i="33"/>
  <c r="K51" i="41"/>
  <c r="J16" i="33"/>
  <c r="J51" i="41"/>
  <c r="P41" i="40"/>
  <c r="P66" i="40"/>
  <c r="O23" i="10" s="1"/>
  <c r="P72" i="40"/>
  <c r="P78" i="40"/>
  <c r="O46" i="41"/>
  <c r="O45" i="41" s="1"/>
  <c r="O47" i="41" s="1"/>
  <c r="M14" i="33"/>
  <c r="M49" i="41"/>
  <c r="N25" i="47"/>
  <c r="N19" i="36" s="1"/>
  <c r="N48" i="41"/>
  <c r="N19" i="47"/>
  <c r="N18" i="36" s="1"/>
  <c r="M5" i="43"/>
  <c r="N13" i="45"/>
  <c r="N6" i="43" s="1"/>
  <c r="N19" i="45"/>
  <c r="N7" i="43" s="1"/>
  <c r="N7" i="45"/>
  <c r="N5" i="43" s="1"/>
  <c r="N22" i="10"/>
  <c r="N7" i="44"/>
  <c r="N13" i="44"/>
  <c r="N6" i="42" s="1"/>
  <c r="N19" i="44"/>
  <c r="N7" i="42" s="1"/>
  <c r="N37" i="45"/>
  <c r="N42" i="43" s="1"/>
  <c r="N25" i="45"/>
  <c r="N40" i="43" s="1"/>
  <c r="N31" i="45"/>
  <c r="N41" i="43" s="1"/>
  <c r="M7" i="50"/>
  <c r="M5" i="42"/>
  <c r="P53" i="40"/>
  <c r="Q17" i="40"/>
  <c r="P5" i="4" s="1"/>
  <c r="P5" i="61" s="1"/>
  <c r="R11" i="40"/>
  <c r="Q59" i="40"/>
  <c r="Q29" i="40"/>
  <c r="Q23" i="40"/>
  <c r="Q35" i="40"/>
  <c r="O53" i="40"/>
  <c r="O47" i="40"/>
  <c r="N13" i="4" s="1"/>
  <c r="I16" i="64"/>
  <c r="K7" i="63"/>
  <c r="H39" i="63"/>
  <c r="L15" i="61"/>
  <c r="L49" i="63" s="1"/>
  <c r="L50" i="63" s="1"/>
  <c r="L55" i="63" s="1"/>
  <c r="L21" i="61"/>
  <c r="L23" i="61" s="1"/>
  <c r="N13" i="61"/>
  <c r="M7" i="61"/>
  <c r="J33" i="63"/>
  <c r="J34" i="63" s="1"/>
  <c r="J39" i="63" s="1"/>
  <c r="J9" i="63"/>
  <c r="AE36" i="63"/>
  <c r="AE38" i="63" s="1"/>
  <c r="I9" i="57"/>
  <c r="AP24" i="74" s="1"/>
  <c r="C24" i="74" s="1"/>
  <c r="R9" i="74"/>
  <c r="L15" i="74"/>
  <c r="D38" i="63"/>
  <c r="S126" i="54"/>
  <c r="S33" i="72"/>
  <c r="J16" i="64"/>
  <c r="J8" i="74" s="1"/>
  <c r="J7" i="74" s="1"/>
  <c r="J25" i="74" s="1"/>
  <c r="D56" i="63"/>
  <c r="E56" i="63" s="1"/>
  <c r="F56" i="63" s="1"/>
  <c r="D58" i="63"/>
  <c r="E58" i="63" s="1"/>
  <c r="F58" i="63" s="1"/>
  <c r="N46" i="73"/>
  <c r="N240" i="54"/>
  <c r="O22" i="74"/>
  <c r="O4" i="72"/>
  <c r="N31" i="72"/>
  <c r="N22" i="72"/>
  <c r="N13" i="72"/>
  <c r="N92" i="54"/>
  <c r="N48" i="69"/>
  <c r="N72" i="68"/>
  <c r="N47" i="64"/>
  <c r="N45" i="69"/>
  <c r="N89" i="54"/>
  <c r="N69" i="68"/>
  <c r="R239" i="54"/>
  <c r="R45" i="73"/>
  <c r="Q125" i="54"/>
  <c r="Q32" i="72"/>
  <c r="Q35" i="72" s="1"/>
  <c r="Q22" i="74" s="1"/>
  <c r="N68" i="68"/>
  <c r="N88" i="54"/>
  <c r="N44" i="69"/>
  <c r="T127" i="54"/>
  <c r="T34" i="72"/>
  <c r="Q46" i="69"/>
  <c r="Q90" i="54"/>
  <c r="Q70" i="68"/>
  <c r="N93" i="54"/>
  <c r="N48" i="64"/>
  <c r="N49" i="69"/>
  <c r="N73" i="68"/>
  <c r="Q44" i="73"/>
  <c r="Q238" i="54"/>
  <c r="N236" i="54"/>
  <c r="N42" i="73"/>
  <c r="T58" i="54"/>
  <c r="T30" i="64"/>
  <c r="H9" i="57"/>
  <c r="AP8" i="63" s="1"/>
  <c r="M28" i="73"/>
  <c r="M40" i="73"/>
  <c r="N4" i="73"/>
  <c r="M16" i="73"/>
  <c r="T60" i="54"/>
  <c r="T32" i="64"/>
  <c r="S33" i="64"/>
  <c r="S9" i="74" s="1"/>
  <c r="K9" i="64"/>
  <c r="K14" i="64" s="1"/>
  <c r="K10" i="64"/>
  <c r="K15" i="64" s="1"/>
  <c r="K8" i="64"/>
  <c r="K13" i="64" s="1"/>
  <c r="G55" i="63"/>
  <c r="N17" i="69"/>
  <c r="O4" i="69"/>
  <c r="N43" i="69"/>
  <c r="N30" i="69"/>
  <c r="D6" i="62"/>
  <c r="M91" i="54"/>
  <c r="M47" i="69"/>
  <c r="M51" i="69" s="1"/>
  <c r="M17" i="74" s="1"/>
  <c r="M71" i="68"/>
  <c r="M75" i="68" s="1"/>
  <c r="M16" i="74" s="1"/>
  <c r="M67" i="68"/>
  <c r="M54" i="68"/>
  <c r="M41" i="68"/>
  <c r="N4" i="68"/>
  <c r="G39" i="63"/>
  <c r="O43" i="73"/>
  <c r="O237" i="54"/>
  <c r="N235" i="54"/>
  <c r="N41" i="73"/>
  <c r="S59" i="54"/>
  <c r="S31" i="64"/>
  <c r="M49" i="64"/>
  <c r="M50" i="64" s="1"/>
  <c r="M10" i="74" s="1"/>
  <c r="M94" i="54"/>
  <c r="M74" i="68"/>
  <c r="M50" i="69"/>
  <c r="F7" i="74"/>
  <c r="K33" i="63"/>
  <c r="K9" i="63"/>
  <c r="M47" i="73"/>
  <c r="M23" i="74" s="1"/>
  <c r="M21" i="74" s="1"/>
  <c r="C6" i="74"/>
  <c r="D25" i="74"/>
  <c r="Q41" i="40" l="1"/>
  <c r="Q66" i="40"/>
  <c r="Q72" i="40"/>
  <c r="Q78" i="40"/>
  <c r="P46" i="41"/>
  <c r="P45" i="41" s="1"/>
  <c r="P47" i="41" s="1"/>
  <c r="M50" i="41"/>
  <c r="M15" i="33"/>
  <c r="O48" i="41"/>
  <c r="O25" i="47"/>
  <c r="O19" i="36" s="1"/>
  <c r="O19" i="47"/>
  <c r="O18" i="36" s="1"/>
  <c r="P47" i="40"/>
  <c r="O13" i="4" s="1"/>
  <c r="N49" i="41"/>
  <c r="N14" i="33"/>
  <c r="L16" i="33"/>
  <c r="L51" i="41"/>
  <c r="I8" i="74"/>
  <c r="I7" i="74" s="1"/>
  <c r="I25" i="74" s="1"/>
  <c r="M5" i="35"/>
  <c r="N7" i="50"/>
  <c r="N5" i="35" s="1"/>
  <c r="N5" i="42"/>
  <c r="O13" i="45"/>
  <c r="O6" i="43" s="1"/>
  <c r="O19" i="45"/>
  <c r="O7" i="43" s="1"/>
  <c r="O7" i="45"/>
  <c r="O5" i="43" s="1"/>
  <c r="O22" i="10"/>
  <c r="O7" i="44"/>
  <c r="O13" i="44"/>
  <c r="O6" i="42" s="1"/>
  <c r="O19" i="44"/>
  <c r="O7" i="42" s="1"/>
  <c r="O25" i="45"/>
  <c r="O40" i="43" s="1"/>
  <c r="O31" i="45"/>
  <c r="O41" i="43" s="1"/>
  <c r="O37" i="45"/>
  <c r="O42" i="43" s="1"/>
  <c r="S11" i="40"/>
  <c r="R35" i="40"/>
  <c r="R59" i="40"/>
  <c r="R29" i="40"/>
  <c r="R23" i="40"/>
  <c r="R17" i="40"/>
  <c r="Q5" i="4" s="1"/>
  <c r="Q5" i="61" s="1"/>
  <c r="P23" i="10"/>
  <c r="Q47" i="40"/>
  <c r="P13" i="4" s="1"/>
  <c r="Q53" i="40"/>
  <c r="N7" i="61"/>
  <c r="O13" i="61"/>
  <c r="L21" i="63"/>
  <c r="L7" i="63"/>
  <c r="M21" i="61"/>
  <c r="M23" i="61" s="1"/>
  <c r="M15" i="61"/>
  <c r="M49" i="63" s="1"/>
  <c r="M50" i="63" s="1"/>
  <c r="M55" i="63" s="1"/>
  <c r="K16" i="64"/>
  <c r="K8" i="74" s="1"/>
  <c r="K7" i="74" s="1"/>
  <c r="K25" i="74" s="1"/>
  <c r="C36" i="63"/>
  <c r="M15" i="74"/>
  <c r="O45" i="69"/>
  <c r="O89" i="54"/>
  <c r="O69" i="68"/>
  <c r="K34" i="63"/>
  <c r="N47" i="69"/>
  <c r="N51" i="69" s="1"/>
  <c r="N17" i="74" s="1"/>
  <c r="N71" i="68"/>
  <c r="N91" i="54"/>
  <c r="U58" i="54"/>
  <c r="U30" i="64"/>
  <c r="G58" i="63"/>
  <c r="H58" i="63" s="1"/>
  <c r="I58" i="63" s="1"/>
  <c r="J58" i="63" s="1"/>
  <c r="K58" i="63" s="1"/>
  <c r="L58" i="63" s="1"/>
  <c r="O235" i="54"/>
  <c r="O41" i="73"/>
  <c r="O47" i="73" s="1"/>
  <c r="O23" i="74" s="1"/>
  <c r="O21" i="74" s="1"/>
  <c r="F25" i="74"/>
  <c r="P237" i="54"/>
  <c r="P43" i="73"/>
  <c r="O88" i="54"/>
  <c r="O44" i="69"/>
  <c r="O68" i="68"/>
  <c r="G56" i="63"/>
  <c r="H56" i="63" s="1"/>
  <c r="I56" i="63" s="1"/>
  <c r="J56" i="63" s="1"/>
  <c r="K56" i="63" s="1"/>
  <c r="L56" i="63" s="1"/>
  <c r="U127" i="54"/>
  <c r="U34" i="72"/>
  <c r="O42" i="73"/>
  <c r="O236" i="54"/>
  <c r="O48" i="69"/>
  <c r="O92" i="54"/>
  <c r="O72" i="68"/>
  <c r="O47" i="64"/>
  <c r="U32" i="64"/>
  <c r="U60" i="54"/>
  <c r="L9" i="64"/>
  <c r="L8" i="64"/>
  <c r="L13" i="64" s="1"/>
  <c r="L10" i="64"/>
  <c r="L15" i="64" s="1"/>
  <c r="T126" i="54"/>
  <c r="T33" i="72"/>
  <c r="P4" i="69"/>
  <c r="O43" i="69"/>
  <c r="O17" i="69"/>
  <c r="O30" i="69"/>
  <c r="C38" i="63"/>
  <c r="D39" i="63"/>
  <c r="N28" i="73"/>
  <c r="N16" i="73"/>
  <c r="N40" i="73"/>
  <c r="O4" i="73"/>
  <c r="R125" i="54"/>
  <c r="R32" i="72"/>
  <c r="R35" i="72" s="1"/>
  <c r="R22" i="74" s="1"/>
  <c r="R238" i="54"/>
  <c r="R44" i="73"/>
  <c r="T59" i="54"/>
  <c r="T31" i="64"/>
  <c r="T33" i="64" s="1"/>
  <c r="T9" i="74" s="1"/>
  <c r="N41" i="68"/>
  <c r="O4" i="68"/>
  <c r="N67" i="68"/>
  <c r="N54" i="68"/>
  <c r="O93" i="54"/>
  <c r="O73" i="68"/>
  <c r="O49" i="69"/>
  <c r="O48" i="64"/>
  <c r="P4" i="72"/>
  <c r="O31" i="72"/>
  <c r="O13" i="72"/>
  <c r="O22" i="72"/>
  <c r="N74" i="68"/>
  <c r="N75" i="68" s="1"/>
  <c r="N16" i="74" s="1"/>
  <c r="N49" i="64"/>
  <c r="N50" i="64" s="1"/>
  <c r="N10" i="74" s="1"/>
  <c r="N94" i="54"/>
  <c r="N50" i="69"/>
  <c r="S45" i="73"/>
  <c r="S239" i="54"/>
  <c r="R70" i="68"/>
  <c r="R90" i="54"/>
  <c r="R46" i="69"/>
  <c r="N47" i="73"/>
  <c r="N23" i="74" s="1"/>
  <c r="N21" i="74" s="1"/>
  <c r="C8" i="63"/>
  <c r="D4" i="62" s="1"/>
  <c r="C4" i="62"/>
  <c r="AP22" i="63"/>
  <c r="C22" i="63" s="1"/>
  <c r="O46" i="73"/>
  <c r="O240" i="54"/>
  <c r="O49" i="41" l="1"/>
  <c r="O14" i="33"/>
  <c r="N50" i="41"/>
  <c r="N16" i="33" s="1"/>
  <c r="N15" i="33"/>
  <c r="M16" i="33"/>
  <c r="M51" i="41"/>
  <c r="R41" i="40"/>
  <c r="R72" i="40"/>
  <c r="R66" i="40"/>
  <c r="Q23" i="10" s="1"/>
  <c r="R78" i="40"/>
  <c r="Q46" i="41"/>
  <c r="Q45" i="41" s="1"/>
  <c r="Q47" i="41" s="1"/>
  <c r="P19" i="47"/>
  <c r="P18" i="36" s="1"/>
  <c r="P48" i="41"/>
  <c r="P25" i="47"/>
  <c r="P19" i="36" s="1"/>
  <c r="P7" i="44"/>
  <c r="P13" i="44"/>
  <c r="P6" i="42" s="1"/>
  <c r="P31" i="45"/>
  <c r="P41" i="43" s="1"/>
  <c r="P19" i="44"/>
  <c r="P7" i="42" s="1"/>
  <c r="P25" i="45"/>
  <c r="P40" i="43" s="1"/>
  <c r="P37" i="45"/>
  <c r="P42" i="43" s="1"/>
  <c r="O7" i="50"/>
  <c r="O5" i="35" s="1"/>
  <c r="O5" i="42"/>
  <c r="P13" i="45"/>
  <c r="P6" i="43" s="1"/>
  <c r="P7" i="45"/>
  <c r="P5" i="43" s="1"/>
  <c r="P19" i="45"/>
  <c r="P7" i="43" s="1"/>
  <c r="P22" i="10"/>
  <c r="S35" i="40"/>
  <c r="S59" i="40"/>
  <c r="S29" i="40"/>
  <c r="S23" i="40"/>
  <c r="S17" i="40"/>
  <c r="R5" i="4" s="1"/>
  <c r="R5" i="61" s="1"/>
  <c r="T11" i="40"/>
  <c r="M58" i="63"/>
  <c r="M21" i="63"/>
  <c r="M7" i="63"/>
  <c r="N15" i="61"/>
  <c r="N49" i="63" s="1"/>
  <c r="N50" i="63" s="1"/>
  <c r="N55" i="63" s="1"/>
  <c r="N21" i="61"/>
  <c r="N23" i="61" s="1"/>
  <c r="L33" i="63"/>
  <c r="L34" i="63" s="1"/>
  <c r="L39" i="63" s="1"/>
  <c r="L9" i="63"/>
  <c r="M56" i="63"/>
  <c r="O7" i="61"/>
  <c r="P13" i="61"/>
  <c r="N15" i="74"/>
  <c r="D42" i="63"/>
  <c r="E42" i="63" s="1"/>
  <c r="F42" i="63" s="1"/>
  <c r="G42" i="63" s="1"/>
  <c r="H42" i="63" s="1"/>
  <c r="I42" i="63" s="1"/>
  <c r="J42" i="63" s="1"/>
  <c r="D40" i="63"/>
  <c r="E40" i="63" s="1"/>
  <c r="F40" i="63" s="1"/>
  <c r="G40" i="63" s="1"/>
  <c r="H40" i="63" s="1"/>
  <c r="I40" i="63" s="1"/>
  <c r="J40" i="63" s="1"/>
  <c r="U59" i="54"/>
  <c r="U31" i="64"/>
  <c r="U33" i="64" s="1"/>
  <c r="U9" i="74" s="1"/>
  <c r="L14" i="64"/>
  <c r="L16" i="64" s="1"/>
  <c r="O41" i="68"/>
  <c r="P4" i="68"/>
  <c r="O67" i="68"/>
  <c r="O54" i="68"/>
  <c r="O94" i="54"/>
  <c r="O74" i="68"/>
  <c r="O50" i="69"/>
  <c r="O49" i="64"/>
  <c r="O50" i="64" s="1"/>
  <c r="O10" i="74" s="1"/>
  <c r="V32" i="64"/>
  <c r="V60" i="54"/>
  <c r="S70" i="68"/>
  <c r="S90" i="54"/>
  <c r="S46" i="69"/>
  <c r="Q4" i="72"/>
  <c r="P31" i="72"/>
  <c r="P13" i="72"/>
  <c r="P22" i="72"/>
  <c r="S125" i="54"/>
  <c r="S32" i="72"/>
  <c r="S35" i="72" s="1"/>
  <c r="S22" i="74" s="1"/>
  <c r="P43" i="69"/>
  <c r="P30" i="69"/>
  <c r="P17" i="69"/>
  <c r="Q4" i="69"/>
  <c r="P235" i="54"/>
  <c r="P41" i="73"/>
  <c r="P69" i="68"/>
  <c r="P89" i="54"/>
  <c r="P45" i="69"/>
  <c r="U126" i="54"/>
  <c r="U33" i="72"/>
  <c r="S238" i="54"/>
  <c r="S44" i="73"/>
  <c r="O40" i="73"/>
  <c r="P4" i="73"/>
  <c r="O16" i="73"/>
  <c r="O28" i="73"/>
  <c r="P72" i="68"/>
  <c r="P48" i="69"/>
  <c r="P92" i="54"/>
  <c r="P47" i="64"/>
  <c r="P240" i="54"/>
  <c r="P46" i="73"/>
  <c r="T239" i="54"/>
  <c r="T45" i="73"/>
  <c r="V127" i="54"/>
  <c r="V34" i="72"/>
  <c r="P93" i="54"/>
  <c r="P73" i="68"/>
  <c r="P49" i="69"/>
  <c r="P48" i="64"/>
  <c r="P88" i="54"/>
  <c r="P68" i="68"/>
  <c r="P44" i="69"/>
  <c r="V58" i="54"/>
  <c r="V30" i="64"/>
  <c r="M10" i="64"/>
  <c r="M15" i="64" s="1"/>
  <c r="M8" i="64"/>
  <c r="M13" i="64" s="1"/>
  <c r="M9" i="64"/>
  <c r="M14" i="64" s="1"/>
  <c r="P236" i="54"/>
  <c r="P42" i="73"/>
  <c r="O47" i="69"/>
  <c r="O51" i="69" s="1"/>
  <c r="O17" i="74" s="1"/>
  <c r="O71" i="68"/>
  <c r="O75" i="68" s="1"/>
  <c r="O16" i="74" s="1"/>
  <c r="O15" i="74" s="1"/>
  <c r="O91" i="54"/>
  <c r="K39" i="63"/>
  <c r="Q237" i="54"/>
  <c r="Q43" i="73"/>
  <c r="Q48" i="41" l="1"/>
  <c r="Q25" i="47"/>
  <c r="Q19" i="36" s="1"/>
  <c r="Q19" i="47"/>
  <c r="Q18" i="36" s="1"/>
  <c r="N58" i="63"/>
  <c r="P49" i="41"/>
  <c r="P14" i="33"/>
  <c r="S41" i="40"/>
  <c r="S53" i="40" s="1"/>
  <c r="S78" i="40"/>
  <c r="S66" i="40"/>
  <c r="R23" i="10" s="1"/>
  <c r="S72" i="40"/>
  <c r="R46" i="41"/>
  <c r="R45" i="41" s="1"/>
  <c r="R47" i="41" s="1"/>
  <c r="R47" i="40"/>
  <c r="Q13" i="4" s="1"/>
  <c r="N51" i="41"/>
  <c r="N56" i="63"/>
  <c r="R53" i="40"/>
  <c r="O50" i="41"/>
  <c r="O15" i="33"/>
  <c r="Q37" i="45"/>
  <c r="Q42" i="43" s="1"/>
  <c r="Q7" i="44"/>
  <c r="Q13" i="44"/>
  <c r="Q6" i="42" s="1"/>
  <c r="Q19" i="44"/>
  <c r="Q7" i="42" s="1"/>
  <c r="Q25" i="45"/>
  <c r="Q40" i="43" s="1"/>
  <c r="Q31" i="45"/>
  <c r="Q41" i="43" s="1"/>
  <c r="Q13" i="45"/>
  <c r="Q6" i="43" s="1"/>
  <c r="Q19" i="45"/>
  <c r="Q7" i="43" s="1"/>
  <c r="Q7" i="45"/>
  <c r="Q5" i="43" s="1"/>
  <c r="Q22" i="10"/>
  <c r="P7" i="50"/>
  <c r="P5" i="35" s="1"/>
  <c r="P5" i="42"/>
  <c r="T59" i="40"/>
  <c r="T29" i="40"/>
  <c r="T23" i="40"/>
  <c r="T17" i="40"/>
  <c r="S5" i="4" s="1"/>
  <c r="S5" i="61" s="1"/>
  <c r="U11" i="40"/>
  <c r="T35" i="40"/>
  <c r="O21" i="61"/>
  <c r="O23" i="61" s="1"/>
  <c r="O15" i="61"/>
  <c r="O49" i="63" s="1"/>
  <c r="O50" i="63" s="1"/>
  <c r="O55" i="63" s="1"/>
  <c r="N7" i="63"/>
  <c r="N21" i="63"/>
  <c r="M33" i="63"/>
  <c r="M34" i="63" s="1"/>
  <c r="M39" i="63" s="1"/>
  <c r="M9" i="63"/>
  <c r="P7" i="61"/>
  <c r="Q13" i="61"/>
  <c r="W127" i="54"/>
  <c r="W34" i="72"/>
  <c r="V59" i="54"/>
  <c r="V31" i="64"/>
  <c r="P91" i="54"/>
  <c r="P47" i="69"/>
  <c r="P71" i="68"/>
  <c r="P75" i="68" s="1"/>
  <c r="P16" i="74" s="1"/>
  <c r="P15" i="74" s="1"/>
  <c r="V33" i="64"/>
  <c r="V9" i="74" s="1"/>
  <c r="Q41" i="73"/>
  <c r="Q235" i="54"/>
  <c r="W60" i="54"/>
  <c r="W32" i="64"/>
  <c r="K40" i="63"/>
  <c r="L40" i="63" s="1"/>
  <c r="W58" i="54"/>
  <c r="W30" i="64"/>
  <c r="Q43" i="69"/>
  <c r="Q30" i="69"/>
  <c r="Q17" i="69"/>
  <c r="R4" i="69"/>
  <c r="K42" i="63"/>
  <c r="L42" i="63" s="1"/>
  <c r="Q48" i="69"/>
  <c r="Q72" i="68"/>
  <c r="Q92" i="54"/>
  <c r="Q47" i="64"/>
  <c r="P51" i="69"/>
  <c r="P17" i="74" s="1"/>
  <c r="Q236" i="54"/>
  <c r="Q42" i="73"/>
  <c r="L8" i="74"/>
  <c r="P94" i="54"/>
  <c r="P50" i="69"/>
  <c r="P74" i="68"/>
  <c r="P49" i="64"/>
  <c r="T90" i="54"/>
  <c r="T46" i="69"/>
  <c r="T70" i="68"/>
  <c r="P40" i="73"/>
  <c r="Q4" i="73"/>
  <c r="P16" i="73"/>
  <c r="P28" i="73"/>
  <c r="Q88" i="54"/>
  <c r="Q68" i="68"/>
  <c r="Q44" i="69"/>
  <c r="M16" i="64"/>
  <c r="M8" i="74" s="1"/>
  <c r="M7" i="74" s="1"/>
  <c r="M25" i="74" s="1"/>
  <c r="N10" i="64"/>
  <c r="N15" i="64" s="1"/>
  <c r="N9" i="64"/>
  <c r="N14" i="64" s="1"/>
  <c r="N8" i="64"/>
  <c r="N13" i="64" s="1"/>
  <c r="U239" i="54"/>
  <c r="U45" i="73"/>
  <c r="T125" i="54"/>
  <c r="T32" i="72"/>
  <c r="T35" i="72" s="1"/>
  <c r="T22" i="74" s="1"/>
  <c r="Q240" i="54"/>
  <c r="Q46" i="73"/>
  <c r="P47" i="73"/>
  <c r="P23" i="74" s="1"/>
  <c r="P21" i="74" s="1"/>
  <c r="P41" i="68"/>
  <c r="Q4" i="68"/>
  <c r="P67" i="68"/>
  <c r="P54" i="68"/>
  <c r="V126" i="54"/>
  <c r="V33" i="72"/>
  <c r="T238" i="54"/>
  <c r="T44" i="73"/>
  <c r="Q49" i="69"/>
  <c r="Q93" i="54"/>
  <c r="Q73" i="68"/>
  <c r="Q48" i="64"/>
  <c r="R4" i="72"/>
  <c r="Q31" i="72"/>
  <c r="Q13" i="72"/>
  <c r="Q22" i="72"/>
  <c r="R237" i="54"/>
  <c r="R43" i="73"/>
  <c r="P50" i="64"/>
  <c r="P10" i="74" s="1"/>
  <c r="Q45" i="69"/>
  <c r="Q89" i="54"/>
  <c r="Q69" i="68"/>
  <c r="O56" i="63" l="1"/>
  <c r="T78" i="40"/>
  <c r="T66" i="40"/>
  <c r="T72" i="40"/>
  <c r="S46" i="41"/>
  <c r="S45" i="41" s="1"/>
  <c r="S47" i="41" s="1"/>
  <c r="R25" i="47"/>
  <c r="R19" i="36" s="1"/>
  <c r="R48" i="41"/>
  <c r="R19" i="47"/>
  <c r="R18" i="36" s="1"/>
  <c r="S47" i="40"/>
  <c r="R13" i="4" s="1"/>
  <c r="P50" i="41"/>
  <c r="P15" i="33"/>
  <c r="O16" i="33"/>
  <c r="O51" i="41"/>
  <c r="Q49" i="41"/>
  <c r="Q14" i="33"/>
  <c r="R37" i="45"/>
  <c r="R42" i="43" s="1"/>
  <c r="R7" i="44"/>
  <c r="R13" i="44"/>
  <c r="R6" i="42" s="1"/>
  <c r="R25" i="45"/>
  <c r="R40" i="43" s="1"/>
  <c r="R19" i="44"/>
  <c r="R7" i="42" s="1"/>
  <c r="R31" i="45"/>
  <c r="R41" i="43" s="1"/>
  <c r="Q7" i="50"/>
  <c r="Q5" i="35" s="1"/>
  <c r="Q5" i="42"/>
  <c r="R13" i="45"/>
  <c r="R6" i="43" s="1"/>
  <c r="R19" i="45"/>
  <c r="R7" i="43" s="1"/>
  <c r="R7" i="45"/>
  <c r="R5" i="43" s="1"/>
  <c r="R22" i="10"/>
  <c r="S23" i="10"/>
  <c r="U23" i="40"/>
  <c r="U17" i="40"/>
  <c r="T5" i="4" s="1"/>
  <c r="T5" i="61" s="1"/>
  <c r="U59" i="40"/>
  <c r="V11" i="40"/>
  <c r="U35" i="40"/>
  <c r="U29" i="40"/>
  <c r="T41" i="40"/>
  <c r="R13" i="61"/>
  <c r="Q7" i="61"/>
  <c r="N33" i="63"/>
  <c r="N34" i="63" s="1"/>
  <c r="N39" i="63" s="1"/>
  <c r="N9" i="63"/>
  <c r="P21" i="61"/>
  <c r="P23" i="61" s="1"/>
  <c r="P15" i="61"/>
  <c r="P49" i="63" s="1"/>
  <c r="P50" i="63" s="1"/>
  <c r="P55" i="63" s="1"/>
  <c r="P56" i="63" s="1"/>
  <c r="M40" i="63"/>
  <c r="M42" i="63"/>
  <c r="O7" i="63"/>
  <c r="O21" i="63"/>
  <c r="O58" i="63"/>
  <c r="Q50" i="64"/>
  <c r="Q10" i="74" s="1"/>
  <c r="R41" i="73"/>
  <c r="R235" i="54"/>
  <c r="R89" i="54"/>
  <c r="R69" i="68"/>
  <c r="R45" i="69"/>
  <c r="R49" i="69"/>
  <c r="R93" i="54"/>
  <c r="R73" i="68"/>
  <c r="R48" i="64"/>
  <c r="R92" i="54"/>
  <c r="R47" i="64"/>
  <c r="R48" i="69"/>
  <c r="R72" i="68"/>
  <c r="Q47" i="73"/>
  <c r="Q23" i="74" s="1"/>
  <c r="Q21" i="74" s="1"/>
  <c r="R240" i="54"/>
  <c r="R46" i="73"/>
  <c r="R68" i="68"/>
  <c r="R88" i="54"/>
  <c r="R44" i="69"/>
  <c r="Q94" i="54"/>
  <c r="Q50" i="69"/>
  <c r="Q74" i="68"/>
  <c r="Q49" i="64"/>
  <c r="S4" i="72"/>
  <c r="R31" i="72"/>
  <c r="R13" i="72"/>
  <c r="R22" i="72"/>
  <c r="R43" i="69"/>
  <c r="S4" i="69"/>
  <c r="R17" i="69"/>
  <c r="R30" i="69"/>
  <c r="Q91" i="54"/>
  <c r="Q47" i="69"/>
  <c r="Q51" i="69" s="1"/>
  <c r="Q17" i="74" s="1"/>
  <c r="Q71" i="68"/>
  <c r="Q75" i="68" s="1"/>
  <c r="Q16" i="74" s="1"/>
  <c r="Q15" i="74" s="1"/>
  <c r="X60" i="54"/>
  <c r="X32" i="64"/>
  <c r="Q41" i="68"/>
  <c r="Q54" i="68"/>
  <c r="R4" i="68"/>
  <c r="Q67" i="68"/>
  <c r="U238" i="54"/>
  <c r="U44" i="73"/>
  <c r="O10" i="64"/>
  <c r="O15" i="64" s="1"/>
  <c r="O9" i="64"/>
  <c r="O14" i="64" s="1"/>
  <c r="O8" i="64"/>
  <c r="O13" i="64" s="1"/>
  <c r="S237" i="54"/>
  <c r="S43" i="73"/>
  <c r="W59" i="54"/>
  <c r="W31" i="64"/>
  <c r="Q40" i="73"/>
  <c r="Q28" i="73"/>
  <c r="R4" i="73"/>
  <c r="Q16" i="73"/>
  <c r="W126" i="54"/>
  <c r="W33" i="72"/>
  <c r="U125" i="54"/>
  <c r="U32" i="72"/>
  <c r="U35" i="72" s="1"/>
  <c r="U22" i="74" s="1"/>
  <c r="N16" i="64"/>
  <c r="N8" i="74" s="1"/>
  <c r="N7" i="74" s="1"/>
  <c r="N25" i="74" s="1"/>
  <c r="U90" i="54"/>
  <c r="U46" i="69"/>
  <c r="U70" i="68"/>
  <c r="L7" i="74"/>
  <c r="W33" i="64"/>
  <c r="W9" i="74" s="1"/>
  <c r="X127" i="54"/>
  <c r="X34" i="72"/>
  <c r="R236" i="54"/>
  <c r="R42" i="73"/>
  <c r="V239" i="54"/>
  <c r="V45" i="73"/>
  <c r="X58" i="54"/>
  <c r="X30" i="64"/>
  <c r="P16" i="33" l="1"/>
  <c r="P51" i="41"/>
  <c r="R14" i="33"/>
  <c r="R49" i="41"/>
  <c r="Q50" i="41"/>
  <c r="Q16" i="33" s="1"/>
  <c r="Q15" i="33"/>
  <c r="S19" i="47"/>
  <c r="S18" i="36" s="1"/>
  <c r="S48" i="41"/>
  <c r="S25" i="47"/>
  <c r="S19" i="36" s="1"/>
  <c r="U41" i="40"/>
  <c r="U72" i="40"/>
  <c r="U78" i="40"/>
  <c r="U66" i="40"/>
  <c r="T23" i="10" s="1"/>
  <c r="T46" i="41"/>
  <c r="T45" i="41" s="1"/>
  <c r="T47" i="41" s="1"/>
  <c r="N42" i="63"/>
  <c r="N40" i="63"/>
  <c r="P58" i="63"/>
  <c r="S31" i="45"/>
  <c r="S41" i="43" s="1"/>
  <c r="S37" i="45"/>
  <c r="S42" i="43" s="1"/>
  <c r="S13" i="44"/>
  <c r="S6" i="42" s="1"/>
  <c r="S7" i="44"/>
  <c r="S19" i="44"/>
  <c r="S7" i="42" s="1"/>
  <c r="S25" i="45"/>
  <c r="S40" i="43" s="1"/>
  <c r="S13" i="45"/>
  <c r="S6" i="43" s="1"/>
  <c r="S19" i="45"/>
  <c r="S7" i="43" s="1"/>
  <c r="S7" i="45"/>
  <c r="S5" i="43" s="1"/>
  <c r="S22" i="10"/>
  <c r="R7" i="50"/>
  <c r="R5" i="35" s="1"/>
  <c r="R5" i="42"/>
  <c r="V59" i="40"/>
  <c r="V29" i="40"/>
  <c r="V17" i="40"/>
  <c r="U5" i="4" s="1"/>
  <c r="U5" i="61" s="1"/>
  <c r="W11" i="40"/>
  <c r="V35" i="40"/>
  <c r="V23" i="40"/>
  <c r="T53" i="40"/>
  <c r="T47" i="40"/>
  <c r="S13" i="4" s="1"/>
  <c r="Q15" i="61"/>
  <c r="Q49" i="63" s="1"/>
  <c r="Q50" i="63" s="1"/>
  <c r="Q55" i="63" s="1"/>
  <c r="Q56" i="63" s="1"/>
  <c r="Q21" i="61"/>
  <c r="Q23" i="61" s="1"/>
  <c r="O9" i="63"/>
  <c r="O33" i="63"/>
  <c r="O34" i="63" s="1"/>
  <c r="O39" i="63" s="1"/>
  <c r="P7" i="63"/>
  <c r="P21" i="63"/>
  <c r="R7" i="61"/>
  <c r="S13" i="61"/>
  <c r="S92" i="54"/>
  <c r="S72" i="68"/>
  <c r="S48" i="69"/>
  <c r="S47" i="64"/>
  <c r="X33" i="64"/>
  <c r="X9" i="74" s="1"/>
  <c r="R47" i="69"/>
  <c r="R51" i="69" s="1"/>
  <c r="R17" i="74" s="1"/>
  <c r="R91" i="54"/>
  <c r="R71" i="68"/>
  <c r="R75" i="68" s="1"/>
  <c r="R16" i="74" s="1"/>
  <c r="R15" i="74" s="1"/>
  <c r="S49" i="69"/>
  <c r="S93" i="54"/>
  <c r="S48" i="64"/>
  <c r="S73" i="68"/>
  <c r="S68" i="68"/>
  <c r="S88" i="54"/>
  <c r="S44" i="69"/>
  <c r="Y58" i="54"/>
  <c r="Y30" i="64"/>
  <c r="S89" i="54"/>
  <c r="S45" i="69"/>
  <c r="S69" i="68"/>
  <c r="Y60" i="54"/>
  <c r="Y32" i="64"/>
  <c r="L25" i="74"/>
  <c r="V238" i="54"/>
  <c r="V44" i="73"/>
  <c r="S46" i="73"/>
  <c r="S240" i="54"/>
  <c r="V90" i="54"/>
  <c r="V46" i="69"/>
  <c r="V70" i="68"/>
  <c r="P10" i="64"/>
  <c r="P15" i="64" s="1"/>
  <c r="P9" i="64"/>
  <c r="P14" i="64" s="1"/>
  <c r="P8" i="64"/>
  <c r="P13" i="64" s="1"/>
  <c r="S41" i="73"/>
  <c r="S235" i="54"/>
  <c r="X59" i="54"/>
  <c r="X31" i="64"/>
  <c r="R40" i="73"/>
  <c r="R28" i="73"/>
  <c r="R16" i="73"/>
  <c r="S4" i="73"/>
  <c r="R50" i="69"/>
  <c r="R94" i="54"/>
  <c r="R74" i="68"/>
  <c r="R49" i="64"/>
  <c r="R47" i="73"/>
  <c r="R23" i="74" s="1"/>
  <c r="R21" i="74" s="1"/>
  <c r="T237" i="54"/>
  <c r="T43" i="73"/>
  <c r="S42" i="73"/>
  <c r="S236" i="54"/>
  <c r="V125" i="54"/>
  <c r="V32" i="72"/>
  <c r="V35" i="72" s="1"/>
  <c r="V22" i="74" s="1"/>
  <c r="O16" i="64"/>
  <c r="O8" i="74" s="1"/>
  <c r="S31" i="72"/>
  <c r="S13" i="72"/>
  <c r="S22" i="72"/>
  <c r="T4" i="72"/>
  <c r="W239" i="54"/>
  <c r="W45" i="73"/>
  <c r="R41" i="68"/>
  <c r="R67" i="68"/>
  <c r="R54" i="68"/>
  <c r="S4" i="68"/>
  <c r="T4" i="69"/>
  <c r="S17" i="69"/>
  <c r="S30" i="69"/>
  <c r="S43" i="69"/>
  <c r="Y127" i="54"/>
  <c r="Y34" i="72"/>
  <c r="X126" i="54"/>
  <c r="X33" i="72"/>
  <c r="R50" i="64"/>
  <c r="R10" i="74" s="1"/>
  <c r="S14" i="33" l="1"/>
  <c r="S49" i="41"/>
  <c r="V72" i="40"/>
  <c r="V78" i="40"/>
  <c r="V66" i="40"/>
  <c r="U46" i="41"/>
  <c r="U45" i="41" s="1"/>
  <c r="U47" i="41" s="1"/>
  <c r="U47" i="40"/>
  <c r="T13" i="4" s="1"/>
  <c r="U53" i="40"/>
  <c r="R50" i="41"/>
  <c r="R16" i="33" s="1"/>
  <c r="R15" i="33"/>
  <c r="Q51" i="41"/>
  <c r="T25" i="47"/>
  <c r="T19" i="36" s="1"/>
  <c r="T19" i="47"/>
  <c r="T18" i="36" s="1"/>
  <c r="T48" i="41"/>
  <c r="O42" i="63"/>
  <c r="Q58" i="63"/>
  <c r="S7" i="50"/>
  <c r="S5" i="35" s="1"/>
  <c r="S5" i="42"/>
  <c r="T7" i="45"/>
  <c r="T5" i="43" s="1"/>
  <c r="T13" i="45"/>
  <c r="T6" i="43" s="1"/>
  <c r="T19" i="45"/>
  <c r="T7" i="43" s="1"/>
  <c r="T22" i="10"/>
  <c r="T31" i="45"/>
  <c r="T41" i="43" s="1"/>
  <c r="T37" i="45"/>
  <c r="T42" i="43" s="1"/>
  <c r="T7" i="44"/>
  <c r="T19" i="44"/>
  <c r="T7" i="42" s="1"/>
  <c r="T13" i="44"/>
  <c r="T6" i="42" s="1"/>
  <c r="T25" i="45"/>
  <c r="T40" i="43" s="1"/>
  <c r="U23" i="10"/>
  <c r="V41" i="40"/>
  <c r="W59" i="40"/>
  <c r="W29" i="40"/>
  <c r="W23" i="40"/>
  <c r="W17" i="40"/>
  <c r="V5" i="4" s="1"/>
  <c r="V5" i="61" s="1"/>
  <c r="X11" i="40"/>
  <c r="W35" i="40"/>
  <c r="T13" i="61"/>
  <c r="S7" i="61"/>
  <c r="R15" i="61"/>
  <c r="R49" i="63" s="1"/>
  <c r="R50" i="63" s="1"/>
  <c r="R55" i="63" s="1"/>
  <c r="R21" i="61"/>
  <c r="R23" i="61" s="1"/>
  <c r="Q21" i="63"/>
  <c r="Q7" i="63"/>
  <c r="O40" i="63"/>
  <c r="P33" i="63"/>
  <c r="P34" i="63" s="1"/>
  <c r="P39" i="63" s="1"/>
  <c r="P9" i="63"/>
  <c r="U4" i="69"/>
  <c r="T30" i="69"/>
  <c r="T17" i="69"/>
  <c r="T43" i="69"/>
  <c r="S40" i="73"/>
  <c r="S28" i="73"/>
  <c r="S16" i="73"/>
  <c r="T4" i="73"/>
  <c r="W90" i="54"/>
  <c r="W46" i="69"/>
  <c r="W70" i="68"/>
  <c r="W32" i="72"/>
  <c r="W35" i="72" s="1"/>
  <c r="W22" i="74" s="1"/>
  <c r="W125" i="54"/>
  <c r="T42" i="73"/>
  <c r="T236" i="54"/>
  <c r="O7" i="74"/>
  <c r="Y33" i="72"/>
  <c r="Y126" i="54"/>
  <c r="U43" i="73"/>
  <c r="U237" i="54"/>
  <c r="Y59" i="54"/>
  <c r="Y31" i="64"/>
  <c r="Q9" i="64"/>
  <c r="Q14" i="64" s="1"/>
  <c r="Q8" i="64"/>
  <c r="Q13" i="64" s="1"/>
  <c r="Q10" i="64"/>
  <c r="Q15" i="64" s="1"/>
  <c r="Y33" i="64"/>
  <c r="Y9" i="74" s="1"/>
  <c r="Z60" i="54"/>
  <c r="Z32" i="64"/>
  <c r="T69" i="68"/>
  <c r="T89" i="54"/>
  <c r="T45" i="69"/>
  <c r="T240" i="54"/>
  <c r="T46" i="73"/>
  <c r="X239" i="54"/>
  <c r="X45" i="73"/>
  <c r="T235" i="54"/>
  <c r="T41" i="73"/>
  <c r="S47" i="73"/>
  <c r="S23" i="74" s="1"/>
  <c r="S21" i="74" s="1"/>
  <c r="S50" i="64"/>
  <c r="S10" i="74" s="1"/>
  <c r="T93" i="54"/>
  <c r="T73" i="68"/>
  <c r="T48" i="64"/>
  <c r="T49" i="69"/>
  <c r="S67" i="68"/>
  <c r="T4" i="68"/>
  <c r="S41" i="68"/>
  <c r="S54" i="68"/>
  <c r="W44" i="73"/>
  <c r="W238" i="54"/>
  <c r="T68" i="68"/>
  <c r="T88" i="54"/>
  <c r="T44" i="69"/>
  <c r="S50" i="69"/>
  <c r="S94" i="54"/>
  <c r="S74" i="68"/>
  <c r="S49" i="64"/>
  <c r="Z58" i="54"/>
  <c r="Z30" i="64"/>
  <c r="T31" i="72"/>
  <c r="T13" i="72"/>
  <c r="T22" i="72"/>
  <c r="U4" i="72"/>
  <c r="P16" i="64"/>
  <c r="P8" i="74" s="1"/>
  <c r="P7" i="74" s="1"/>
  <c r="P25" i="74" s="1"/>
  <c r="S75" i="68"/>
  <c r="S16" i="74" s="1"/>
  <c r="S47" i="69"/>
  <c r="S51" i="69" s="1"/>
  <c r="S17" i="74" s="1"/>
  <c r="S91" i="54"/>
  <c r="S71" i="68"/>
  <c r="Z127" i="54"/>
  <c r="Z34" i="72"/>
  <c r="T48" i="69"/>
  <c r="T92" i="54"/>
  <c r="T72" i="68"/>
  <c r="T47" i="64"/>
  <c r="W72" i="40" l="1"/>
  <c r="W78" i="40"/>
  <c r="W66" i="40"/>
  <c r="V46" i="41"/>
  <c r="V45" i="41" s="1"/>
  <c r="V47" i="41" s="1"/>
  <c r="U19" i="47"/>
  <c r="U18" i="36" s="1"/>
  <c r="U25" i="47"/>
  <c r="U19" i="36" s="1"/>
  <c r="U48" i="41"/>
  <c r="T49" i="41"/>
  <c r="T14" i="33"/>
  <c r="S50" i="41"/>
  <c r="S15" i="33"/>
  <c r="W41" i="40"/>
  <c r="W47" i="40" s="1"/>
  <c r="V13" i="4" s="1"/>
  <c r="R51" i="41"/>
  <c r="P42" i="63"/>
  <c r="R58" i="63"/>
  <c r="U25" i="45"/>
  <c r="U40" i="43" s="1"/>
  <c r="U7" i="44"/>
  <c r="U31" i="45"/>
  <c r="U41" i="43" s="1"/>
  <c r="U37" i="45"/>
  <c r="U42" i="43" s="1"/>
  <c r="U13" i="44"/>
  <c r="U6" i="42" s="1"/>
  <c r="U19" i="44"/>
  <c r="U7" i="42" s="1"/>
  <c r="T7" i="50"/>
  <c r="T5" i="35" s="1"/>
  <c r="T5" i="42"/>
  <c r="U7" i="45"/>
  <c r="U5" i="43" s="1"/>
  <c r="U13" i="45"/>
  <c r="U6" i="43" s="1"/>
  <c r="U19" i="45"/>
  <c r="U7" i="43" s="1"/>
  <c r="U22" i="10"/>
  <c r="V47" i="40"/>
  <c r="U13" i="4" s="1"/>
  <c r="V53" i="40"/>
  <c r="V23" i="10"/>
  <c r="X23" i="40"/>
  <c r="X17" i="40"/>
  <c r="W5" i="4" s="1"/>
  <c r="W5" i="61" s="1"/>
  <c r="X35" i="40"/>
  <c r="X41" i="40"/>
  <c r="Y11" i="40"/>
  <c r="X59" i="40"/>
  <c r="X29" i="40"/>
  <c r="S21" i="61"/>
  <c r="S23" i="61" s="1"/>
  <c r="S15" i="61"/>
  <c r="S49" i="63" s="1"/>
  <c r="S50" i="63" s="1"/>
  <c r="S55" i="63" s="1"/>
  <c r="S58" i="63" s="1"/>
  <c r="R21" i="63"/>
  <c r="R7" i="63"/>
  <c r="Q33" i="63"/>
  <c r="Q34" i="63" s="1"/>
  <c r="Q39" i="63" s="1"/>
  <c r="Q9" i="63"/>
  <c r="R56" i="63"/>
  <c r="P40" i="63"/>
  <c r="T7" i="61"/>
  <c r="U13" i="61"/>
  <c r="Q16" i="64"/>
  <c r="Q8" i="74" s="1"/>
  <c r="Q7" i="74" s="1"/>
  <c r="Q25" i="74" s="1"/>
  <c r="U88" i="54"/>
  <c r="U44" i="69"/>
  <c r="U68" i="68"/>
  <c r="U49" i="69"/>
  <c r="U93" i="54"/>
  <c r="U73" i="68"/>
  <c r="U48" i="64"/>
  <c r="U89" i="54"/>
  <c r="U69" i="68"/>
  <c r="U45" i="69"/>
  <c r="U46" i="73"/>
  <c r="U240" i="54"/>
  <c r="S15" i="74"/>
  <c r="X46" i="69"/>
  <c r="X90" i="54"/>
  <c r="X70" i="68"/>
  <c r="X44" i="73"/>
  <c r="X238" i="54"/>
  <c r="R8" i="64"/>
  <c r="R13" i="64" s="1"/>
  <c r="R10" i="64"/>
  <c r="R15" i="64" s="1"/>
  <c r="R9" i="64"/>
  <c r="R14" i="64" s="1"/>
  <c r="T28" i="73"/>
  <c r="T40" i="73"/>
  <c r="T16" i="73"/>
  <c r="U4" i="73"/>
  <c r="U13" i="72"/>
  <c r="U22" i="72"/>
  <c r="U31" i="72"/>
  <c r="V4" i="72"/>
  <c r="T47" i="73"/>
  <c r="T23" i="74" s="1"/>
  <c r="T21" i="74" s="1"/>
  <c r="U42" i="73"/>
  <c r="U236" i="54"/>
  <c r="T71" i="68"/>
  <c r="T91" i="54"/>
  <c r="T47" i="69"/>
  <c r="T51" i="69" s="1"/>
  <c r="T17" i="74" s="1"/>
  <c r="X32" i="72"/>
  <c r="X35" i="72" s="1"/>
  <c r="X22" i="74" s="1"/>
  <c r="X125" i="54"/>
  <c r="Z33" i="72"/>
  <c r="Z126" i="54"/>
  <c r="AA60" i="54"/>
  <c r="AA32" i="64"/>
  <c r="AA58" i="54"/>
  <c r="AA30" i="64"/>
  <c r="U41" i="73"/>
  <c r="U235" i="54"/>
  <c r="T50" i="69"/>
  <c r="T94" i="54"/>
  <c r="T49" i="64"/>
  <c r="T50" i="64" s="1"/>
  <c r="T10" i="74" s="1"/>
  <c r="T74" i="68"/>
  <c r="T75" i="68"/>
  <c r="T16" i="74" s="1"/>
  <c r="O25" i="74"/>
  <c r="U48" i="69"/>
  <c r="U92" i="54"/>
  <c r="U72" i="68"/>
  <c r="U47" i="64"/>
  <c r="AA34" i="72"/>
  <c r="AA127" i="54"/>
  <c r="T54" i="68"/>
  <c r="T67" i="68"/>
  <c r="U4" i="68"/>
  <c r="T41" i="68"/>
  <c r="Z59" i="54"/>
  <c r="Z31" i="64"/>
  <c r="Z33" i="64" s="1"/>
  <c r="Z9" i="74" s="1"/>
  <c r="Y45" i="73"/>
  <c r="Y239" i="54"/>
  <c r="V43" i="73"/>
  <c r="V237" i="54"/>
  <c r="U30" i="69"/>
  <c r="V4" i="69"/>
  <c r="U43" i="69"/>
  <c r="U17" i="69"/>
  <c r="T15" i="33" l="1"/>
  <c r="T50" i="41"/>
  <c r="T16" i="33" s="1"/>
  <c r="T51" i="41"/>
  <c r="U49" i="41"/>
  <c r="U14" i="33"/>
  <c r="V19" i="47"/>
  <c r="V18" i="36" s="1"/>
  <c r="V25" i="47"/>
  <c r="V19" i="36" s="1"/>
  <c r="V48" i="41"/>
  <c r="W53" i="40"/>
  <c r="S16" i="33"/>
  <c r="S51" i="41"/>
  <c r="X66" i="40"/>
  <c r="W23" i="10" s="1"/>
  <c r="X72" i="40"/>
  <c r="X78" i="40"/>
  <c r="W46" i="41"/>
  <c r="W45" i="41" s="1"/>
  <c r="W47" i="41" s="1"/>
  <c r="Q42" i="63"/>
  <c r="Q40" i="63"/>
  <c r="S56" i="63"/>
  <c r="V7" i="45"/>
  <c r="V5" i="43" s="1"/>
  <c r="V13" i="45"/>
  <c r="V6" i="43" s="1"/>
  <c r="V19" i="45"/>
  <c r="V7" i="43" s="1"/>
  <c r="V22" i="10"/>
  <c r="U7" i="50"/>
  <c r="U5" i="35" s="1"/>
  <c r="U5" i="42"/>
  <c r="V25" i="45"/>
  <c r="V40" i="43" s="1"/>
  <c r="V31" i="45"/>
  <c r="V41" i="43" s="1"/>
  <c r="V37" i="45"/>
  <c r="V42" i="43" s="1"/>
  <c r="V13" i="44"/>
  <c r="V6" i="42" s="1"/>
  <c r="V7" i="44"/>
  <c r="V19" i="44"/>
  <c r="V7" i="42" s="1"/>
  <c r="Y17" i="40"/>
  <c r="X5" i="4" s="1"/>
  <c r="X5" i="61" s="1"/>
  <c r="Z11" i="40"/>
  <c r="Y35" i="40"/>
  <c r="Y59" i="40"/>
  <c r="Y29" i="40"/>
  <c r="Y23" i="40"/>
  <c r="X53" i="40"/>
  <c r="X47" i="40"/>
  <c r="W13" i="4" s="1"/>
  <c r="T21" i="61"/>
  <c r="T23" i="61" s="1"/>
  <c r="T15" i="61"/>
  <c r="T49" i="63" s="1"/>
  <c r="T50" i="63" s="1"/>
  <c r="T55" i="63" s="1"/>
  <c r="T58" i="63" s="1"/>
  <c r="U7" i="61"/>
  <c r="V13" i="61"/>
  <c r="R33" i="63"/>
  <c r="R34" i="63" s="1"/>
  <c r="R39" i="63" s="1"/>
  <c r="R9" i="63"/>
  <c r="S21" i="63"/>
  <c r="S7" i="63"/>
  <c r="R16" i="64"/>
  <c r="R8" i="74" s="1"/>
  <c r="R7" i="74" s="1"/>
  <c r="R25" i="74" s="1"/>
  <c r="AB58" i="54"/>
  <c r="AB30" i="64"/>
  <c r="V92" i="54"/>
  <c r="V48" i="69"/>
  <c r="V47" i="64"/>
  <c r="V72" i="68"/>
  <c r="V236" i="54"/>
  <c r="V42" i="73"/>
  <c r="S8" i="64"/>
  <c r="S13" i="64" s="1"/>
  <c r="S9" i="64"/>
  <c r="S14" i="64" s="1"/>
  <c r="S10" i="64"/>
  <c r="S15" i="64" s="1"/>
  <c r="V45" i="69"/>
  <c r="V89" i="54"/>
  <c r="V69" i="68"/>
  <c r="T15" i="74"/>
  <c r="AA33" i="72"/>
  <c r="AA126" i="54"/>
  <c r="U28" i="73"/>
  <c r="U40" i="73"/>
  <c r="U16" i="73"/>
  <c r="V4" i="73"/>
  <c r="V48" i="64"/>
  <c r="V93" i="54"/>
  <c r="V49" i="69"/>
  <c r="V73" i="68"/>
  <c r="U54" i="68"/>
  <c r="U67" i="68"/>
  <c r="V4" i="68"/>
  <c r="U41" i="68"/>
  <c r="Y44" i="73"/>
  <c r="Y238" i="54"/>
  <c r="V22" i="72"/>
  <c r="V31" i="72"/>
  <c r="V13" i="72"/>
  <c r="W4" i="72"/>
  <c r="AA31" i="64"/>
  <c r="AA59" i="54"/>
  <c r="V43" i="69"/>
  <c r="W4" i="69"/>
  <c r="V30" i="69"/>
  <c r="V17" i="69"/>
  <c r="AB32" i="64"/>
  <c r="AB60" i="54"/>
  <c r="Y32" i="72"/>
  <c r="Y35" i="72" s="1"/>
  <c r="Y22" i="74" s="1"/>
  <c r="Y125" i="54"/>
  <c r="U50" i="69"/>
  <c r="U74" i="68"/>
  <c r="U94" i="54"/>
  <c r="U49" i="64"/>
  <c r="U50" i="64" s="1"/>
  <c r="U10" i="74" s="1"/>
  <c r="W43" i="73"/>
  <c r="W237" i="54"/>
  <c r="AB34" i="72"/>
  <c r="AB127" i="54"/>
  <c r="Y46" i="69"/>
  <c r="Y90" i="54"/>
  <c r="Y70" i="68"/>
  <c r="V88" i="54"/>
  <c r="V68" i="68"/>
  <c r="V44" i="69"/>
  <c r="AA33" i="64"/>
  <c r="AA9" i="74" s="1"/>
  <c r="V235" i="54"/>
  <c r="V41" i="73"/>
  <c r="V47" i="73" s="1"/>
  <c r="V23" i="74" s="1"/>
  <c r="V21" i="74" s="1"/>
  <c r="U91" i="54"/>
  <c r="U71" i="68"/>
  <c r="U75" i="68" s="1"/>
  <c r="U16" i="74" s="1"/>
  <c r="U47" i="69"/>
  <c r="U51" i="69" s="1"/>
  <c r="U17" i="74" s="1"/>
  <c r="V240" i="54"/>
  <c r="V46" i="73"/>
  <c r="Z45" i="73"/>
  <c r="Z239" i="54"/>
  <c r="U47" i="73"/>
  <c r="U23" i="74" s="1"/>
  <c r="U21" i="74" s="1"/>
  <c r="R40" i="63" l="1"/>
  <c r="V49" i="41"/>
  <c r="V14" i="33"/>
  <c r="U50" i="41"/>
  <c r="U15" i="33"/>
  <c r="W25" i="47"/>
  <c r="W19" i="36" s="1"/>
  <c r="W19" i="47"/>
  <c r="W18" i="36" s="1"/>
  <c r="W48" i="41"/>
  <c r="Y66" i="40"/>
  <c r="Y72" i="40"/>
  <c r="Y78" i="40"/>
  <c r="X46" i="41"/>
  <c r="X45" i="41" s="1"/>
  <c r="X47" i="41" s="1"/>
  <c r="W25" i="45"/>
  <c r="W40" i="43" s="1"/>
  <c r="W31" i="45"/>
  <c r="W41" i="43" s="1"/>
  <c r="W37" i="45"/>
  <c r="W42" i="43" s="1"/>
  <c r="W7" i="44"/>
  <c r="W13" i="44"/>
  <c r="W6" i="42" s="1"/>
  <c r="W19" i="44"/>
  <c r="W7" i="42" s="1"/>
  <c r="V7" i="50"/>
  <c r="V5" i="35" s="1"/>
  <c r="V5" i="42"/>
  <c r="W19" i="45"/>
  <c r="W7" i="43" s="1"/>
  <c r="W7" i="45"/>
  <c r="W5" i="43" s="1"/>
  <c r="W13" i="45"/>
  <c r="W6" i="43" s="1"/>
  <c r="W22" i="10"/>
  <c r="X23" i="10"/>
  <c r="AA11" i="40"/>
  <c r="Z35" i="40"/>
  <c r="Z59" i="40"/>
  <c r="Z29" i="40"/>
  <c r="Z23" i="40"/>
  <c r="Z17" i="40"/>
  <c r="Y5" i="4" s="1"/>
  <c r="Y5" i="61" s="1"/>
  <c r="Y41" i="40"/>
  <c r="W13" i="61"/>
  <c r="V7" i="61"/>
  <c r="T7" i="63"/>
  <c r="T21" i="63"/>
  <c r="S33" i="63"/>
  <c r="S34" i="63" s="1"/>
  <c r="S39" i="63" s="1"/>
  <c r="S9" i="63"/>
  <c r="R42" i="63"/>
  <c r="U21" i="61"/>
  <c r="U23" i="61" s="1"/>
  <c r="U15" i="61"/>
  <c r="U49" i="63" s="1"/>
  <c r="U50" i="63" s="1"/>
  <c r="U55" i="63" s="1"/>
  <c r="U58" i="63" s="1"/>
  <c r="T56" i="63"/>
  <c r="U15" i="74"/>
  <c r="AC60" i="54"/>
  <c r="AC32" i="64"/>
  <c r="Z46" i="69"/>
  <c r="Z70" i="68"/>
  <c r="Z90" i="54"/>
  <c r="W42" i="73"/>
  <c r="W236" i="54"/>
  <c r="V91" i="54"/>
  <c r="V47" i="69"/>
  <c r="V51" i="69" s="1"/>
  <c r="V17" i="74" s="1"/>
  <c r="V71" i="68"/>
  <c r="AB126" i="54"/>
  <c r="AB33" i="72"/>
  <c r="AA45" i="73"/>
  <c r="AA239" i="54"/>
  <c r="V50" i="69"/>
  <c r="V94" i="54"/>
  <c r="V49" i="64"/>
  <c r="V74" i="68"/>
  <c r="W17" i="69"/>
  <c r="X4" i="69"/>
  <c r="W30" i="69"/>
  <c r="W43" i="69"/>
  <c r="AC34" i="72"/>
  <c r="AC127" i="54"/>
  <c r="W235" i="54"/>
  <c r="W41" i="73"/>
  <c r="X237" i="54"/>
  <c r="X43" i="73"/>
  <c r="V50" i="64"/>
  <c r="V10" i="74" s="1"/>
  <c r="W47" i="64"/>
  <c r="W92" i="54"/>
  <c r="W72" i="68"/>
  <c r="W48" i="69"/>
  <c r="AB59" i="54"/>
  <c r="AB31" i="64"/>
  <c r="AB33" i="64" s="1"/>
  <c r="AB9" i="74" s="1"/>
  <c r="Z238" i="54"/>
  <c r="Z44" i="73"/>
  <c r="W45" i="69"/>
  <c r="W89" i="54"/>
  <c r="W69" i="68"/>
  <c r="W49" i="69"/>
  <c r="W93" i="54"/>
  <c r="W73" i="68"/>
  <c r="W48" i="64"/>
  <c r="AC58" i="54"/>
  <c r="AC30" i="64"/>
  <c r="V67" i="68"/>
  <c r="V54" i="68"/>
  <c r="V41" i="68"/>
  <c r="W4" i="68"/>
  <c r="T10" i="64"/>
  <c r="T15" i="64" s="1"/>
  <c r="T8" i="64"/>
  <c r="T13" i="64" s="1"/>
  <c r="T9" i="64"/>
  <c r="T14" i="64" s="1"/>
  <c r="V75" i="68"/>
  <c r="V16" i="74" s="1"/>
  <c r="Z125" i="54"/>
  <c r="Z32" i="72"/>
  <c r="Z35" i="72" s="1"/>
  <c r="Z22" i="74" s="1"/>
  <c r="W22" i="72"/>
  <c r="X4" i="72"/>
  <c r="W31" i="72"/>
  <c r="W13" i="72"/>
  <c r="W240" i="54"/>
  <c r="W46" i="73"/>
  <c r="W44" i="69"/>
  <c r="W88" i="54"/>
  <c r="W68" i="68"/>
  <c r="V28" i="73"/>
  <c r="V40" i="73"/>
  <c r="W4" i="73"/>
  <c r="V16" i="73"/>
  <c r="S16" i="64"/>
  <c r="S8" i="74" s="1"/>
  <c r="S7" i="74" s="1"/>
  <c r="S25" i="74" s="1"/>
  <c r="S40" i="63" l="1"/>
  <c r="X25" i="47"/>
  <c r="X19" i="36" s="1"/>
  <c r="X19" i="47"/>
  <c r="X18" i="36" s="1"/>
  <c r="X48" i="41"/>
  <c r="W14" i="33"/>
  <c r="W49" i="41"/>
  <c r="U16" i="33"/>
  <c r="U51" i="41"/>
  <c r="Z41" i="40"/>
  <c r="Z53" i="40" s="1"/>
  <c r="Z78" i="40"/>
  <c r="Z72" i="40"/>
  <c r="Z66" i="40"/>
  <c r="Y23" i="10" s="1"/>
  <c r="Y46" i="41"/>
  <c r="Y45" i="41" s="1"/>
  <c r="Y47" i="41" s="1"/>
  <c r="V15" i="33"/>
  <c r="V50" i="41"/>
  <c r="X19" i="44"/>
  <c r="X7" i="42" s="1"/>
  <c r="X25" i="45"/>
  <c r="X40" i="43" s="1"/>
  <c r="X31" i="45"/>
  <c r="X41" i="43" s="1"/>
  <c r="X7" i="44"/>
  <c r="X37" i="45"/>
  <c r="X42" i="43" s="1"/>
  <c r="X13" i="44"/>
  <c r="X6" i="42" s="1"/>
  <c r="W7" i="50"/>
  <c r="W5" i="35" s="1"/>
  <c r="W5" i="42"/>
  <c r="X19" i="45"/>
  <c r="X7" i="43" s="1"/>
  <c r="X7" i="45"/>
  <c r="X5" i="43" s="1"/>
  <c r="X13" i="45"/>
  <c r="X6" i="43" s="1"/>
  <c r="X22" i="10"/>
  <c r="Z47" i="40"/>
  <c r="Y13" i="4" s="1"/>
  <c r="AA35" i="40"/>
  <c r="AA59" i="40"/>
  <c r="AA29" i="40"/>
  <c r="AA23" i="40"/>
  <c r="AA17" i="40"/>
  <c r="Z5" i="4" s="1"/>
  <c r="Z5" i="61" s="1"/>
  <c r="AB11" i="40"/>
  <c r="Y47" i="40"/>
  <c r="X13" i="4" s="1"/>
  <c r="Y53" i="40"/>
  <c r="T9" i="63"/>
  <c r="T33" i="63"/>
  <c r="T34" i="63" s="1"/>
  <c r="T39" i="63" s="1"/>
  <c r="T40" i="63" s="1"/>
  <c r="U56" i="63"/>
  <c r="V15" i="61"/>
  <c r="V49" i="63" s="1"/>
  <c r="V50" i="63" s="1"/>
  <c r="V55" i="63" s="1"/>
  <c r="V21" i="61"/>
  <c r="V23" i="61" s="1"/>
  <c r="X13" i="61"/>
  <c r="W7" i="61"/>
  <c r="S42" i="63"/>
  <c r="U21" i="63"/>
  <c r="U7" i="63"/>
  <c r="U9" i="64"/>
  <c r="U14" i="64" s="1"/>
  <c r="U8" i="64"/>
  <c r="U13" i="64" s="1"/>
  <c r="U10" i="64"/>
  <c r="U15" i="64" s="1"/>
  <c r="AC126" i="54"/>
  <c r="AC33" i="72"/>
  <c r="AD58" i="54"/>
  <c r="AD30" i="64"/>
  <c r="AC59" i="54"/>
  <c r="AC31" i="64"/>
  <c r="AC33" i="64" s="1"/>
  <c r="AC9" i="74" s="1"/>
  <c r="X88" i="54"/>
  <c r="X44" i="69"/>
  <c r="X68" i="68"/>
  <c r="AA125" i="54"/>
  <c r="AA32" i="72"/>
  <c r="AA35" i="72" s="1"/>
  <c r="AA22" i="74" s="1"/>
  <c r="X240" i="54"/>
  <c r="X46" i="73"/>
  <c r="W94" i="54"/>
  <c r="W49" i="64"/>
  <c r="W74" i="68"/>
  <c r="W50" i="69"/>
  <c r="X89" i="54"/>
  <c r="X69" i="68"/>
  <c r="X45" i="69"/>
  <c r="Y43" i="73"/>
  <c r="Y237" i="54"/>
  <c r="V15" i="74"/>
  <c r="X92" i="54"/>
  <c r="X47" i="64"/>
  <c r="X72" i="68"/>
  <c r="X48" i="69"/>
  <c r="W50" i="64"/>
  <c r="W10" i="74" s="1"/>
  <c r="X235" i="54"/>
  <c r="X41" i="73"/>
  <c r="X47" i="73" s="1"/>
  <c r="X23" i="74" s="1"/>
  <c r="X21" i="74" s="1"/>
  <c r="AD60" i="54"/>
  <c r="AD32" i="64"/>
  <c r="X236" i="54"/>
  <c r="X42" i="73"/>
  <c r="AA46" i="69"/>
  <c r="AA70" i="68"/>
  <c r="AA90" i="54"/>
  <c r="W67" i="68"/>
  <c r="W41" i="68"/>
  <c r="X4" i="68"/>
  <c r="W54" i="68"/>
  <c r="AB239" i="54"/>
  <c r="AB45" i="73"/>
  <c r="W28" i="73"/>
  <c r="W40" i="73"/>
  <c r="X4" i="73"/>
  <c r="W16" i="73"/>
  <c r="AA44" i="73"/>
  <c r="AA238" i="54"/>
  <c r="AD127" i="54"/>
  <c r="AD34" i="72"/>
  <c r="X30" i="69"/>
  <c r="Y4" i="69"/>
  <c r="X43" i="69"/>
  <c r="X17" i="69"/>
  <c r="X73" i="68"/>
  <c r="X93" i="54"/>
  <c r="X48" i="64"/>
  <c r="X49" i="69"/>
  <c r="W91" i="54"/>
  <c r="W47" i="69"/>
  <c r="W51" i="69" s="1"/>
  <c r="W17" i="74" s="1"/>
  <c r="W71" i="68"/>
  <c r="W75" i="68" s="1"/>
  <c r="W16" i="74" s="1"/>
  <c r="W15" i="74" s="1"/>
  <c r="T16" i="64"/>
  <c r="T8" i="74" s="1"/>
  <c r="T7" i="74" s="1"/>
  <c r="T25" i="74" s="1"/>
  <c r="W47" i="73"/>
  <c r="W23" i="74" s="1"/>
  <c r="W21" i="74" s="1"/>
  <c r="Y4" i="72"/>
  <c r="X22" i="72"/>
  <c r="X13" i="72"/>
  <c r="X31" i="72"/>
  <c r="W15" i="33" l="1"/>
  <c r="W50" i="41"/>
  <c r="AA41" i="40"/>
  <c r="AA66" i="40"/>
  <c r="AA72" i="40"/>
  <c r="AA78" i="40"/>
  <c r="Z46" i="41"/>
  <c r="Z45" i="41" s="1"/>
  <c r="Z47" i="41" s="1"/>
  <c r="X49" i="41"/>
  <c r="X14" i="33"/>
  <c r="V16" i="33"/>
  <c r="V51" i="41"/>
  <c r="Y48" i="41"/>
  <c r="Y19" i="47"/>
  <c r="Y18" i="36" s="1"/>
  <c r="Y25" i="47"/>
  <c r="Y19" i="36" s="1"/>
  <c r="V56" i="63"/>
  <c r="T42" i="63"/>
  <c r="Y19" i="44"/>
  <c r="Y7" i="42" s="1"/>
  <c r="Y25" i="45"/>
  <c r="Y40" i="43" s="1"/>
  <c r="Y31" i="45"/>
  <c r="Y41" i="43" s="1"/>
  <c r="Y37" i="45"/>
  <c r="Y42" i="43" s="1"/>
  <c r="Y13" i="44"/>
  <c r="Y6" i="42" s="1"/>
  <c r="Y7" i="44"/>
  <c r="X7" i="50"/>
  <c r="X5" i="35" s="1"/>
  <c r="X5" i="42"/>
  <c r="Y13" i="45"/>
  <c r="Y6" i="43" s="1"/>
  <c r="Y19" i="45"/>
  <c r="Y7" i="43" s="1"/>
  <c r="Y7" i="45"/>
  <c r="Y5" i="43" s="1"/>
  <c r="Y22" i="10"/>
  <c r="AA53" i="40"/>
  <c r="AA47" i="40"/>
  <c r="Z13" i="4" s="1"/>
  <c r="Z23" i="10"/>
  <c r="AB59" i="40"/>
  <c r="AB29" i="40"/>
  <c r="AB23" i="40"/>
  <c r="AB17" i="40"/>
  <c r="AA5" i="4" s="1"/>
  <c r="AA5" i="61" s="1"/>
  <c r="AC11" i="40"/>
  <c r="AB35" i="40"/>
  <c r="V7" i="63"/>
  <c r="V21" i="63"/>
  <c r="W21" i="61"/>
  <c r="W23" i="61" s="1"/>
  <c r="W15" i="61"/>
  <c r="W49" i="63" s="1"/>
  <c r="W50" i="63" s="1"/>
  <c r="W55" i="63" s="1"/>
  <c r="W56" i="63" s="1"/>
  <c r="U9" i="63"/>
  <c r="U33" i="63"/>
  <c r="U34" i="63" s="1"/>
  <c r="U39" i="63" s="1"/>
  <c r="X7" i="61"/>
  <c r="Y13" i="61"/>
  <c r="V58" i="63"/>
  <c r="U16" i="64"/>
  <c r="U8" i="74" s="1"/>
  <c r="U7" i="74" s="1"/>
  <c r="U25" i="74" s="1"/>
  <c r="Y30" i="69"/>
  <c r="Z4" i="69"/>
  <c r="Y43" i="69"/>
  <c r="Y17" i="69"/>
  <c r="Y41" i="73"/>
  <c r="Y47" i="73" s="1"/>
  <c r="Y23" i="74" s="1"/>
  <c r="Y21" i="74" s="1"/>
  <c r="Y235" i="54"/>
  <c r="AD59" i="54"/>
  <c r="AD31" i="64"/>
  <c r="AD33" i="64"/>
  <c r="AD9" i="74" s="1"/>
  <c r="AE127" i="54"/>
  <c r="AE34" i="72"/>
  <c r="AC45" i="73"/>
  <c r="AC239" i="54"/>
  <c r="X71" i="68"/>
  <c r="X91" i="54"/>
  <c r="X47" i="69"/>
  <c r="X51" i="69" s="1"/>
  <c r="X17" i="74" s="1"/>
  <c r="AB238" i="54"/>
  <c r="AB44" i="73"/>
  <c r="Y240" i="54"/>
  <c r="Y46" i="73"/>
  <c r="AB125" i="54"/>
  <c r="AB32" i="72"/>
  <c r="AB35" i="72" s="1"/>
  <c r="AB22" i="74" s="1"/>
  <c r="X50" i="69"/>
  <c r="X94" i="54"/>
  <c r="X74" i="68"/>
  <c r="X75" i="68" s="1"/>
  <c r="X16" i="74" s="1"/>
  <c r="X15" i="74" s="1"/>
  <c r="X49" i="64"/>
  <c r="X50" i="64" s="1"/>
  <c r="X10" i="74" s="1"/>
  <c r="Y92" i="54"/>
  <c r="Y72" i="68"/>
  <c r="Y48" i="69"/>
  <c r="Y47" i="64"/>
  <c r="V8" i="64"/>
  <c r="V13" i="64" s="1"/>
  <c r="V9" i="64"/>
  <c r="V14" i="64" s="1"/>
  <c r="V10" i="64"/>
  <c r="V15" i="64" s="1"/>
  <c r="Z237" i="54"/>
  <c r="Z43" i="73"/>
  <c r="Y48" i="64"/>
  <c r="Y93" i="54"/>
  <c r="Y73" i="68"/>
  <c r="Y49" i="69"/>
  <c r="Y236" i="54"/>
  <c r="Y42" i="73"/>
  <c r="AD126" i="54"/>
  <c r="AD33" i="72"/>
  <c r="X28" i="73"/>
  <c r="X40" i="73"/>
  <c r="Y4" i="73"/>
  <c r="X16" i="73"/>
  <c r="AE58" i="54"/>
  <c r="AE30" i="64"/>
  <c r="X67" i="68"/>
  <c r="X41" i="68"/>
  <c r="Y4" i="68"/>
  <c r="X54" i="68"/>
  <c r="AB90" i="54"/>
  <c r="AB46" i="69"/>
  <c r="AB70" i="68"/>
  <c r="Y31" i="72"/>
  <c r="Y22" i="72"/>
  <c r="Y13" i="72"/>
  <c r="Z4" i="72"/>
  <c r="AE32" i="64"/>
  <c r="AE60" i="54"/>
  <c r="Y69" i="68"/>
  <c r="Y89" i="54"/>
  <c r="Y45" i="69"/>
  <c r="Y88" i="54"/>
  <c r="Y44" i="69"/>
  <c r="Y68" i="68"/>
  <c r="X50" i="41" l="1"/>
  <c r="X15" i="33"/>
  <c r="Z48" i="41"/>
  <c r="Z19" i="47"/>
  <c r="Z18" i="36" s="1"/>
  <c r="Z25" i="47"/>
  <c r="Z19" i="36" s="1"/>
  <c r="AB41" i="40"/>
  <c r="AB53" i="40" s="1"/>
  <c r="AB66" i="40"/>
  <c r="AB72" i="40"/>
  <c r="AB78" i="40"/>
  <c r="AA46" i="41"/>
  <c r="AA45" i="41" s="1"/>
  <c r="AA47" i="41" s="1"/>
  <c r="W16" i="33"/>
  <c r="W51" i="41"/>
  <c r="Y49" i="41"/>
  <c r="Y14" i="33"/>
  <c r="U42" i="63"/>
  <c r="Z13" i="45"/>
  <c r="Z6" i="43" s="1"/>
  <c r="Z19" i="45"/>
  <c r="Z7" i="43" s="1"/>
  <c r="Z7" i="45"/>
  <c r="Z5" i="43" s="1"/>
  <c r="Z22" i="10"/>
  <c r="Y7" i="50"/>
  <c r="Y5" i="35" s="1"/>
  <c r="Y5" i="42"/>
  <c r="Z13" i="44"/>
  <c r="Z6" i="42" s="1"/>
  <c r="Z19" i="44"/>
  <c r="Z7" i="42" s="1"/>
  <c r="Z25" i="45"/>
  <c r="Z40" i="43" s="1"/>
  <c r="Z31" i="45"/>
  <c r="Z41" i="43" s="1"/>
  <c r="Z37" i="45"/>
  <c r="Z42" i="43" s="1"/>
  <c r="Z7" i="44"/>
  <c r="AA23" i="10"/>
  <c r="AC59" i="40"/>
  <c r="AC29" i="40"/>
  <c r="AC23" i="40"/>
  <c r="AC17" i="40"/>
  <c r="AB5" i="4" s="1"/>
  <c r="AB5" i="61" s="1"/>
  <c r="AD11" i="40"/>
  <c r="AC35" i="40"/>
  <c r="Y7" i="61"/>
  <c r="Z13" i="61"/>
  <c r="W58" i="63"/>
  <c r="W7" i="63"/>
  <c r="W21" i="63"/>
  <c r="X15" i="61"/>
  <c r="X49" i="63" s="1"/>
  <c r="X50" i="63" s="1"/>
  <c r="X55" i="63" s="1"/>
  <c r="X56" i="63" s="1"/>
  <c r="X21" i="61"/>
  <c r="X23" i="61" s="1"/>
  <c r="V9" i="63"/>
  <c r="V33" i="63"/>
  <c r="V34" i="63" s="1"/>
  <c r="V39" i="63" s="1"/>
  <c r="V42" i="63" s="1"/>
  <c r="U40" i="63"/>
  <c r="Y67" i="68"/>
  <c r="Y54" i="68"/>
  <c r="Y41" i="68"/>
  <c r="Z4" i="68"/>
  <c r="Z45" i="69"/>
  <c r="Z89" i="54"/>
  <c r="Z69" i="68"/>
  <c r="Z92" i="54"/>
  <c r="Z72" i="68"/>
  <c r="Z47" i="64"/>
  <c r="Z48" i="69"/>
  <c r="Z236" i="54"/>
  <c r="Z42" i="73"/>
  <c r="AF60" i="54"/>
  <c r="AF32" i="64"/>
  <c r="Y50" i="69"/>
  <c r="Y94" i="54"/>
  <c r="Y49" i="64"/>
  <c r="Y74" i="68"/>
  <c r="Y75" i="68" s="1"/>
  <c r="Y16" i="74" s="1"/>
  <c r="Y15" i="74" s="1"/>
  <c r="AA237" i="54"/>
  <c r="AA43" i="73"/>
  <c r="AD239" i="54"/>
  <c r="AD45" i="73"/>
  <c r="Z73" i="68"/>
  <c r="Z48" i="64"/>
  <c r="Z93" i="54"/>
  <c r="Z49" i="69"/>
  <c r="AC32" i="72"/>
  <c r="AC35" i="72" s="1"/>
  <c r="AC22" i="74" s="1"/>
  <c r="AC125" i="54"/>
  <c r="AE59" i="54"/>
  <c r="AE31" i="64"/>
  <c r="AE33" i="64" s="1"/>
  <c r="AE9" i="74" s="1"/>
  <c r="AF58" i="54"/>
  <c r="AF30" i="64"/>
  <c r="Y28" i="73"/>
  <c r="Y40" i="73"/>
  <c r="Z4" i="73"/>
  <c r="Y16" i="73"/>
  <c r="Z30" i="69"/>
  <c r="Z17" i="69"/>
  <c r="Z43" i="69"/>
  <c r="AA4" i="69"/>
  <c r="AC90" i="54"/>
  <c r="AC46" i="69"/>
  <c r="AC70" i="68"/>
  <c r="V16" i="64"/>
  <c r="V8" i="74" s="1"/>
  <c r="V7" i="74" s="1"/>
  <c r="V25" i="74" s="1"/>
  <c r="Z240" i="54"/>
  <c r="Z46" i="73"/>
  <c r="W8" i="64"/>
  <c r="W13" i="64" s="1"/>
  <c r="W9" i="64"/>
  <c r="W14" i="64" s="1"/>
  <c r="W10" i="64"/>
  <c r="W15" i="64" s="1"/>
  <c r="AA4" i="72"/>
  <c r="Z31" i="72"/>
  <c r="Z13" i="72"/>
  <c r="Z22" i="72"/>
  <c r="Z235" i="54"/>
  <c r="Z41" i="73"/>
  <c r="Z47" i="73" s="1"/>
  <c r="Z23" i="74" s="1"/>
  <c r="Z21" i="74" s="1"/>
  <c r="Y51" i="69"/>
  <c r="Y17" i="74" s="1"/>
  <c r="Y50" i="64"/>
  <c r="Y10" i="74" s="1"/>
  <c r="Y71" i="68"/>
  <c r="Y91" i="54"/>
  <c r="Y47" i="69"/>
  <c r="Z44" i="69"/>
  <c r="Z88" i="54"/>
  <c r="Z68" i="68"/>
  <c r="AE126" i="54"/>
  <c r="AE33" i="72"/>
  <c r="AC238" i="54"/>
  <c r="AC44" i="73"/>
  <c r="AF127" i="54"/>
  <c r="AF34" i="72"/>
  <c r="AC41" i="40" l="1"/>
  <c r="AC66" i="40"/>
  <c r="AC78" i="40"/>
  <c r="AC72" i="40"/>
  <c r="AB46" i="41"/>
  <c r="AB45" i="41" s="1"/>
  <c r="AB47" i="41" s="1"/>
  <c r="Y15" i="33"/>
  <c r="Y50" i="41"/>
  <c r="Y16" i="33" s="1"/>
  <c r="AB47" i="40"/>
  <c r="AA13" i="4" s="1"/>
  <c r="Z14" i="33"/>
  <c r="Z49" i="41"/>
  <c r="AA25" i="47"/>
  <c r="AA19" i="36" s="1"/>
  <c r="AA48" i="41"/>
  <c r="AA19" i="47"/>
  <c r="AA18" i="36" s="1"/>
  <c r="X16" i="33"/>
  <c r="X51" i="41"/>
  <c r="Z7" i="50"/>
  <c r="Z5" i="35" s="1"/>
  <c r="Z5" i="42"/>
  <c r="AA13" i="45"/>
  <c r="AA6" i="43" s="1"/>
  <c r="AA19" i="45"/>
  <c r="AA7" i="43" s="1"/>
  <c r="AA7" i="45"/>
  <c r="AA5" i="43" s="1"/>
  <c r="AA22" i="10"/>
  <c r="AA13" i="44"/>
  <c r="AA6" i="42" s="1"/>
  <c r="AA19" i="44"/>
  <c r="AA7" i="42" s="1"/>
  <c r="AA25" i="45"/>
  <c r="AA40" i="43" s="1"/>
  <c r="AA37" i="45"/>
  <c r="AA42" i="43" s="1"/>
  <c r="AA31" i="45"/>
  <c r="AA41" i="43" s="1"/>
  <c r="AA7" i="44"/>
  <c r="AC53" i="40"/>
  <c r="AC47" i="40"/>
  <c r="AB13" i="4" s="1"/>
  <c r="AB23" i="10"/>
  <c r="AD59" i="40"/>
  <c r="AD29" i="40"/>
  <c r="AD17" i="40"/>
  <c r="AC5" i="4" s="1"/>
  <c r="AC5" i="61" s="1"/>
  <c r="AE11" i="40"/>
  <c r="AD35" i="40"/>
  <c r="AD23" i="40"/>
  <c r="V40" i="63"/>
  <c r="X21" i="63"/>
  <c r="X7" i="63"/>
  <c r="Y21" i="61"/>
  <c r="Y23" i="61" s="1"/>
  <c r="Y15" i="61"/>
  <c r="Y49" i="63" s="1"/>
  <c r="Y50" i="63" s="1"/>
  <c r="Y55" i="63" s="1"/>
  <c r="Y56" i="63" s="1"/>
  <c r="W33" i="63"/>
  <c r="W34" i="63" s="1"/>
  <c r="W39" i="63" s="1"/>
  <c r="W9" i="63"/>
  <c r="X58" i="63"/>
  <c r="AA13" i="61"/>
  <c r="Z7" i="61"/>
  <c r="AA46" i="73"/>
  <c r="AA240" i="54"/>
  <c r="AG30" i="64"/>
  <c r="AG58" i="54"/>
  <c r="AD46" i="69"/>
  <c r="AD90" i="54"/>
  <c r="AD70" i="68"/>
  <c r="Z74" i="68"/>
  <c r="Z94" i="54"/>
  <c r="Z49" i="64"/>
  <c r="Z50" i="64" s="1"/>
  <c r="Z10" i="74" s="1"/>
  <c r="Z50" i="69"/>
  <c r="Z67" i="68"/>
  <c r="Z54" i="68"/>
  <c r="Z41" i="68"/>
  <c r="AA4" i="68"/>
  <c r="AF59" i="54"/>
  <c r="AF31" i="64"/>
  <c r="AF33" i="64" s="1"/>
  <c r="AF9" i="74" s="1"/>
  <c r="AG60" i="54"/>
  <c r="AG32" i="64"/>
  <c r="AF126" i="54"/>
  <c r="AF33" i="72"/>
  <c r="AE45" i="73"/>
  <c r="AE239" i="54"/>
  <c r="AA47" i="64"/>
  <c r="AA92" i="54"/>
  <c r="AA72" i="68"/>
  <c r="AA48" i="69"/>
  <c r="AA41" i="73"/>
  <c r="AA235" i="54"/>
  <c r="Z47" i="69"/>
  <c r="Z51" i="69" s="1"/>
  <c r="Z17" i="74" s="1"/>
  <c r="Z91" i="54"/>
  <c r="Z71" i="68"/>
  <c r="Z75" i="68" s="1"/>
  <c r="Z16" i="74" s="1"/>
  <c r="Z15" i="74" s="1"/>
  <c r="X8" i="64"/>
  <c r="X13" i="64" s="1"/>
  <c r="X9" i="64"/>
  <c r="X14" i="64" s="1"/>
  <c r="X10" i="64"/>
  <c r="X15" i="64" s="1"/>
  <c r="AG34" i="72"/>
  <c r="AG127" i="54"/>
  <c r="AA93" i="54"/>
  <c r="AA48" i="64"/>
  <c r="AA73" i="68"/>
  <c r="AA49" i="69"/>
  <c r="AA45" i="69"/>
  <c r="AA89" i="54"/>
  <c r="AA69" i="68"/>
  <c r="AA17" i="69"/>
  <c r="AB4" i="69"/>
  <c r="AA30" i="69"/>
  <c r="AA43" i="69"/>
  <c r="W16" i="64"/>
  <c r="W8" i="74" s="1"/>
  <c r="W7" i="74" s="1"/>
  <c r="W25" i="74" s="1"/>
  <c r="Z28" i="73"/>
  <c r="Z40" i="73"/>
  <c r="AA4" i="73"/>
  <c r="Z16" i="73"/>
  <c r="AA42" i="73"/>
  <c r="AA236" i="54"/>
  <c r="AA44" i="69"/>
  <c r="AA88" i="54"/>
  <c r="AA68" i="68"/>
  <c r="AB237" i="54"/>
  <c r="AB43" i="73"/>
  <c r="AD125" i="54"/>
  <c r="AD32" i="72"/>
  <c r="AD35" i="72" s="1"/>
  <c r="AD22" i="74" s="1"/>
  <c r="AB4" i="72"/>
  <c r="AA13" i="72"/>
  <c r="AA31" i="72"/>
  <c r="AA22" i="72"/>
  <c r="AD238" i="54"/>
  <c r="AD44" i="73"/>
  <c r="Z15" i="33" l="1"/>
  <c r="Z50" i="41"/>
  <c r="Z16" i="33" s="1"/>
  <c r="Z51" i="41"/>
  <c r="AB25" i="47"/>
  <c r="AB19" i="36" s="1"/>
  <c r="AB48" i="41"/>
  <c r="AB19" i="47"/>
  <c r="AB18" i="36" s="1"/>
  <c r="AD72" i="40"/>
  <c r="AD78" i="40"/>
  <c r="AD66" i="40"/>
  <c r="AC23" i="10" s="1"/>
  <c r="AC46" i="41"/>
  <c r="AC45" i="41" s="1"/>
  <c r="AC47" i="41" s="1"/>
  <c r="Y51" i="41"/>
  <c r="AA14" i="33"/>
  <c r="AA49" i="41"/>
  <c r="AA7" i="50"/>
  <c r="AA5" i="35" s="1"/>
  <c r="AA5" i="42"/>
  <c r="AB7" i="44"/>
  <c r="AB13" i="44"/>
  <c r="AB6" i="42" s="1"/>
  <c r="AB19" i="44"/>
  <c r="AB7" i="42" s="1"/>
  <c r="AB25" i="45"/>
  <c r="AB40" i="43" s="1"/>
  <c r="AB37" i="45"/>
  <c r="AB42" i="43" s="1"/>
  <c r="AB31" i="45"/>
  <c r="AB41" i="43" s="1"/>
  <c r="AB13" i="45"/>
  <c r="AB6" i="43" s="1"/>
  <c r="AB19" i="45"/>
  <c r="AB7" i="43" s="1"/>
  <c r="AB7" i="45"/>
  <c r="AB5" i="43" s="1"/>
  <c r="AB22" i="10"/>
  <c r="AE59" i="40"/>
  <c r="AE29" i="40"/>
  <c r="AE23" i="40"/>
  <c r="AF11" i="40"/>
  <c r="AE35" i="40"/>
  <c r="AE17" i="40"/>
  <c r="AD5" i="4" s="1"/>
  <c r="AD5" i="61" s="1"/>
  <c r="AD41" i="40"/>
  <c r="Y58" i="63"/>
  <c r="W42" i="63"/>
  <c r="W40" i="63"/>
  <c r="AB13" i="61"/>
  <c r="AA7" i="61"/>
  <c r="Y7" i="63"/>
  <c r="Y21" i="63"/>
  <c r="Z15" i="61"/>
  <c r="Z49" i="63" s="1"/>
  <c r="Z50" i="63" s="1"/>
  <c r="Z55" i="63" s="1"/>
  <c r="Z56" i="63" s="1"/>
  <c r="Z21" i="61"/>
  <c r="Z23" i="61" s="1"/>
  <c r="X33" i="63"/>
  <c r="X34" i="63" s="1"/>
  <c r="X39" i="63" s="1"/>
  <c r="X9" i="63"/>
  <c r="AE46" i="69"/>
  <c r="AE90" i="54"/>
  <c r="AE70" i="68"/>
  <c r="AB68" i="68"/>
  <c r="AB88" i="54"/>
  <c r="AB44" i="69"/>
  <c r="AB45" i="69"/>
  <c r="AB89" i="54"/>
  <c r="AB69" i="68"/>
  <c r="AA47" i="69"/>
  <c r="AA91" i="54"/>
  <c r="AA71" i="68"/>
  <c r="AA75" i="68" s="1"/>
  <c r="AA16" i="74" s="1"/>
  <c r="AA15" i="74" s="1"/>
  <c r="AG126" i="54"/>
  <c r="AG33" i="72"/>
  <c r="AB235" i="54"/>
  <c r="AB41" i="73"/>
  <c r="AA47" i="73"/>
  <c r="AA23" i="74" s="1"/>
  <c r="AA21" i="74" s="1"/>
  <c r="AB72" i="68"/>
  <c r="AB92" i="54"/>
  <c r="AB47" i="64"/>
  <c r="AB48" i="69"/>
  <c r="AH127" i="54"/>
  <c r="AH34" i="72"/>
  <c r="AA51" i="69"/>
  <c r="AA17" i="74" s="1"/>
  <c r="AG59" i="54"/>
  <c r="AG31" i="64"/>
  <c r="AB46" i="73"/>
  <c r="AB240" i="54"/>
  <c r="AA50" i="64"/>
  <c r="AA10" i="74" s="1"/>
  <c r="AB236" i="54"/>
  <c r="AB42" i="73"/>
  <c r="AH58" i="54"/>
  <c r="AH30" i="64"/>
  <c r="AB17" i="69"/>
  <c r="AC4" i="69"/>
  <c r="AB43" i="69"/>
  <c r="AB30" i="69"/>
  <c r="AE44" i="73"/>
  <c r="AE238" i="54"/>
  <c r="AG33" i="64"/>
  <c r="AG9" i="74" s="1"/>
  <c r="AA28" i="73"/>
  <c r="AA40" i="73"/>
  <c r="AB4" i="73"/>
  <c r="AA16" i="73"/>
  <c r="AC4" i="72"/>
  <c r="AB31" i="72"/>
  <c r="AB22" i="72"/>
  <c r="AB13" i="72"/>
  <c r="Y9" i="64"/>
  <c r="Y14" i="64" s="1"/>
  <c r="Y8" i="64"/>
  <c r="Y13" i="64" s="1"/>
  <c r="Y10" i="64"/>
  <c r="Y15" i="64" s="1"/>
  <c r="AE125" i="54"/>
  <c r="AE32" i="72"/>
  <c r="AE35" i="72" s="1"/>
  <c r="AE22" i="74" s="1"/>
  <c r="AC43" i="73"/>
  <c r="AC237" i="54"/>
  <c r="X16" i="64"/>
  <c r="X8" i="74" s="1"/>
  <c r="X7" i="74" s="1"/>
  <c r="X25" i="74" s="1"/>
  <c r="AA49" i="64"/>
  <c r="AA94" i="54"/>
  <c r="AA50" i="69"/>
  <c r="AA74" i="68"/>
  <c r="AH60" i="54"/>
  <c r="AH32" i="64"/>
  <c r="AB48" i="64"/>
  <c r="AB93" i="54"/>
  <c r="AB73" i="68"/>
  <c r="AB49" i="69"/>
  <c r="AA67" i="68"/>
  <c r="AA54" i="68"/>
  <c r="AA41" i="68"/>
  <c r="AB4" i="68"/>
  <c r="AF239" i="54"/>
  <c r="AF45" i="73"/>
  <c r="AB49" i="41" l="1"/>
  <c r="AB14" i="33"/>
  <c r="AE41" i="40"/>
  <c r="AE53" i="40" s="1"/>
  <c r="AE72" i="40"/>
  <c r="AE66" i="40"/>
  <c r="AD23" i="10" s="1"/>
  <c r="AE78" i="40"/>
  <c r="AD46" i="41"/>
  <c r="AD45" i="41" s="1"/>
  <c r="AD47" i="41" s="1"/>
  <c r="AA50" i="41"/>
  <c r="AA16" i="33" s="1"/>
  <c r="AA15" i="33"/>
  <c r="AC19" i="47"/>
  <c r="AC18" i="36" s="1"/>
  <c r="AC25" i="47"/>
  <c r="AC19" i="36" s="1"/>
  <c r="AC48" i="41"/>
  <c r="X42" i="63"/>
  <c r="AC13" i="45"/>
  <c r="AC6" i="43" s="1"/>
  <c r="AC19" i="45"/>
  <c r="AC7" i="43" s="1"/>
  <c r="AC7" i="45"/>
  <c r="AC5" i="43" s="1"/>
  <c r="AC22" i="10"/>
  <c r="AB7" i="50"/>
  <c r="AB5" i="35" s="1"/>
  <c r="AB5" i="42"/>
  <c r="AC7" i="44"/>
  <c r="AC13" i="44"/>
  <c r="AC6" i="42" s="1"/>
  <c r="AC19" i="44"/>
  <c r="AC7" i="42" s="1"/>
  <c r="AC25" i="45"/>
  <c r="AC40" i="43" s="1"/>
  <c r="AC31" i="45"/>
  <c r="AC41" i="43" s="1"/>
  <c r="AC37" i="45"/>
  <c r="AC42" i="43" s="1"/>
  <c r="AD53" i="40"/>
  <c r="AD47" i="40"/>
  <c r="AC13" i="4" s="1"/>
  <c r="AF23" i="40"/>
  <c r="AG11" i="40"/>
  <c r="AF17" i="40"/>
  <c r="AE5" i="4" s="1"/>
  <c r="AE5" i="61" s="1"/>
  <c r="AF35" i="40"/>
  <c r="AF59" i="40"/>
  <c r="AF29" i="40"/>
  <c r="Z21" i="63"/>
  <c r="Z7" i="63"/>
  <c r="Y33" i="63"/>
  <c r="Y34" i="63" s="1"/>
  <c r="Y39" i="63" s="1"/>
  <c r="Y9" i="63"/>
  <c r="AB7" i="61"/>
  <c r="AC13" i="61"/>
  <c r="AA21" i="61"/>
  <c r="AA23" i="61" s="1"/>
  <c r="AA15" i="61"/>
  <c r="AA49" i="63" s="1"/>
  <c r="AA50" i="63" s="1"/>
  <c r="AA55" i="63" s="1"/>
  <c r="AA56" i="63" s="1"/>
  <c r="X40" i="63"/>
  <c r="Z58" i="63"/>
  <c r="AB71" i="68"/>
  <c r="AB47" i="69"/>
  <c r="AB51" i="69" s="1"/>
  <c r="AB17" i="74" s="1"/>
  <c r="AB91" i="54"/>
  <c r="Z9" i="64"/>
  <c r="Z14" i="64" s="1"/>
  <c r="Z10" i="64"/>
  <c r="Z15" i="64" s="1"/>
  <c r="Z8" i="64"/>
  <c r="Z13" i="64" s="1"/>
  <c r="AF238" i="54"/>
  <c r="AF44" i="73"/>
  <c r="AF125" i="54"/>
  <c r="AF32" i="72"/>
  <c r="AF35" i="72" s="1"/>
  <c r="AF22" i="74" s="1"/>
  <c r="AC42" i="73"/>
  <c r="AC236" i="54"/>
  <c r="AC48" i="69"/>
  <c r="AC92" i="54"/>
  <c r="AC47" i="64"/>
  <c r="AC72" i="68"/>
  <c r="AC68" i="68"/>
  <c r="AC44" i="69"/>
  <c r="AC88" i="54"/>
  <c r="AD4" i="69"/>
  <c r="AC43" i="69"/>
  <c r="AC30" i="69"/>
  <c r="AC17" i="69"/>
  <c r="AB41" i="68"/>
  <c r="AC4" i="68"/>
  <c r="AB67" i="68"/>
  <c r="AB54" i="68"/>
  <c r="AI127" i="54"/>
  <c r="AI34" i="72"/>
  <c r="AI30" i="64"/>
  <c r="AI58" i="54"/>
  <c r="AC73" i="68"/>
  <c r="AC93" i="54"/>
  <c r="AC49" i="69"/>
  <c r="AC48" i="64"/>
  <c r="AC46" i="73"/>
  <c r="AC240" i="54"/>
  <c r="AB47" i="73"/>
  <c r="AB23" i="74" s="1"/>
  <c r="AB21" i="74" s="1"/>
  <c r="AF70" i="68"/>
  <c r="AF90" i="54"/>
  <c r="AF46" i="69"/>
  <c r="AC235" i="54"/>
  <c r="AC41" i="73"/>
  <c r="AC47" i="73" s="1"/>
  <c r="AC23" i="74" s="1"/>
  <c r="AC21" i="74" s="1"/>
  <c r="AD237" i="54"/>
  <c r="AD43" i="73"/>
  <c r="AH33" i="64"/>
  <c r="AH9" i="74" s="1"/>
  <c r="AI32" i="64"/>
  <c r="AI60" i="54"/>
  <c r="AB74" i="68"/>
  <c r="AB75" i="68" s="1"/>
  <c r="AB16" i="74" s="1"/>
  <c r="AB15" i="74" s="1"/>
  <c r="AB94" i="54"/>
  <c r="AB49" i="64"/>
  <c r="AB50" i="64" s="1"/>
  <c r="AB10" i="74" s="1"/>
  <c r="AB50" i="69"/>
  <c r="AD4" i="72"/>
  <c r="AC31" i="72"/>
  <c r="AC13" i="72"/>
  <c r="AC22" i="72"/>
  <c r="AB28" i="73"/>
  <c r="AB16" i="73"/>
  <c r="AC4" i="73"/>
  <c r="AB40" i="73"/>
  <c r="AC45" i="69"/>
  <c r="AC89" i="54"/>
  <c r="AC69" i="68"/>
  <c r="Y16" i="64"/>
  <c r="Y8" i="74" s="1"/>
  <c r="Y7" i="74" s="1"/>
  <c r="Y25" i="74" s="1"/>
  <c r="AG45" i="73"/>
  <c r="AG239" i="54"/>
  <c r="AH59" i="54"/>
  <c r="AH31" i="64"/>
  <c r="AH126" i="54"/>
  <c r="AH33" i="72"/>
  <c r="AD19" i="47" l="1"/>
  <c r="AD18" i="36" s="1"/>
  <c r="AD48" i="41"/>
  <c r="AD25" i="47"/>
  <c r="AD19" i="36" s="1"/>
  <c r="AF78" i="40"/>
  <c r="AF72" i="40"/>
  <c r="AF66" i="40"/>
  <c r="AE23" i="10" s="1"/>
  <c r="AE46" i="41"/>
  <c r="AE45" i="41" s="1"/>
  <c r="AE47" i="41" s="1"/>
  <c r="AE47" i="40"/>
  <c r="AD13" i="4" s="1"/>
  <c r="AC49" i="41"/>
  <c r="AC14" i="33"/>
  <c r="AA51" i="41"/>
  <c r="AB15" i="33"/>
  <c r="AB50" i="41"/>
  <c r="Y42" i="63"/>
  <c r="AC7" i="50"/>
  <c r="AC5" i="35" s="1"/>
  <c r="AC5" i="42"/>
  <c r="AD13" i="45"/>
  <c r="AD6" i="43" s="1"/>
  <c r="AD19" i="45"/>
  <c r="AD7" i="43" s="1"/>
  <c r="AD7" i="45"/>
  <c r="AD5" i="43" s="1"/>
  <c r="AD22" i="10"/>
  <c r="AD7" i="44"/>
  <c r="AD31" i="45"/>
  <c r="AD41" i="43" s="1"/>
  <c r="AD13" i="44"/>
  <c r="AD6" i="42" s="1"/>
  <c r="AD19" i="44"/>
  <c r="AD7" i="42" s="1"/>
  <c r="AD25" i="45"/>
  <c r="AD40" i="43" s="1"/>
  <c r="AD37" i="45"/>
  <c r="AD42" i="43" s="1"/>
  <c r="AF41" i="40"/>
  <c r="AG17" i="40"/>
  <c r="AF5" i="4" s="1"/>
  <c r="AF5" i="61" s="1"/>
  <c r="AH11" i="40"/>
  <c r="AG59" i="40"/>
  <c r="AG29" i="40"/>
  <c r="AG23" i="40"/>
  <c r="AG35" i="40"/>
  <c r="Y40" i="63"/>
  <c r="AB21" i="61"/>
  <c r="AB23" i="61" s="1"/>
  <c r="AB15" i="61"/>
  <c r="AB49" i="63" s="1"/>
  <c r="AB50" i="63" s="1"/>
  <c r="AB55" i="63" s="1"/>
  <c r="AB56" i="63" s="1"/>
  <c r="AA21" i="63"/>
  <c r="AA7" i="63"/>
  <c r="AD13" i="61"/>
  <c r="AC7" i="61"/>
  <c r="AA58" i="63"/>
  <c r="Z33" i="63"/>
  <c r="Z34" i="63" s="1"/>
  <c r="Z39" i="63" s="1"/>
  <c r="Z9" i="63"/>
  <c r="Z16" i="64"/>
  <c r="Z8" i="74" s="1"/>
  <c r="Z7" i="74" s="1"/>
  <c r="Z25" i="74" s="1"/>
  <c r="AD235" i="54"/>
  <c r="AD41" i="73"/>
  <c r="AD93" i="54"/>
  <c r="AD73" i="68"/>
  <c r="AD49" i="69"/>
  <c r="AD48" i="64"/>
  <c r="AG238" i="54"/>
  <c r="AG44" i="73"/>
  <c r="AJ32" i="64"/>
  <c r="AJ60" i="54"/>
  <c r="AC28" i="73"/>
  <c r="AC16" i="73"/>
  <c r="AC40" i="73"/>
  <c r="AD4" i="73"/>
  <c r="AG90" i="54"/>
  <c r="AG70" i="68"/>
  <c r="AG46" i="69"/>
  <c r="AC75" i="68"/>
  <c r="AC16" i="74" s="1"/>
  <c r="AE4" i="72"/>
  <c r="AD31" i="72"/>
  <c r="AD13" i="72"/>
  <c r="AD22" i="72"/>
  <c r="AD43" i="69"/>
  <c r="AD17" i="69"/>
  <c r="AE4" i="69"/>
  <c r="AD30" i="69"/>
  <c r="AI126" i="54"/>
  <c r="AI33" i="72"/>
  <c r="AC50" i="64"/>
  <c r="AC10" i="74" s="1"/>
  <c r="AG125" i="54"/>
  <c r="AG32" i="72"/>
  <c r="AG35" i="72" s="1"/>
  <c r="AG22" i="74" s="1"/>
  <c r="AD69" i="68"/>
  <c r="AD89" i="54"/>
  <c r="AD45" i="69"/>
  <c r="AC74" i="68"/>
  <c r="AC94" i="54"/>
  <c r="AC50" i="69"/>
  <c r="AC49" i="64"/>
  <c r="AD240" i="54"/>
  <c r="AD46" i="73"/>
  <c r="AD48" i="69"/>
  <c r="AD72" i="68"/>
  <c r="AD92" i="54"/>
  <c r="AD47" i="64"/>
  <c r="AD88" i="54"/>
  <c r="AD68" i="68"/>
  <c r="AD44" i="69"/>
  <c r="AC71" i="68"/>
  <c r="AC47" i="69"/>
  <c r="AC51" i="69" s="1"/>
  <c r="AC17" i="74" s="1"/>
  <c r="AC91" i="54"/>
  <c r="AA10" i="64"/>
  <c r="AA15" i="64" s="1"/>
  <c r="AA9" i="64"/>
  <c r="AA14" i="64" s="1"/>
  <c r="AA8" i="64"/>
  <c r="AA13" i="64" s="1"/>
  <c r="AI59" i="54"/>
  <c r="AI31" i="64"/>
  <c r="AI33" i="64" s="1"/>
  <c r="AI9" i="74" s="1"/>
  <c r="AC54" i="68"/>
  <c r="AC41" i="68"/>
  <c r="AD4" i="68"/>
  <c r="AC67" i="68"/>
  <c r="AJ30" i="64"/>
  <c r="AJ58" i="54"/>
  <c r="AJ127" i="54"/>
  <c r="AJ34" i="72"/>
  <c r="AH239" i="54"/>
  <c r="AH45" i="73"/>
  <c r="AE237" i="54"/>
  <c r="AE43" i="73"/>
  <c r="AD236" i="54"/>
  <c r="AD42" i="73"/>
  <c r="Z42" i="63" l="1"/>
  <c r="AE19" i="47"/>
  <c r="AE18" i="36" s="1"/>
  <c r="AE48" i="41"/>
  <c r="AE25" i="47"/>
  <c r="AE19" i="36" s="1"/>
  <c r="AG78" i="40"/>
  <c r="AG72" i="40"/>
  <c r="AG66" i="40"/>
  <c r="AF46" i="41"/>
  <c r="AF45" i="41" s="1"/>
  <c r="AF47" i="41" s="1"/>
  <c r="AG41" i="40"/>
  <c r="AC50" i="41"/>
  <c r="AC15" i="33"/>
  <c r="AB16" i="33"/>
  <c r="AB51" i="41"/>
  <c r="AD49" i="41"/>
  <c r="AD14" i="33"/>
  <c r="AB58" i="63"/>
  <c r="AE13" i="45"/>
  <c r="AE6" i="43" s="1"/>
  <c r="AE19" i="45"/>
  <c r="AE7" i="43" s="1"/>
  <c r="AE7" i="45"/>
  <c r="AE5" i="43" s="1"/>
  <c r="AE22" i="10"/>
  <c r="AD7" i="50"/>
  <c r="AD5" i="35" s="1"/>
  <c r="AD5" i="42"/>
  <c r="AE37" i="45"/>
  <c r="AE42" i="43" s="1"/>
  <c r="AE7" i="44"/>
  <c r="AE13" i="44"/>
  <c r="AE6" i="42" s="1"/>
  <c r="AE19" i="44"/>
  <c r="AE7" i="42" s="1"/>
  <c r="AE25" i="45"/>
  <c r="AE40" i="43" s="1"/>
  <c r="AE31" i="45"/>
  <c r="AE41" i="43" s="1"/>
  <c r="AI11" i="40"/>
  <c r="AH35" i="40"/>
  <c r="AH59" i="40"/>
  <c r="AH29" i="40"/>
  <c r="AH23" i="40"/>
  <c r="AH17" i="40"/>
  <c r="AG5" i="4" s="1"/>
  <c r="AG5" i="61" s="1"/>
  <c r="AF53" i="40"/>
  <c r="AF47" i="40"/>
  <c r="AE13" i="4" s="1"/>
  <c r="AF23" i="10"/>
  <c r="AG47" i="40"/>
  <c r="AF13" i="4" s="1"/>
  <c r="AG53" i="40"/>
  <c r="AA16" i="64"/>
  <c r="AA8" i="74" s="1"/>
  <c r="AA7" i="74" s="1"/>
  <c r="AA25" i="74" s="1"/>
  <c r="AD7" i="61"/>
  <c r="AE13" i="61"/>
  <c r="AA9" i="63"/>
  <c r="AA33" i="63"/>
  <c r="AA34" i="63" s="1"/>
  <c r="AA39" i="63" s="1"/>
  <c r="AC15" i="61"/>
  <c r="AC49" i="63" s="1"/>
  <c r="AC50" i="63" s="1"/>
  <c r="AC55" i="63" s="1"/>
  <c r="AC21" i="61"/>
  <c r="AC23" i="61" s="1"/>
  <c r="AB7" i="63"/>
  <c r="AB21" i="63"/>
  <c r="Z40" i="63"/>
  <c r="AF237" i="54"/>
  <c r="AF43" i="73"/>
  <c r="AK60" i="54"/>
  <c r="AK32" i="64"/>
  <c r="AJ59" i="54"/>
  <c r="AJ31" i="64"/>
  <c r="AJ33" i="64" s="1"/>
  <c r="AJ9" i="74" s="1"/>
  <c r="AE240" i="54"/>
  <c r="AE46" i="73"/>
  <c r="AB10" i="64"/>
  <c r="AB15" i="64" s="1"/>
  <c r="AB9" i="64"/>
  <c r="AB14" i="64" s="1"/>
  <c r="AB8" i="64"/>
  <c r="AB13" i="64" s="1"/>
  <c r="AE93" i="54"/>
  <c r="AE49" i="69"/>
  <c r="AE73" i="68"/>
  <c r="AE48" i="64"/>
  <c r="AD50" i="64"/>
  <c r="AD10" i="74" s="1"/>
  <c r="AK127" i="54"/>
  <c r="AK34" i="72"/>
  <c r="AH238" i="54"/>
  <c r="AH44" i="73"/>
  <c r="AH90" i="54"/>
  <c r="AH70" i="68"/>
  <c r="AH46" i="69"/>
  <c r="AD47" i="73"/>
  <c r="AD23" i="74" s="1"/>
  <c r="AD21" i="74" s="1"/>
  <c r="AE89" i="54"/>
  <c r="AE45" i="69"/>
  <c r="AE69" i="68"/>
  <c r="AF4" i="72"/>
  <c r="AE31" i="72"/>
  <c r="AE13" i="72"/>
  <c r="AE22" i="72"/>
  <c r="AD54" i="68"/>
  <c r="AD67" i="68"/>
  <c r="AE4" i="68"/>
  <c r="AD41" i="68"/>
  <c r="AJ126" i="54"/>
  <c r="AJ33" i="72"/>
  <c r="AD28" i="73"/>
  <c r="AD40" i="73"/>
  <c r="AE4" i="73"/>
  <c r="AD16" i="73"/>
  <c r="AE41" i="73"/>
  <c r="AE235" i="54"/>
  <c r="AI239" i="54"/>
  <c r="AI45" i="73"/>
  <c r="AE48" i="69"/>
  <c r="AE72" i="68"/>
  <c r="AE92" i="54"/>
  <c r="AE47" i="64"/>
  <c r="AK30" i="64"/>
  <c r="AK58" i="54"/>
  <c r="AC15" i="74"/>
  <c r="AE236" i="54"/>
  <c r="AE42" i="73"/>
  <c r="AE88" i="54"/>
  <c r="AE44" i="69"/>
  <c r="AE68" i="68"/>
  <c r="AH125" i="54"/>
  <c r="AH32" i="72"/>
  <c r="AH35" i="72" s="1"/>
  <c r="AH22" i="74" s="1"/>
  <c r="AD91" i="54"/>
  <c r="AD47" i="69"/>
  <c r="AD71" i="68"/>
  <c r="AD75" i="68" s="1"/>
  <c r="AD16" i="74" s="1"/>
  <c r="AD94" i="54"/>
  <c r="AD74" i="68"/>
  <c r="AD50" i="69"/>
  <c r="AD51" i="69" s="1"/>
  <c r="AD17" i="74" s="1"/>
  <c r="AD49" i="64"/>
  <c r="AE43" i="69"/>
  <c r="AE17" i="69"/>
  <c r="AF4" i="69"/>
  <c r="AE30" i="69"/>
  <c r="AA42" i="63" l="1"/>
  <c r="AD15" i="33"/>
  <c r="AD50" i="41"/>
  <c r="AD16" i="33" s="1"/>
  <c r="AF19" i="47"/>
  <c r="AF18" i="36" s="1"/>
  <c r="AF48" i="41"/>
  <c r="AF25" i="47"/>
  <c r="AF19" i="36" s="1"/>
  <c r="AH78" i="40"/>
  <c r="AH66" i="40"/>
  <c r="AG23" i="10" s="1"/>
  <c r="AH72" i="40"/>
  <c r="AG46" i="41"/>
  <c r="AG45" i="41" s="1"/>
  <c r="AG47" i="41" s="1"/>
  <c r="AD51" i="41"/>
  <c r="AE14" i="33"/>
  <c r="AE49" i="41"/>
  <c r="AC16" i="33"/>
  <c r="AC51" i="41"/>
  <c r="AA40" i="63"/>
  <c r="AF13" i="45"/>
  <c r="AF6" i="43" s="1"/>
  <c r="AF19" i="45"/>
  <c r="AF7" i="43" s="1"/>
  <c r="AF7" i="45"/>
  <c r="AF5" i="43" s="1"/>
  <c r="AF22" i="10"/>
  <c r="AE7" i="50"/>
  <c r="AE5" i="35" s="1"/>
  <c r="AE5" i="42"/>
  <c r="AF19" i="44"/>
  <c r="AF7" i="42" s="1"/>
  <c r="AF37" i="45"/>
  <c r="AF42" i="43" s="1"/>
  <c r="AF25" i="45"/>
  <c r="AF40" i="43" s="1"/>
  <c r="AF7" i="44"/>
  <c r="AF13" i="44"/>
  <c r="AF6" i="42" s="1"/>
  <c r="AF31" i="45"/>
  <c r="AF41" i="43" s="1"/>
  <c r="AI35" i="40"/>
  <c r="AI59" i="40"/>
  <c r="AI29" i="40"/>
  <c r="AI23" i="40"/>
  <c r="AI17" i="40"/>
  <c r="AH5" i="4" s="1"/>
  <c r="AH5" i="61" s="1"/>
  <c r="AJ11" i="40"/>
  <c r="AH41" i="40"/>
  <c r="AC21" i="63"/>
  <c r="AC7" i="63"/>
  <c r="AB33" i="63"/>
  <c r="AB34" i="63" s="1"/>
  <c r="AB39" i="63" s="1"/>
  <c r="AB42" i="63" s="1"/>
  <c r="AB9" i="63"/>
  <c r="AC56" i="63"/>
  <c r="AC58" i="63"/>
  <c r="AD15" i="61"/>
  <c r="AD49" i="63" s="1"/>
  <c r="AD50" i="63" s="1"/>
  <c r="AD55" i="63" s="1"/>
  <c r="AD21" i="61"/>
  <c r="AD23" i="61" s="1"/>
  <c r="AF13" i="61"/>
  <c r="AE7" i="61"/>
  <c r="AB16" i="64"/>
  <c r="AB8" i="74" s="1"/>
  <c r="AB7" i="74" s="1"/>
  <c r="AB25" i="74" s="1"/>
  <c r="AD15" i="74"/>
  <c r="AF41" i="73"/>
  <c r="AF235" i="54"/>
  <c r="AL127" i="54"/>
  <c r="AL34" i="72"/>
  <c r="AK59" i="54"/>
  <c r="AK31" i="64"/>
  <c r="AF240" i="54"/>
  <c r="AF46" i="73"/>
  <c r="AE47" i="73"/>
  <c r="AE23" i="74" s="1"/>
  <c r="AE21" i="74" s="1"/>
  <c r="AE74" i="68"/>
  <c r="AE75" i="68" s="1"/>
  <c r="AE16" i="74" s="1"/>
  <c r="AE15" i="74" s="1"/>
  <c r="AE94" i="54"/>
  <c r="AE49" i="64"/>
  <c r="AE50" i="69"/>
  <c r="AL60" i="54"/>
  <c r="AL32" i="64"/>
  <c r="AJ239" i="54"/>
  <c r="AJ45" i="73"/>
  <c r="AF89" i="54"/>
  <c r="AF45" i="69"/>
  <c r="AF69" i="68"/>
  <c r="AF88" i="54"/>
  <c r="AF44" i="69"/>
  <c r="AF68" i="68"/>
  <c r="AC8" i="64"/>
  <c r="AC13" i="64" s="1"/>
  <c r="AC9" i="64"/>
  <c r="AC14" i="64" s="1"/>
  <c r="AC10" i="64"/>
  <c r="AC15" i="64" s="1"/>
  <c r="AE91" i="54"/>
  <c r="AE47" i="69"/>
  <c r="AE71" i="68"/>
  <c r="AK126" i="54"/>
  <c r="AK33" i="72"/>
  <c r="AE40" i="73"/>
  <c r="AE28" i="73"/>
  <c r="AF4" i="73"/>
  <c r="AE16" i="73"/>
  <c r="AF73" i="68"/>
  <c r="AF49" i="69"/>
  <c r="AF93" i="54"/>
  <c r="AF48" i="64"/>
  <c r="AL58" i="54"/>
  <c r="AL30" i="64"/>
  <c r="AK33" i="64"/>
  <c r="AK9" i="74" s="1"/>
  <c r="AF17" i="69"/>
  <c r="AF43" i="69"/>
  <c r="AG4" i="69"/>
  <c r="AF30" i="69"/>
  <c r="AE50" i="64"/>
  <c r="AE10" i="74" s="1"/>
  <c r="AI125" i="54"/>
  <c r="AI32" i="72"/>
  <c r="AI35" i="72" s="1"/>
  <c r="AI22" i="74" s="1"/>
  <c r="AE67" i="68"/>
  <c r="AE54" i="68"/>
  <c r="AE41" i="68"/>
  <c r="AF4" i="68"/>
  <c r="AI90" i="54"/>
  <c r="AI46" i="69"/>
  <c r="AI70" i="68"/>
  <c r="AI238" i="54"/>
  <c r="AI44" i="73"/>
  <c r="AF236" i="54"/>
  <c r="AF42" i="73"/>
  <c r="AG4" i="72"/>
  <c r="AF31" i="72"/>
  <c r="AF13" i="72"/>
  <c r="AF22" i="72"/>
  <c r="AG237" i="54"/>
  <c r="AG43" i="73"/>
  <c r="AF48" i="69"/>
  <c r="AF47" i="64"/>
  <c r="AF92" i="54"/>
  <c r="AF72" i="68"/>
  <c r="AE51" i="69"/>
  <c r="AE17" i="74" s="1"/>
  <c r="AG48" i="41" l="1"/>
  <c r="AG19" i="47"/>
  <c r="AG18" i="36" s="1"/>
  <c r="AG25" i="47"/>
  <c r="AG19" i="36" s="1"/>
  <c r="AE50" i="41"/>
  <c r="AE16" i="33" s="1"/>
  <c r="AE15" i="33"/>
  <c r="AE51" i="41"/>
  <c r="AF49" i="41"/>
  <c r="AF14" i="33"/>
  <c r="AI72" i="40"/>
  <c r="AI78" i="40"/>
  <c r="AI66" i="40"/>
  <c r="AH46" i="41"/>
  <c r="AH45" i="41" s="1"/>
  <c r="AH47" i="41" s="1"/>
  <c r="AD56" i="63"/>
  <c r="AF7" i="50"/>
  <c r="AF5" i="35" s="1"/>
  <c r="AF5" i="42"/>
  <c r="AG31" i="45"/>
  <c r="AG41" i="43" s="1"/>
  <c r="AG37" i="45"/>
  <c r="AG42" i="43" s="1"/>
  <c r="AG13" i="44"/>
  <c r="AG6" i="42" s="1"/>
  <c r="AG7" i="44"/>
  <c r="AG19" i="44"/>
  <c r="AG7" i="42" s="1"/>
  <c r="AG25" i="45"/>
  <c r="AG40" i="43" s="1"/>
  <c r="AG19" i="45"/>
  <c r="AG7" i="43" s="1"/>
  <c r="AG13" i="45"/>
  <c r="AG6" i="43" s="1"/>
  <c r="AG7" i="45"/>
  <c r="AG5" i="43" s="1"/>
  <c r="AG22" i="10"/>
  <c r="AH23" i="10"/>
  <c r="AH53" i="40"/>
  <c r="AH47" i="40"/>
  <c r="AG13" i="4" s="1"/>
  <c r="AJ59" i="40"/>
  <c r="AJ29" i="40"/>
  <c r="AJ23" i="40"/>
  <c r="AJ17" i="40"/>
  <c r="AI5" i="4" s="1"/>
  <c r="AI5" i="61" s="1"/>
  <c r="AK11" i="40"/>
  <c r="AJ35" i="40"/>
  <c r="AI41" i="40"/>
  <c r="AF7" i="61"/>
  <c r="AG13" i="61"/>
  <c r="AD7" i="63"/>
  <c r="AD21" i="63"/>
  <c r="AC33" i="63"/>
  <c r="AC34" i="63" s="1"/>
  <c r="AC39" i="63" s="1"/>
  <c r="AC42" i="63" s="1"/>
  <c r="AC9" i="63"/>
  <c r="AE21" i="61"/>
  <c r="AE23" i="61" s="1"/>
  <c r="AE15" i="61"/>
  <c r="AE49" i="63" s="1"/>
  <c r="AE50" i="63" s="1"/>
  <c r="AE55" i="63" s="1"/>
  <c r="AD58" i="63"/>
  <c r="AB40" i="63"/>
  <c r="AJ70" i="68"/>
  <c r="AJ90" i="54"/>
  <c r="AJ46" i="69"/>
  <c r="AF41" i="68"/>
  <c r="AG4" i="68"/>
  <c r="AF67" i="68"/>
  <c r="AF54" i="68"/>
  <c r="AL33" i="64"/>
  <c r="AL9" i="74" s="1"/>
  <c r="AL126" i="54"/>
  <c r="AL33" i="72"/>
  <c r="AG31" i="72"/>
  <c r="AG13" i="72"/>
  <c r="AG22" i="72"/>
  <c r="AH4" i="72"/>
  <c r="AJ125" i="54"/>
  <c r="AJ32" i="72"/>
  <c r="AJ35" i="72" s="1"/>
  <c r="AJ22" i="74" s="1"/>
  <c r="AM127" i="54"/>
  <c r="AM34" i="72"/>
  <c r="AH237" i="54"/>
  <c r="AH43" i="73"/>
  <c r="AG49" i="69"/>
  <c r="AG73" i="68"/>
  <c r="AG93" i="54"/>
  <c r="AG48" i="64"/>
  <c r="AG89" i="54"/>
  <c r="AG45" i="69"/>
  <c r="AG69" i="68"/>
  <c r="AF47" i="69"/>
  <c r="AF51" i="69" s="1"/>
  <c r="AF17" i="74" s="1"/>
  <c r="AF91" i="54"/>
  <c r="AF71" i="68"/>
  <c r="AF75" i="68" s="1"/>
  <c r="AF16" i="74" s="1"/>
  <c r="AF15" i="74" s="1"/>
  <c r="AG88" i="54"/>
  <c r="AG44" i="69"/>
  <c r="AG68" i="68"/>
  <c r="AG46" i="73"/>
  <c r="AG240" i="54"/>
  <c r="AD8" i="64"/>
  <c r="AD13" i="64" s="1"/>
  <c r="AD9" i="64"/>
  <c r="AD14" i="64" s="1"/>
  <c r="AD10" i="64"/>
  <c r="AD15" i="64" s="1"/>
  <c r="AG92" i="54"/>
  <c r="AG72" i="68"/>
  <c r="AG48" i="69"/>
  <c r="AG47" i="64"/>
  <c r="AG17" i="69"/>
  <c r="AG30" i="69"/>
  <c r="AG43" i="69"/>
  <c r="AH4" i="69"/>
  <c r="AF40" i="73"/>
  <c r="AF28" i="73"/>
  <c r="AF16" i="73"/>
  <c r="AG4" i="73"/>
  <c r="AM60" i="54"/>
  <c r="AM32" i="64"/>
  <c r="AF74" i="68"/>
  <c r="AF50" i="69"/>
  <c r="AF94" i="54"/>
  <c r="AF49" i="64"/>
  <c r="AM58" i="54"/>
  <c r="AM30" i="64"/>
  <c r="AK239" i="54"/>
  <c r="AK45" i="73"/>
  <c r="AG42" i="73"/>
  <c r="AG236" i="54"/>
  <c r="AF50" i="64"/>
  <c r="AF10" i="74" s="1"/>
  <c r="AJ238" i="54"/>
  <c r="AJ44" i="73"/>
  <c r="AC16" i="64"/>
  <c r="AC8" i="74" s="1"/>
  <c r="AC7" i="74" s="1"/>
  <c r="AC25" i="74" s="1"/>
  <c r="AL59" i="54"/>
  <c r="AL31" i="64"/>
  <c r="AG41" i="73"/>
  <c r="AG235" i="54"/>
  <c r="AF47" i="73"/>
  <c r="AF23" i="74" s="1"/>
  <c r="AF21" i="74" s="1"/>
  <c r="AE56" i="63" l="1"/>
  <c r="AH19" i="47"/>
  <c r="AH18" i="36" s="1"/>
  <c r="AH25" i="47"/>
  <c r="AH19" i="36" s="1"/>
  <c r="AH48" i="41"/>
  <c r="AJ72" i="40"/>
  <c r="AJ66" i="40"/>
  <c r="AJ78" i="40"/>
  <c r="AI46" i="41"/>
  <c r="AI45" i="41" s="1"/>
  <c r="AI47" i="41" s="1"/>
  <c r="AF50" i="41"/>
  <c r="AF15" i="33"/>
  <c r="AG14" i="33"/>
  <c r="AG49" i="41"/>
  <c r="AC40" i="63"/>
  <c r="AH7" i="45"/>
  <c r="AH5" i="43" s="1"/>
  <c r="AH13" i="45"/>
  <c r="AH6" i="43" s="1"/>
  <c r="AH19" i="45"/>
  <c r="AH7" i="43" s="1"/>
  <c r="AH22" i="10"/>
  <c r="AH19" i="44"/>
  <c r="AH7" i="42" s="1"/>
  <c r="AH31" i="45"/>
  <c r="AH41" i="43" s="1"/>
  <c r="AH37" i="45"/>
  <c r="AH42" i="43" s="1"/>
  <c r="AH13" i="44"/>
  <c r="AH6" i="42" s="1"/>
  <c r="AH7" i="44"/>
  <c r="AH25" i="45"/>
  <c r="AH40" i="43" s="1"/>
  <c r="AG7" i="50"/>
  <c r="AG5" i="35" s="1"/>
  <c r="AG5" i="42"/>
  <c r="AI23" i="10"/>
  <c r="AK23" i="40"/>
  <c r="AK17" i="40"/>
  <c r="AJ5" i="4" s="1"/>
  <c r="AJ5" i="61" s="1"/>
  <c r="AK29" i="40"/>
  <c r="AK41" i="40"/>
  <c r="AL11" i="40"/>
  <c r="AK59" i="40"/>
  <c r="AK35" i="40"/>
  <c r="AJ41" i="40"/>
  <c r="AI53" i="40"/>
  <c r="AI47" i="40"/>
  <c r="AH13" i="4" s="1"/>
  <c r="AE7" i="63"/>
  <c r="AE21" i="63"/>
  <c r="AE58" i="63"/>
  <c r="AD33" i="63"/>
  <c r="AD34" i="63" s="1"/>
  <c r="AD39" i="63" s="1"/>
  <c r="AD9" i="63"/>
  <c r="AF15" i="61"/>
  <c r="AF49" i="63" s="1"/>
  <c r="AF50" i="63" s="1"/>
  <c r="AF55" i="63" s="1"/>
  <c r="AF56" i="63" s="1"/>
  <c r="AF21" i="61"/>
  <c r="AF23" i="61" s="1"/>
  <c r="AG7" i="61"/>
  <c r="AH13" i="61"/>
  <c r="AK44" i="73"/>
  <c r="AK238" i="54"/>
  <c r="AN127" i="54"/>
  <c r="AN34" i="72"/>
  <c r="AH69" i="68"/>
  <c r="AH89" i="54"/>
  <c r="AH45" i="69"/>
  <c r="AH31" i="72"/>
  <c r="AH13" i="72"/>
  <c r="AH22" i="72"/>
  <c r="AI4" i="72"/>
  <c r="AH49" i="69"/>
  <c r="AH93" i="54"/>
  <c r="AH48" i="64"/>
  <c r="AH73" i="68"/>
  <c r="AG67" i="68"/>
  <c r="AG41" i="68"/>
  <c r="AH4" i="68"/>
  <c r="AG54" i="68"/>
  <c r="AL239" i="54"/>
  <c r="AL45" i="73"/>
  <c r="AM59" i="54"/>
  <c r="AM31" i="64"/>
  <c r="AM33" i="64" s="1"/>
  <c r="AM9" i="74" s="1"/>
  <c r="AG47" i="69"/>
  <c r="AG91" i="54"/>
  <c r="AG71" i="68"/>
  <c r="AH42" i="73"/>
  <c r="AH236" i="54"/>
  <c r="AK90" i="54"/>
  <c r="AK70" i="68"/>
  <c r="AK46" i="69"/>
  <c r="AG40" i="73"/>
  <c r="AG28" i="73"/>
  <c r="AG16" i="73"/>
  <c r="AH4" i="73"/>
  <c r="AK32" i="72"/>
  <c r="AK35" i="72" s="1"/>
  <c r="AK22" i="74" s="1"/>
  <c r="AK125" i="54"/>
  <c r="AE10" i="64"/>
  <c r="AE15" i="64" s="1"/>
  <c r="AE9" i="64"/>
  <c r="AE14" i="64" s="1"/>
  <c r="AE8" i="64"/>
  <c r="AE13" i="64" s="1"/>
  <c r="AH30" i="69"/>
  <c r="AH43" i="69"/>
  <c r="AI4" i="69"/>
  <c r="AH17" i="69"/>
  <c r="AI43" i="73"/>
  <c r="AI237" i="54"/>
  <c r="AH48" i="69"/>
  <c r="AH92" i="54"/>
  <c r="AH72" i="68"/>
  <c r="AH47" i="64"/>
  <c r="AD16" i="64"/>
  <c r="AD8" i="74" s="1"/>
  <c r="AD7" i="74" s="1"/>
  <c r="AD25" i="74" s="1"/>
  <c r="AH240" i="54"/>
  <c r="AH46" i="73"/>
  <c r="AG51" i="69"/>
  <c r="AG17" i="74" s="1"/>
  <c r="AH44" i="69"/>
  <c r="AH68" i="68"/>
  <c r="AH88" i="54"/>
  <c r="AG47" i="73"/>
  <c r="AG23" i="74" s="1"/>
  <c r="AG21" i="74" s="1"/>
  <c r="AM33" i="72"/>
  <c r="AM126" i="54"/>
  <c r="AG50" i="69"/>
  <c r="AG94" i="54"/>
  <c r="AG74" i="68"/>
  <c r="AG75" i="68" s="1"/>
  <c r="AG16" i="74" s="1"/>
  <c r="AG15" i="74" s="1"/>
  <c r="AG49" i="64"/>
  <c r="AG50" i="64" s="1"/>
  <c r="AG10" i="74" s="1"/>
  <c r="AN60" i="54"/>
  <c r="AN32" i="64"/>
  <c r="AH235" i="54"/>
  <c r="AH41" i="73"/>
  <c r="AH47" i="73" s="1"/>
  <c r="AH23" i="74" s="1"/>
  <c r="AH21" i="74" s="1"/>
  <c r="AN58" i="54"/>
  <c r="AN30" i="64"/>
  <c r="AF16" i="33" l="1"/>
  <c r="AF51" i="41"/>
  <c r="AG50" i="41"/>
  <c r="AG15" i="33"/>
  <c r="AI19" i="47"/>
  <c r="AI18" i="36" s="1"/>
  <c r="AI25" i="47"/>
  <c r="AI19" i="36" s="1"/>
  <c r="AI48" i="41"/>
  <c r="AK72" i="40"/>
  <c r="AK78" i="40"/>
  <c r="AK66" i="40"/>
  <c r="AJ23" i="10" s="1"/>
  <c r="AJ46" i="41"/>
  <c r="AJ45" i="41" s="1"/>
  <c r="AJ47" i="41" s="1"/>
  <c r="AH14" i="33"/>
  <c r="AH49" i="41"/>
  <c r="AI25" i="45"/>
  <c r="AI40" i="43" s="1"/>
  <c r="AI31" i="45"/>
  <c r="AI41" i="43" s="1"/>
  <c r="AI37" i="45"/>
  <c r="AI42" i="43" s="1"/>
  <c r="AI7" i="44"/>
  <c r="AI13" i="44"/>
  <c r="AI6" i="42" s="1"/>
  <c r="AI19" i="44"/>
  <c r="AI7" i="42" s="1"/>
  <c r="AH7" i="50"/>
  <c r="AH5" i="35" s="1"/>
  <c r="AH5" i="42"/>
  <c r="AI7" i="45"/>
  <c r="AI5" i="43" s="1"/>
  <c r="AI13" i="45"/>
  <c r="AI6" i="43" s="1"/>
  <c r="AI19" i="45"/>
  <c r="AI7" i="43" s="1"/>
  <c r="AI22" i="10"/>
  <c r="AK53" i="40"/>
  <c r="AK47" i="40"/>
  <c r="AJ13" i="4" s="1"/>
  <c r="AL23" i="40"/>
  <c r="AL59" i="40"/>
  <c r="AL29" i="40"/>
  <c r="AL17" i="40"/>
  <c r="AK5" i="4" s="1"/>
  <c r="AK5" i="61" s="1"/>
  <c r="AM11" i="40"/>
  <c r="AL35" i="40"/>
  <c r="AJ53" i="40"/>
  <c r="AJ47" i="40"/>
  <c r="AI13" i="4" s="1"/>
  <c r="AG21" i="61"/>
  <c r="AG23" i="61" s="1"/>
  <c r="AG15" i="61"/>
  <c r="AG49" i="63" s="1"/>
  <c r="AG50" i="63" s="1"/>
  <c r="AG55" i="63" s="1"/>
  <c r="AG56" i="63" s="1"/>
  <c r="AI13" i="61"/>
  <c r="AH7" i="61"/>
  <c r="AD42" i="63"/>
  <c r="AD40" i="63"/>
  <c r="AF58" i="63"/>
  <c r="AF7" i="63"/>
  <c r="AF21" i="63"/>
  <c r="AE9" i="63"/>
  <c r="AE33" i="63"/>
  <c r="AE34" i="63" s="1"/>
  <c r="AE39" i="63" s="1"/>
  <c r="AN31" i="64"/>
  <c r="AN59" i="54"/>
  <c r="AI46" i="73"/>
  <c r="AI240" i="54"/>
  <c r="AO32" i="64"/>
  <c r="AO60" i="54"/>
  <c r="AM45" i="73"/>
  <c r="AM239" i="54"/>
  <c r="AE16" i="64"/>
  <c r="AE8" i="74" s="1"/>
  <c r="AE7" i="74" s="1"/>
  <c r="AE25" i="74" s="1"/>
  <c r="AL46" i="69"/>
  <c r="AL90" i="54"/>
  <c r="AL70" i="68"/>
  <c r="AO34" i="72"/>
  <c r="AO127" i="54"/>
  <c r="AN33" i="72"/>
  <c r="AN126" i="54"/>
  <c r="AI48" i="69"/>
  <c r="AI72" i="68"/>
  <c r="AI92" i="54"/>
  <c r="AI47" i="64"/>
  <c r="AI42" i="73"/>
  <c r="AI236" i="54"/>
  <c r="AL44" i="73"/>
  <c r="AL238" i="54"/>
  <c r="AH74" i="68"/>
  <c r="AH50" i="69"/>
  <c r="AH49" i="64"/>
  <c r="AH94" i="54"/>
  <c r="AH50" i="64"/>
  <c r="AH10" i="74" s="1"/>
  <c r="AH54" i="68"/>
  <c r="AH41" i="68"/>
  <c r="AI4" i="68"/>
  <c r="AH67" i="68"/>
  <c r="AL32" i="72"/>
  <c r="AL35" i="72" s="1"/>
  <c r="AL22" i="74" s="1"/>
  <c r="AL125" i="54"/>
  <c r="AI41" i="73"/>
  <c r="AI235" i="54"/>
  <c r="AF10" i="64"/>
  <c r="AF15" i="64" s="1"/>
  <c r="AF8" i="64"/>
  <c r="AF13" i="64" s="1"/>
  <c r="AF9" i="64"/>
  <c r="AF14" i="64" s="1"/>
  <c r="AI30" i="69"/>
  <c r="AI43" i="69"/>
  <c r="AJ4" i="69"/>
  <c r="AI17" i="69"/>
  <c r="AI44" i="69"/>
  <c r="AI88" i="54"/>
  <c r="AI68" i="68"/>
  <c r="AI93" i="54"/>
  <c r="AI49" i="69"/>
  <c r="AI73" i="68"/>
  <c r="AI48" i="64"/>
  <c r="AI69" i="68"/>
  <c r="AI89" i="54"/>
  <c r="AI45" i="69"/>
  <c r="AJ43" i="73"/>
  <c r="AJ237" i="54"/>
  <c r="AN33" i="64"/>
  <c r="AN9" i="74" s="1"/>
  <c r="AH75" i="68"/>
  <c r="AH16" i="74" s="1"/>
  <c r="AH28" i="73"/>
  <c r="AH40" i="73"/>
  <c r="AH16" i="73"/>
  <c r="AI4" i="73"/>
  <c r="AH91" i="54"/>
  <c r="AH71" i="68"/>
  <c r="AH47" i="69"/>
  <c r="AO58" i="54"/>
  <c r="AO30" i="64"/>
  <c r="AH51" i="69"/>
  <c r="AH17" i="74" s="1"/>
  <c r="AI13" i="72"/>
  <c r="AI22" i="72"/>
  <c r="AI31" i="72"/>
  <c r="AJ4" i="72"/>
  <c r="AL72" i="40" l="1"/>
  <c r="AL78" i="40"/>
  <c r="AL66" i="40"/>
  <c r="AK46" i="41"/>
  <c r="AK45" i="41" s="1"/>
  <c r="AK47" i="41" s="1"/>
  <c r="AH15" i="33"/>
  <c r="AH50" i="41"/>
  <c r="AH16" i="33" s="1"/>
  <c r="AI49" i="41"/>
  <c r="AI14" i="33"/>
  <c r="AG58" i="63"/>
  <c r="AG16" i="33"/>
  <c r="AG51" i="41"/>
  <c r="AJ19" i="47"/>
  <c r="AJ18" i="36" s="1"/>
  <c r="AJ25" i="47"/>
  <c r="AJ19" i="36" s="1"/>
  <c r="AJ48" i="41"/>
  <c r="AE42" i="63"/>
  <c r="AI7" i="50"/>
  <c r="AI5" i="35" s="1"/>
  <c r="AI5" i="42"/>
  <c r="AJ25" i="45"/>
  <c r="AJ40" i="43" s="1"/>
  <c r="AJ31" i="45"/>
  <c r="AJ41" i="43" s="1"/>
  <c r="AJ7" i="44"/>
  <c r="AJ37" i="45"/>
  <c r="AJ42" i="43" s="1"/>
  <c r="AJ13" i="44"/>
  <c r="AJ6" i="42" s="1"/>
  <c r="AJ19" i="44"/>
  <c r="AJ7" i="42" s="1"/>
  <c r="AJ7" i="45"/>
  <c r="AJ5" i="43" s="1"/>
  <c r="AJ19" i="45"/>
  <c r="AJ7" i="43" s="1"/>
  <c r="AJ13" i="45"/>
  <c r="AJ6" i="43" s="1"/>
  <c r="AJ22" i="10"/>
  <c r="AK23" i="10"/>
  <c r="AL41" i="40"/>
  <c r="AM59" i="40"/>
  <c r="AM29" i="40"/>
  <c r="AM23" i="40"/>
  <c r="AN11" i="40"/>
  <c r="AM35" i="40"/>
  <c r="AM17" i="40"/>
  <c r="AL5" i="4" s="1"/>
  <c r="AL5" i="61" s="1"/>
  <c r="AI7" i="61"/>
  <c r="AJ13" i="61"/>
  <c r="AF33" i="63"/>
  <c r="AF34" i="63" s="1"/>
  <c r="AF39" i="63" s="1"/>
  <c r="AF9" i="63"/>
  <c r="AE40" i="63"/>
  <c r="AH21" i="61"/>
  <c r="AH23" i="61" s="1"/>
  <c r="AH15" i="61"/>
  <c r="AH49" i="63" s="1"/>
  <c r="AH50" i="63" s="1"/>
  <c r="AH55" i="63" s="1"/>
  <c r="AG7" i="63"/>
  <c r="AG21" i="63"/>
  <c r="AH15" i="74"/>
  <c r="AK43" i="73"/>
  <c r="AK237" i="54"/>
  <c r="AI51" i="69"/>
  <c r="AI17" i="74" s="1"/>
  <c r="AP32" i="64"/>
  <c r="C32" i="64" s="1"/>
  <c r="AP60" i="54"/>
  <c r="AQ60" i="54" s="1"/>
  <c r="AR60" i="54" s="1"/>
  <c r="AS60" i="54" s="1"/>
  <c r="AT60" i="54" s="1"/>
  <c r="AU60" i="54" s="1"/>
  <c r="AV60" i="54" s="1"/>
  <c r="AW60" i="54" s="1"/>
  <c r="AX60" i="54" s="1"/>
  <c r="AY60" i="54" s="1"/>
  <c r="AZ60" i="54" s="1"/>
  <c r="BA60" i="54" s="1"/>
  <c r="BB60" i="54" s="1"/>
  <c r="AJ43" i="69"/>
  <c r="AK4" i="69"/>
  <c r="AJ30" i="69"/>
  <c r="AJ17" i="69"/>
  <c r="AJ72" i="68"/>
  <c r="AJ47" i="64"/>
  <c r="AJ92" i="54"/>
  <c r="AJ48" i="69"/>
  <c r="AI54" i="68"/>
  <c r="AI41" i="68"/>
  <c r="AJ4" i="68"/>
  <c r="AI67" i="68"/>
  <c r="AP58" i="54"/>
  <c r="AQ58" i="54" s="1"/>
  <c r="AR58" i="54" s="1"/>
  <c r="AS58" i="54" s="1"/>
  <c r="AT58" i="54" s="1"/>
  <c r="AU58" i="54" s="1"/>
  <c r="AV58" i="54" s="1"/>
  <c r="AW58" i="54" s="1"/>
  <c r="AX58" i="54" s="1"/>
  <c r="AY58" i="54" s="1"/>
  <c r="AZ58" i="54" s="1"/>
  <c r="BA58" i="54" s="1"/>
  <c r="BB58" i="54" s="1"/>
  <c r="AP30" i="64"/>
  <c r="AJ45" i="69"/>
  <c r="AJ69" i="68"/>
  <c r="AJ89" i="54"/>
  <c r="AO33" i="72"/>
  <c r="AO126" i="54"/>
  <c r="AI50" i="69"/>
  <c r="AI74" i="68"/>
  <c r="AI94" i="54"/>
  <c r="AI49" i="64"/>
  <c r="AI50" i="64" s="1"/>
  <c r="AI10" i="74" s="1"/>
  <c r="AG10" i="64"/>
  <c r="AG15" i="64" s="1"/>
  <c r="AG9" i="64"/>
  <c r="AG14" i="64" s="1"/>
  <c r="AG8" i="64"/>
  <c r="AG13" i="64" s="1"/>
  <c r="AP34" i="72"/>
  <c r="C34" i="72" s="1"/>
  <c r="AP127" i="54"/>
  <c r="AQ127" i="54" s="1"/>
  <c r="AR127" i="54" s="1"/>
  <c r="AS127" i="54" s="1"/>
  <c r="AT127" i="54" s="1"/>
  <c r="AU127" i="54" s="1"/>
  <c r="AV127" i="54" s="1"/>
  <c r="AW127" i="54" s="1"/>
  <c r="AX127" i="54" s="1"/>
  <c r="AY127" i="54" s="1"/>
  <c r="AZ127" i="54" s="1"/>
  <c r="BA127" i="54" s="1"/>
  <c r="BB127" i="54" s="1"/>
  <c r="AF16" i="64"/>
  <c r="AF8" i="74" s="1"/>
  <c r="AF7" i="74" s="1"/>
  <c r="AF25" i="74" s="1"/>
  <c r="AJ240" i="54"/>
  <c r="AJ46" i="73"/>
  <c r="AI71" i="68"/>
  <c r="AI75" i="68" s="1"/>
  <c r="AI16" i="74" s="1"/>
  <c r="AI15" i="74" s="1"/>
  <c r="AI91" i="54"/>
  <c r="AI47" i="69"/>
  <c r="AJ22" i="72"/>
  <c r="AJ31" i="72"/>
  <c r="AK4" i="72"/>
  <c r="AJ13" i="72"/>
  <c r="AI28" i="73"/>
  <c r="AI40" i="73"/>
  <c r="AI16" i="73"/>
  <c r="AJ4" i="73"/>
  <c r="AJ49" i="69"/>
  <c r="AJ93" i="54"/>
  <c r="AJ73" i="68"/>
  <c r="AJ48" i="64"/>
  <c r="AJ235" i="54"/>
  <c r="AJ41" i="73"/>
  <c r="AM46" i="69"/>
  <c r="AM90" i="54"/>
  <c r="AM70" i="68"/>
  <c r="AO31" i="64"/>
  <c r="AO33" i="64" s="1"/>
  <c r="AO9" i="74" s="1"/>
  <c r="AO59" i="54"/>
  <c r="AI47" i="73"/>
  <c r="AI23" i="74" s="1"/>
  <c r="AI21" i="74" s="1"/>
  <c r="AM44" i="73"/>
  <c r="AM238" i="54"/>
  <c r="AM32" i="72"/>
  <c r="AM35" i="72" s="1"/>
  <c r="AM22" i="74" s="1"/>
  <c r="AM125" i="54"/>
  <c r="AJ68" i="68"/>
  <c r="AJ88" i="54"/>
  <c r="AJ44" i="69"/>
  <c r="AJ236" i="54"/>
  <c r="AJ42" i="73"/>
  <c r="AN45" i="73"/>
  <c r="AN239" i="54"/>
  <c r="AM72" i="40" l="1"/>
  <c r="AM78" i="40"/>
  <c r="AM66" i="40"/>
  <c r="AL46" i="41"/>
  <c r="AL45" i="41" s="1"/>
  <c r="AL47" i="41" s="1"/>
  <c r="AM41" i="40"/>
  <c r="AM47" i="40" s="1"/>
  <c r="AL13" i="4" s="1"/>
  <c r="AI15" i="33"/>
  <c r="AI50" i="41"/>
  <c r="AI16" i="33" s="1"/>
  <c r="AK48" i="41"/>
  <c r="AK25" i="47"/>
  <c r="AK19" i="36" s="1"/>
  <c r="AK19" i="47"/>
  <c r="AK18" i="36" s="1"/>
  <c r="AH51" i="41"/>
  <c r="AJ49" i="41"/>
  <c r="AJ14" i="33"/>
  <c r="AF40" i="63"/>
  <c r="AF42" i="63"/>
  <c r="AK25" i="45"/>
  <c r="AK40" i="43" s="1"/>
  <c r="AK31" i="45"/>
  <c r="AK41" i="43" s="1"/>
  <c r="AK37" i="45"/>
  <c r="AK42" i="43" s="1"/>
  <c r="AK7" i="44"/>
  <c r="AK13" i="44"/>
  <c r="AK6" i="42" s="1"/>
  <c r="AK19" i="44"/>
  <c r="AK7" i="42" s="1"/>
  <c r="AJ7" i="50"/>
  <c r="AJ5" i="35" s="1"/>
  <c r="AJ5" i="42"/>
  <c r="AK19" i="45"/>
  <c r="AK7" i="43" s="1"/>
  <c r="AK7" i="45"/>
  <c r="AK5" i="43" s="1"/>
  <c r="AK13" i="45"/>
  <c r="AK6" i="43" s="1"/>
  <c r="AK22" i="10"/>
  <c r="AL53" i="40"/>
  <c r="AL47" i="40"/>
  <c r="AK13" i="4" s="1"/>
  <c r="AM53" i="40"/>
  <c r="AL23" i="10"/>
  <c r="AN23" i="40"/>
  <c r="AN17" i="40"/>
  <c r="AM5" i="4" s="1"/>
  <c r="AM5" i="61" s="1"/>
  <c r="AN35" i="40"/>
  <c r="AO11" i="40"/>
  <c r="AN59" i="40"/>
  <c r="AN29" i="40"/>
  <c r="AH56" i="63"/>
  <c r="AH58" i="63"/>
  <c r="AG33" i="63"/>
  <c r="AG34" i="63" s="1"/>
  <c r="AG39" i="63" s="1"/>
  <c r="AG9" i="63"/>
  <c r="AI21" i="61"/>
  <c r="AI23" i="61" s="1"/>
  <c r="AI15" i="61"/>
  <c r="AI49" i="63" s="1"/>
  <c r="AI50" i="63" s="1"/>
  <c r="AI55" i="63" s="1"/>
  <c r="AH21" i="63"/>
  <c r="AH7" i="63"/>
  <c r="AJ7" i="61"/>
  <c r="AK13" i="61"/>
  <c r="AJ67" i="68"/>
  <c r="AJ54" i="68"/>
  <c r="AJ41" i="68"/>
  <c r="AK4" i="68"/>
  <c r="AK49" i="69"/>
  <c r="AK93" i="54"/>
  <c r="AK48" i="64"/>
  <c r="AK73" i="68"/>
  <c r="AK240" i="54"/>
  <c r="AK46" i="73"/>
  <c r="AK68" i="68"/>
  <c r="AK44" i="69"/>
  <c r="AK88" i="54"/>
  <c r="AK235" i="54"/>
  <c r="AK41" i="73"/>
  <c r="AJ75" i="68"/>
  <c r="AJ16" i="74" s="1"/>
  <c r="AJ15" i="74" s="1"/>
  <c r="AL237" i="54"/>
  <c r="AL43" i="73"/>
  <c r="AJ50" i="64"/>
  <c r="AJ10" i="74" s="1"/>
  <c r="AN238" i="54"/>
  <c r="AN44" i="73"/>
  <c r="AK72" i="68"/>
  <c r="AK92" i="54"/>
  <c r="AK48" i="69"/>
  <c r="AK47" i="64"/>
  <c r="AO45" i="73"/>
  <c r="AO239" i="54"/>
  <c r="AP59" i="54"/>
  <c r="AQ59" i="54" s="1"/>
  <c r="AR59" i="54" s="1"/>
  <c r="AS59" i="54" s="1"/>
  <c r="AT59" i="54" s="1"/>
  <c r="AU59" i="54" s="1"/>
  <c r="AV59" i="54" s="1"/>
  <c r="AW59" i="54" s="1"/>
  <c r="AX59" i="54" s="1"/>
  <c r="AY59" i="54" s="1"/>
  <c r="AZ59" i="54" s="1"/>
  <c r="BA59" i="54" s="1"/>
  <c r="BB59" i="54" s="1"/>
  <c r="AP31" i="64"/>
  <c r="C31" i="64" s="1"/>
  <c r="AP126" i="54"/>
  <c r="AQ126" i="54" s="1"/>
  <c r="AR126" i="54" s="1"/>
  <c r="AS126" i="54" s="1"/>
  <c r="AT126" i="54" s="1"/>
  <c r="AU126" i="54" s="1"/>
  <c r="AV126" i="54" s="1"/>
  <c r="AW126" i="54" s="1"/>
  <c r="AX126" i="54" s="1"/>
  <c r="AY126" i="54" s="1"/>
  <c r="AZ126" i="54" s="1"/>
  <c r="BA126" i="54" s="1"/>
  <c r="BB126" i="54" s="1"/>
  <c r="AP33" i="72"/>
  <c r="C33" i="72" s="1"/>
  <c r="AK45" i="69"/>
  <c r="AK89" i="54"/>
  <c r="AK69" i="68"/>
  <c r="AJ91" i="54"/>
  <c r="AJ71" i="68"/>
  <c r="AJ47" i="69"/>
  <c r="AN32" i="72"/>
  <c r="AN35" i="72" s="1"/>
  <c r="AN22" i="74" s="1"/>
  <c r="AN125" i="54"/>
  <c r="AK42" i="73"/>
  <c r="AK236" i="54"/>
  <c r="AN46" i="69"/>
  <c r="AN90" i="54"/>
  <c r="AN70" i="68"/>
  <c r="AK17" i="69"/>
  <c r="AK43" i="69"/>
  <c r="AL4" i="69"/>
  <c r="AK30" i="69"/>
  <c r="AJ94" i="54"/>
  <c r="AJ50" i="69"/>
  <c r="AJ74" i="68"/>
  <c r="AJ49" i="64"/>
  <c r="AH10" i="64"/>
  <c r="AH15" i="64" s="1"/>
  <c r="AH9" i="64"/>
  <c r="AH14" i="64" s="1"/>
  <c r="AH8" i="64"/>
  <c r="AH13" i="64" s="1"/>
  <c r="AK22" i="72"/>
  <c r="AL4" i="72"/>
  <c r="AK13" i="72"/>
  <c r="AK31" i="72"/>
  <c r="AJ28" i="73"/>
  <c r="AJ40" i="73"/>
  <c r="AJ16" i="73"/>
  <c r="AK4" i="73"/>
  <c r="AG16" i="64"/>
  <c r="AG8" i="74" s="1"/>
  <c r="AG7" i="74" s="1"/>
  <c r="AG25" i="74" s="1"/>
  <c r="AJ51" i="69"/>
  <c r="AJ17" i="74" s="1"/>
  <c r="AJ47" i="73"/>
  <c r="AJ23" i="74" s="1"/>
  <c r="AJ21" i="74" s="1"/>
  <c r="C30" i="64"/>
  <c r="AI56" i="63" l="1"/>
  <c r="AK49" i="41"/>
  <c r="AK14" i="33"/>
  <c r="AN72" i="40"/>
  <c r="AN78" i="40"/>
  <c r="AN66" i="40"/>
  <c r="AM23" i="10" s="1"/>
  <c r="AM46" i="41"/>
  <c r="AM45" i="41" s="1"/>
  <c r="AM47" i="41" s="1"/>
  <c r="AJ15" i="33"/>
  <c r="AJ50" i="41"/>
  <c r="AJ16" i="33" s="1"/>
  <c r="AL19" i="47"/>
  <c r="AL18" i="36" s="1"/>
  <c r="AL25" i="47"/>
  <c r="AL19" i="36" s="1"/>
  <c r="AL48" i="41"/>
  <c r="AI51" i="41"/>
  <c r="AK7" i="50"/>
  <c r="AK5" i="35" s="1"/>
  <c r="AK5" i="42"/>
  <c r="AL19" i="44"/>
  <c r="AL7" i="42" s="1"/>
  <c r="AL25" i="45"/>
  <c r="AL40" i="43" s="1"/>
  <c r="AL31" i="45"/>
  <c r="AL41" i="43" s="1"/>
  <c r="AL7" i="44"/>
  <c r="AL37" i="45"/>
  <c r="AL42" i="43" s="1"/>
  <c r="AL13" i="44"/>
  <c r="AL6" i="42" s="1"/>
  <c r="AL19" i="45"/>
  <c r="AL7" i="43" s="1"/>
  <c r="AL7" i="45"/>
  <c r="AL5" i="43" s="1"/>
  <c r="AL13" i="45"/>
  <c r="AL6" i="43" s="1"/>
  <c r="AL22" i="10"/>
  <c r="AO17" i="40"/>
  <c r="AN5" i="4" s="1"/>
  <c r="AN5" i="61" s="1"/>
  <c r="AP11" i="40"/>
  <c r="AO35" i="40"/>
  <c r="AO59" i="40"/>
  <c r="AO29" i="40"/>
  <c r="AO23" i="40"/>
  <c r="AN41" i="40"/>
  <c r="AH9" i="63"/>
  <c r="AH33" i="63"/>
  <c r="AH34" i="63" s="1"/>
  <c r="AH39" i="63" s="1"/>
  <c r="AI7" i="63"/>
  <c r="AI21" i="63"/>
  <c r="AJ21" i="61"/>
  <c r="AJ23" i="61" s="1"/>
  <c r="AJ15" i="61"/>
  <c r="AJ49" i="63" s="1"/>
  <c r="AJ50" i="63" s="1"/>
  <c r="AJ55" i="63" s="1"/>
  <c r="AJ56" i="63" s="1"/>
  <c r="AK7" i="61"/>
  <c r="AL13" i="61"/>
  <c r="AG42" i="63"/>
  <c r="AG40" i="63"/>
  <c r="AI58" i="63"/>
  <c r="AM4" i="72"/>
  <c r="AL22" i="72"/>
  <c r="AL13" i="72"/>
  <c r="AL31" i="72"/>
  <c r="AO44" i="73"/>
  <c r="AO238" i="54"/>
  <c r="AL69" i="68"/>
  <c r="AL89" i="54"/>
  <c r="AL45" i="69"/>
  <c r="AL30" i="69"/>
  <c r="AM4" i="69"/>
  <c r="AL17" i="69"/>
  <c r="AL43" i="69"/>
  <c r="AL93" i="54"/>
  <c r="AL73" i="68"/>
  <c r="AL49" i="69"/>
  <c r="AL48" i="64"/>
  <c r="AM43" i="73"/>
  <c r="AM237" i="54"/>
  <c r="AL235" i="54"/>
  <c r="AL41" i="73"/>
  <c r="AL47" i="73" s="1"/>
  <c r="AL23" i="74" s="1"/>
  <c r="AL21" i="74" s="1"/>
  <c r="AP239" i="54"/>
  <c r="AQ239" i="54" s="1"/>
  <c r="AR239" i="54" s="1"/>
  <c r="AS239" i="54" s="1"/>
  <c r="AT239" i="54" s="1"/>
  <c r="AU239" i="54" s="1"/>
  <c r="AV239" i="54" s="1"/>
  <c r="AW239" i="54" s="1"/>
  <c r="AX239" i="54" s="1"/>
  <c r="AY239" i="54" s="1"/>
  <c r="AZ239" i="54" s="1"/>
  <c r="BA239" i="54" s="1"/>
  <c r="BB239" i="54" s="1"/>
  <c r="AP45" i="73"/>
  <c r="C45" i="73" s="1"/>
  <c r="AO125" i="54"/>
  <c r="AO32" i="72"/>
  <c r="AO35" i="72" s="1"/>
  <c r="AO22" i="74" s="1"/>
  <c r="AL88" i="54"/>
  <c r="AL68" i="68"/>
  <c r="AL44" i="69"/>
  <c r="AL240" i="54"/>
  <c r="AL46" i="73"/>
  <c r="AH16" i="64"/>
  <c r="AH8" i="74" s="1"/>
  <c r="AH7" i="74" s="1"/>
  <c r="AH25" i="74" s="1"/>
  <c r="AO46" i="69"/>
  <c r="AO90" i="54"/>
  <c r="AO70" i="68"/>
  <c r="AP33" i="64"/>
  <c r="AK28" i="73"/>
  <c r="AK16" i="73"/>
  <c r="AK40" i="73"/>
  <c r="AL4" i="73"/>
  <c r="AK67" i="68"/>
  <c r="AK41" i="68"/>
  <c r="AL4" i="68"/>
  <c r="AK54" i="68"/>
  <c r="AL92" i="54"/>
  <c r="AL47" i="64"/>
  <c r="AL72" i="68"/>
  <c r="AL48" i="69"/>
  <c r="AK91" i="54"/>
  <c r="AK47" i="69"/>
  <c r="AK51" i="69" s="1"/>
  <c r="AK17" i="74" s="1"/>
  <c r="AK71" i="68"/>
  <c r="AK75" i="68" s="1"/>
  <c r="AK16" i="74" s="1"/>
  <c r="AK15" i="74" s="1"/>
  <c r="AL236" i="54"/>
  <c r="AL42" i="73"/>
  <c r="AK47" i="73"/>
  <c r="AK23" i="74" s="1"/>
  <c r="AK21" i="74" s="1"/>
  <c r="AK50" i="69"/>
  <c r="AK94" i="54"/>
  <c r="AK74" i="68"/>
  <c r="AK49" i="64"/>
  <c r="AK50" i="64" s="1"/>
  <c r="AK10" i="74" s="1"/>
  <c r="AI9" i="64"/>
  <c r="AI14" i="64" s="1"/>
  <c r="AI8" i="64"/>
  <c r="AI13" i="64" s="1"/>
  <c r="AI10" i="64"/>
  <c r="AI15" i="64" s="1"/>
  <c r="AL14" i="33" l="1"/>
  <c r="AL49" i="41"/>
  <c r="AO66" i="40"/>
  <c r="AO78" i="40"/>
  <c r="AO72" i="40"/>
  <c r="AN46" i="41"/>
  <c r="AN45" i="41" s="1"/>
  <c r="AN47" i="41" s="1"/>
  <c r="AM19" i="47"/>
  <c r="AM18" i="36" s="1"/>
  <c r="AM48" i="41"/>
  <c r="AM25" i="47"/>
  <c r="AM19" i="36" s="1"/>
  <c r="AJ51" i="41"/>
  <c r="AK15" i="33"/>
  <c r="AK50" i="41"/>
  <c r="AH42" i="63"/>
  <c r="AM13" i="45"/>
  <c r="AM6" i="43" s="1"/>
  <c r="AM19" i="45"/>
  <c r="AM7" i="43" s="1"/>
  <c r="AM7" i="45"/>
  <c r="AM5" i="43" s="1"/>
  <c r="AM22" i="10"/>
  <c r="AM19" i="44"/>
  <c r="AM7" i="42" s="1"/>
  <c r="AM25" i="45"/>
  <c r="AM40" i="43" s="1"/>
  <c r="AM31" i="45"/>
  <c r="AM41" i="43" s="1"/>
  <c r="AM37" i="45"/>
  <c r="AM42" i="43" s="1"/>
  <c r="AM7" i="44"/>
  <c r="AM13" i="44"/>
  <c r="AM6" i="42" s="1"/>
  <c r="AL7" i="50"/>
  <c r="AL5" i="35" s="1"/>
  <c r="AL5" i="42"/>
  <c r="AN23" i="10"/>
  <c r="AN53" i="40"/>
  <c r="AN47" i="40"/>
  <c r="AM13" i="4" s="1"/>
  <c r="AO41" i="40"/>
  <c r="AQ11" i="40"/>
  <c r="AP35" i="40"/>
  <c r="AP59" i="40"/>
  <c r="AP29" i="40"/>
  <c r="AP23" i="40"/>
  <c r="AP17" i="40"/>
  <c r="AO5" i="4" s="1"/>
  <c r="AJ58" i="63"/>
  <c r="AJ21" i="63"/>
  <c r="AJ7" i="63"/>
  <c r="AK15" i="61"/>
  <c r="AK49" i="63" s="1"/>
  <c r="AK50" i="63" s="1"/>
  <c r="AK55" i="63" s="1"/>
  <c r="AK21" i="61"/>
  <c r="AK23" i="61" s="1"/>
  <c r="AM13" i="61"/>
  <c r="AL7" i="61"/>
  <c r="AI33" i="63"/>
  <c r="AI34" i="63" s="1"/>
  <c r="AI39" i="63" s="1"/>
  <c r="AI9" i="63"/>
  <c r="AH40" i="63"/>
  <c r="AM30" i="69"/>
  <c r="AN4" i="69"/>
  <c r="AM17" i="69"/>
  <c r="AM43" i="69"/>
  <c r="AJ8" i="64"/>
  <c r="AJ13" i="64" s="1"/>
  <c r="AJ10" i="64"/>
  <c r="AJ15" i="64" s="1"/>
  <c r="AJ9" i="64"/>
  <c r="AJ14" i="64" s="1"/>
  <c r="AP9" i="74"/>
  <c r="C9" i="74" s="1"/>
  <c r="C33" i="64"/>
  <c r="AM41" i="73"/>
  <c r="AM47" i="73" s="1"/>
  <c r="AM23" i="74" s="1"/>
  <c r="AM21" i="74" s="1"/>
  <c r="AM235" i="54"/>
  <c r="AM236" i="54"/>
  <c r="AM42" i="73"/>
  <c r="AP125" i="54"/>
  <c r="AQ125" i="54" s="1"/>
  <c r="AR125" i="54" s="1"/>
  <c r="AS125" i="54" s="1"/>
  <c r="AT125" i="54" s="1"/>
  <c r="AU125" i="54" s="1"/>
  <c r="AV125" i="54" s="1"/>
  <c r="AW125" i="54" s="1"/>
  <c r="AX125" i="54" s="1"/>
  <c r="AY125" i="54" s="1"/>
  <c r="AZ125" i="54" s="1"/>
  <c r="BA125" i="54" s="1"/>
  <c r="BB125" i="54" s="1"/>
  <c r="AP32" i="72"/>
  <c r="AL67" i="68"/>
  <c r="AL41" i="68"/>
  <c r="AM4" i="68"/>
  <c r="AL54" i="68"/>
  <c r="AM45" i="69"/>
  <c r="AM69" i="68"/>
  <c r="AM89" i="54"/>
  <c r="AL28" i="73"/>
  <c r="AL40" i="73"/>
  <c r="AL16" i="73"/>
  <c r="AM4" i="73"/>
  <c r="AP238" i="54"/>
  <c r="AQ238" i="54" s="1"/>
  <c r="AR238" i="54" s="1"/>
  <c r="AS238" i="54" s="1"/>
  <c r="AT238" i="54" s="1"/>
  <c r="AU238" i="54" s="1"/>
  <c r="AV238" i="54" s="1"/>
  <c r="AW238" i="54" s="1"/>
  <c r="AX238" i="54" s="1"/>
  <c r="AY238" i="54" s="1"/>
  <c r="AZ238" i="54" s="1"/>
  <c r="BA238" i="54" s="1"/>
  <c r="BB238" i="54" s="1"/>
  <c r="AP44" i="73"/>
  <c r="C44" i="73" s="1"/>
  <c r="AN237" i="54"/>
  <c r="AN43" i="73"/>
  <c r="AL50" i="64"/>
  <c r="AL10" i="74" s="1"/>
  <c r="AL75" i="68"/>
  <c r="AL16" i="74" s="1"/>
  <c r="AM93" i="54"/>
  <c r="AM73" i="68"/>
  <c r="AM49" i="69"/>
  <c r="AM48" i="64"/>
  <c r="AM31" i="72"/>
  <c r="AM22" i="72"/>
  <c r="AM13" i="72"/>
  <c r="AN4" i="72"/>
  <c r="AL71" i="68"/>
  <c r="AL91" i="54"/>
  <c r="AL47" i="69"/>
  <c r="AL51" i="69" s="1"/>
  <c r="AL17" i="74" s="1"/>
  <c r="AI16" i="64"/>
  <c r="AI8" i="74" s="1"/>
  <c r="AI7" i="74" s="1"/>
  <c r="AI25" i="74" s="1"/>
  <c r="AM240" i="54"/>
  <c r="AM46" i="73"/>
  <c r="AL50" i="69"/>
  <c r="AL49" i="64"/>
  <c r="AL94" i="54"/>
  <c r="AL74" i="68"/>
  <c r="AM92" i="54"/>
  <c r="AM72" i="68"/>
  <c r="AM48" i="69"/>
  <c r="AM47" i="64"/>
  <c r="AM88" i="54"/>
  <c r="AM44" i="69"/>
  <c r="AM68" i="68"/>
  <c r="AP90" i="54"/>
  <c r="AQ90" i="54" s="1"/>
  <c r="AR90" i="54" s="1"/>
  <c r="AS90" i="54" s="1"/>
  <c r="AT90" i="54" s="1"/>
  <c r="AU90" i="54" s="1"/>
  <c r="AV90" i="54" s="1"/>
  <c r="AW90" i="54" s="1"/>
  <c r="AX90" i="54" s="1"/>
  <c r="AY90" i="54" s="1"/>
  <c r="AZ90" i="54" s="1"/>
  <c r="BA90" i="54" s="1"/>
  <c r="BB90" i="54" s="1"/>
  <c r="AP46" i="69"/>
  <c r="C46" i="69" s="1"/>
  <c r="AP70" i="68"/>
  <c r="C70" i="68" s="1"/>
  <c r="AK16" i="33" l="1"/>
  <c r="AK51" i="41"/>
  <c r="AM49" i="41"/>
  <c r="AM14" i="33"/>
  <c r="AP41" i="40"/>
  <c r="AP66" i="40"/>
  <c r="AO23" i="10" s="1"/>
  <c r="AP78" i="40"/>
  <c r="AP72" i="40"/>
  <c r="AO46" i="41"/>
  <c r="AO45" i="41" s="1"/>
  <c r="AO47" i="41" s="1"/>
  <c r="AN19" i="47"/>
  <c r="AN18" i="36" s="1"/>
  <c r="AN48" i="41"/>
  <c r="AN25" i="47"/>
  <c r="AN19" i="36" s="1"/>
  <c r="AO5" i="61"/>
  <c r="AO7" i="4"/>
  <c r="AL15" i="33"/>
  <c r="AL50" i="41"/>
  <c r="AO7" i="10"/>
  <c r="AN13" i="44"/>
  <c r="AN6" i="42" s="1"/>
  <c r="AN19" i="44"/>
  <c r="AN7" i="42" s="1"/>
  <c r="AN25" i="45"/>
  <c r="AN40" i="43" s="1"/>
  <c r="AN31" i="45"/>
  <c r="AN41" i="43" s="1"/>
  <c r="AN37" i="45"/>
  <c r="AN42" i="43" s="1"/>
  <c r="AN7" i="44"/>
  <c r="AM7" i="50"/>
  <c r="AM5" i="35" s="1"/>
  <c r="AM5" i="42"/>
  <c r="AN13" i="45"/>
  <c r="AN6" i="43" s="1"/>
  <c r="AN19" i="45"/>
  <c r="AN7" i="43" s="1"/>
  <c r="AN7" i="45"/>
  <c r="AN5" i="43" s="1"/>
  <c r="AN22" i="10"/>
  <c r="AQ35" i="40"/>
  <c r="AQ59" i="40"/>
  <c r="AQ29" i="40"/>
  <c r="AQ23" i="40"/>
  <c r="AQ17" i="40"/>
  <c r="AP5" i="4" s="1"/>
  <c r="AR11" i="40"/>
  <c r="AP53" i="40"/>
  <c r="AP47" i="40"/>
  <c r="AO13" i="4" s="1"/>
  <c r="AO47" i="40"/>
  <c r="AN13" i="4" s="1"/>
  <c r="AO53" i="40"/>
  <c r="AN13" i="61"/>
  <c r="AM7" i="61"/>
  <c r="AK7" i="63"/>
  <c r="AK21" i="63"/>
  <c r="AK56" i="63"/>
  <c r="AK58" i="63"/>
  <c r="AL21" i="61"/>
  <c r="AL23" i="61" s="1"/>
  <c r="AL15" i="61"/>
  <c r="AL49" i="63" s="1"/>
  <c r="AL50" i="63" s="1"/>
  <c r="AL55" i="63" s="1"/>
  <c r="AI40" i="63"/>
  <c r="AI42" i="63"/>
  <c r="AJ33" i="63"/>
  <c r="AJ34" i="63" s="1"/>
  <c r="AJ39" i="63" s="1"/>
  <c r="AJ9" i="63"/>
  <c r="AN93" i="54"/>
  <c r="AN48" i="64"/>
  <c r="AN73" i="68"/>
  <c r="AN49" i="69"/>
  <c r="AN89" i="54"/>
  <c r="AN45" i="69"/>
  <c r="AN69" i="68"/>
  <c r="AM51" i="69"/>
  <c r="AM17" i="74" s="1"/>
  <c r="AN240" i="54"/>
  <c r="AN46" i="73"/>
  <c r="AN235" i="54"/>
  <c r="AN41" i="73"/>
  <c r="AM54" i="68"/>
  <c r="AM41" i="68"/>
  <c r="AM67" i="68"/>
  <c r="AN4" i="68"/>
  <c r="AO4" i="72"/>
  <c r="AN31" i="72"/>
  <c r="AN13" i="72"/>
  <c r="AN22" i="72"/>
  <c r="AO237" i="54"/>
  <c r="AO43" i="73"/>
  <c r="AN92" i="54"/>
  <c r="AN47" i="64"/>
  <c r="AN48" i="69"/>
  <c r="AN72" i="68"/>
  <c r="AL15" i="74"/>
  <c r="AM91" i="54"/>
  <c r="AM71" i="68"/>
  <c r="AM47" i="69"/>
  <c r="AP35" i="72"/>
  <c r="C32" i="72"/>
  <c r="AM50" i="64"/>
  <c r="AM10" i="74" s="1"/>
  <c r="AJ16" i="64"/>
  <c r="AJ8" i="74" s="1"/>
  <c r="AJ7" i="74" s="1"/>
  <c r="AJ25" i="74" s="1"/>
  <c r="AN30" i="69"/>
  <c r="AN17" i="69"/>
  <c r="AN43" i="69"/>
  <c r="AO4" i="69"/>
  <c r="AM50" i="69"/>
  <c r="AM94" i="54"/>
  <c r="AM74" i="68"/>
  <c r="AM75" i="68" s="1"/>
  <c r="AM16" i="74" s="1"/>
  <c r="AM15" i="74" s="1"/>
  <c r="AM49" i="64"/>
  <c r="AM28" i="73"/>
  <c r="AM40" i="73"/>
  <c r="AM16" i="73"/>
  <c r="AN4" i="73"/>
  <c r="AN236" i="54"/>
  <c r="AN42" i="73"/>
  <c r="AN44" i="69"/>
  <c r="AN88" i="54"/>
  <c r="AN68" i="68"/>
  <c r="AK8" i="64"/>
  <c r="AK13" i="64" s="1"/>
  <c r="AK9" i="64"/>
  <c r="AK14" i="64" s="1"/>
  <c r="AK10" i="64"/>
  <c r="AK15" i="64" s="1"/>
  <c r="AO8" i="10" l="1"/>
  <c r="AO13" i="10" s="1"/>
  <c r="AO9" i="10"/>
  <c r="AO14" i="10" s="1"/>
  <c r="AO10" i="10"/>
  <c r="AO15" i="10" s="1"/>
  <c r="AO25" i="47"/>
  <c r="AO19" i="36" s="1"/>
  <c r="AO31" i="36" s="1"/>
  <c r="AO43" i="36" s="1"/>
  <c r="AO19" i="47"/>
  <c r="AO18" i="36" s="1"/>
  <c r="AO48" i="41"/>
  <c r="AQ41" i="40"/>
  <c r="AQ47" i="40" s="1"/>
  <c r="AP13" i="4" s="1"/>
  <c r="AQ66" i="40"/>
  <c r="AQ72" i="40"/>
  <c r="AQ78" i="40"/>
  <c r="AP46" i="41"/>
  <c r="AP45" i="41" s="1"/>
  <c r="AP47" i="41" s="1"/>
  <c r="AO15" i="4"/>
  <c r="AO21" i="4"/>
  <c r="AO23" i="4" s="1"/>
  <c r="AP5" i="61"/>
  <c r="AP7" i="4"/>
  <c r="AL16" i="33"/>
  <c r="AL51" i="41"/>
  <c r="AM50" i="41"/>
  <c r="AM15" i="33"/>
  <c r="AN14" i="33"/>
  <c r="AN49" i="41"/>
  <c r="AJ40" i="63"/>
  <c r="AL56" i="63"/>
  <c r="AO13" i="45"/>
  <c r="AO6" i="43" s="1"/>
  <c r="AO24" i="43" s="1"/>
  <c r="AO31" i="43" s="1"/>
  <c r="AO19" i="45"/>
  <c r="AO7" i="43" s="1"/>
  <c r="AO25" i="43" s="1"/>
  <c r="AO32" i="43" s="1"/>
  <c r="AO7" i="45"/>
  <c r="AO5" i="43" s="1"/>
  <c r="AO23" i="43" s="1"/>
  <c r="AO30" i="43" s="1"/>
  <c r="AO22" i="10"/>
  <c r="AO24" i="10" s="1"/>
  <c r="AO13" i="44"/>
  <c r="AO6" i="42" s="1"/>
  <c r="AO24" i="42" s="1"/>
  <c r="AO28" i="42" s="1"/>
  <c r="AO34" i="42" s="1"/>
  <c r="AO19" i="44"/>
  <c r="AO37" i="45"/>
  <c r="AO42" i="43" s="1"/>
  <c r="AO60" i="43" s="1"/>
  <c r="AO67" i="43" s="1"/>
  <c r="AO25" i="45"/>
  <c r="AO40" i="43" s="1"/>
  <c r="AO58" i="43" s="1"/>
  <c r="AO65" i="43" s="1"/>
  <c r="AO31" i="45"/>
  <c r="AO41" i="43" s="1"/>
  <c r="AO59" i="43" s="1"/>
  <c r="AO66" i="43" s="1"/>
  <c r="AO7" i="44"/>
  <c r="AN7" i="50"/>
  <c r="AN5" i="42"/>
  <c r="AQ53" i="40"/>
  <c r="AR59" i="40"/>
  <c r="AR29" i="40"/>
  <c r="AR23" i="40"/>
  <c r="C23" i="40" s="1"/>
  <c r="AR17" i="40"/>
  <c r="AR35" i="40"/>
  <c r="C11" i="40"/>
  <c r="AP23" i="10"/>
  <c r="AL7" i="63"/>
  <c r="AL21" i="63"/>
  <c r="AM15" i="61"/>
  <c r="AM49" i="63" s="1"/>
  <c r="AM50" i="63" s="1"/>
  <c r="AM55" i="63" s="1"/>
  <c r="AM21" i="61"/>
  <c r="AM23" i="61" s="1"/>
  <c r="AL58" i="63"/>
  <c r="AK9" i="63"/>
  <c r="AK33" i="63"/>
  <c r="AK34" i="63" s="1"/>
  <c r="AK39" i="63" s="1"/>
  <c r="AJ42" i="63"/>
  <c r="AO13" i="61"/>
  <c r="AN7" i="61"/>
  <c r="AP4" i="72"/>
  <c r="AO13" i="72"/>
  <c r="AO31" i="72"/>
  <c r="AO22" i="72"/>
  <c r="AO92" i="54"/>
  <c r="AO47" i="64"/>
  <c r="AO72" i="68"/>
  <c r="AO48" i="69"/>
  <c r="AO44" i="69"/>
  <c r="AO88" i="54"/>
  <c r="AO68" i="68"/>
  <c r="AO89" i="54"/>
  <c r="AO69" i="68"/>
  <c r="AO45" i="69"/>
  <c r="AP22" i="74"/>
  <c r="C35" i="72"/>
  <c r="AO41" i="73"/>
  <c r="AO235" i="54"/>
  <c r="AO93" i="54"/>
  <c r="AO49" i="69"/>
  <c r="AO73" i="68"/>
  <c r="AO48" i="64"/>
  <c r="AK16" i="64"/>
  <c r="AK8" i="74" s="1"/>
  <c r="AK7" i="74" s="1"/>
  <c r="AK25" i="74" s="1"/>
  <c r="AO17" i="69"/>
  <c r="AP4" i="69"/>
  <c r="AO30" i="69"/>
  <c r="AO43" i="69"/>
  <c r="AP237" i="54"/>
  <c r="AQ237" i="54" s="1"/>
  <c r="AR237" i="54" s="1"/>
  <c r="AS237" i="54" s="1"/>
  <c r="AT237" i="54" s="1"/>
  <c r="AU237" i="54" s="1"/>
  <c r="AV237" i="54" s="1"/>
  <c r="AW237" i="54" s="1"/>
  <c r="AX237" i="54" s="1"/>
  <c r="AY237" i="54" s="1"/>
  <c r="AZ237" i="54" s="1"/>
  <c r="BA237" i="54" s="1"/>
  <c r="BB237" i="54" s="1"/>
  <c r="AP43" i="73"/>
  <c r="C43" i="73" s="1"/>
  <c r="AN94" i="54"/>
  <c r="AN49" i="64"/>
  <c r="AN50" i="64" s="1"/>
  <c r="AN10" i="74" s="1"/>
  <c r="AN74" i="68"/>
  <c r="AN50" i="69"/>
  <c r="AL8" i="64"/>
  <c r="AL13" i="64" s="1"/>
  <c r="AL10" i="64"/>
  <c r="AL15" i="64" s="1"/>
  <c r="AL9" i="64"/>
  <c r="AL14" i="64" s="1"/>
  <c r="AN54" i="68"/>
  <c r="AO4" i="68"/>
  <c r="AN41" i="68"/>
  <c r="AN67" i="68"/>
  <c r="AO42" i="73"/>
  <c r="AO236" i="54"/>
  <c r="AN28" i="73"/>
  <c r="AN40" i="73"/>
  <c r="AN16" i="73"/>
  <c r="AO4" i="73"/>
  <c r="AN47" i="73"/>
  <c r="AN23" i="74" s="1"/>
  <c r="AN21" i="74" s="1"/>
  <c r="AN47" i="69"/>
  <c r="AN51" i="69" s="1"/>
  <c r="AN17" i="74" s="1"/>
  <c r="AN91" i="54"/>
  <c r="AN71" i="68"/>
  <c r="AN75" i="68" s="1"/>
  <c r="AN16" i="74" s="1"/>
  <c r="AN15" i="74" s="1"/>
  <c r="AO46" i="73"/>
  <c r="AO240" i="54"/>
  <c r="AM56" i="63" l="1"/>
  <c r="AP15" i="4"/>
  <c r="AP21" i="4"/>
  <c r="AP23" i="4" s="1"/>
  <c r="AP48" i="41"/>
  <c r="AP25" i="47"/>
  <c r="AP19" i="36" s="1"/>
  <c r="AP31" i="36" s="1"/>
  <c r="AP43" i="36" s="1"/>
  <c r="AP19" i="47"/>
  <c r="AP18" i="36" s="1"/>
  <c r="AN50" i="41"/>
  <c r="AN15" i="33"/>
  <c r="AP7" i="10"/>
  <c r="AR66" i="40"/>
  <c r="AR72" i="40"/>
  <c r="AR78" i="40"/>
  <c r="AQ46" i="41"/>
  <c r="AO30" i="36"/>
  <c r="AO23" i="36"/>
  <c r="AO14" i="33"/>
  <c r="AO49" i="41"/>
  <c r="C17" i="40"/>
  <c r="AQ5" i="4"/>
  <c r="AM16" i="33"/>
  <c r="AM51" i="41"/>
  <c r="AK40" i="63"/>
  <c r="AO16" i="10"/>
  <c r="AO8" i="19" s="1"/>
  <c r="AO34" i="43"/>
  <c r="AO69" i="43"/>
  <c r="AO73" i="43" s="1"/>
  <c r="AO13" i="19" s="1"/>
  <c r="C59" i="40"/>
  <c r="C29" i="40"/>
  <c r="AN5" i="35"/>
  <c r="AP13" i="45"/>
  <c r="AP6" i="43" s="1"/>
  <c r="AP24" i="43" s="1"/>
  <c r="AP31" i="43" s="1"/>
  <c r="AP19" i="45"/>
  <c r="AP7" i="43" s="1"/>
  <c r="AP25" i="43" s="1"/>
  <c r="AP32" i="43" s="1"/>
  <c r="AP7" i="45"/>
  <c r="AP5" i="43" s="1"/>
  <c r="AP23" i="43" s="1"/>
  <c r="AP30" i="43" s="1"/>
  <c r="AP22" i="10"/>
  <c r="AP24" i="10" s="1"/>
  <c r="AO25" i="10"/>
  <c r="AO30" i="10" s="1"/>
  <c r="AO27" i="10"/>
  <c r="AO32" i="10" s="1"/>
  <c r="AO26" i="10"/>
  <c r="AO31" i="10" s="1"/>
  <c r="AO11" i="49"/>
  <c r="AO11" i="50"/>
  <c r="AO7" i="35" s="1"/>
  <c r="AO27" i="35" s="1"/>
  <c r="AO15" i="49"/>
  <c r="AO7" i="49"/>
  <c r="AO13" i="49"/>
  <c r="AO7" i="50"/>
  <c r="AO5" i="35" s="1"/>
  <c r="AO9" i="49"/>
  <c r="AO9" i="50"/>
  <c r="AO6" i="35" s="1"/>
  <c r="AO26" i="35" s="1"/>
  <c r="AO5" i="42"/>
  <c r="AO23" i="42" s="1"/>
  <c r="AO27" i="42" s="1"/>
  <c r="AO33" i="42" s="1"/>
  <c r="C78" i="40"/>
  <c r="AP7" i="44"/>
  <c r="AP13" i="44"/>
  <c r="AP6" i="42" s="1"/>
  <c r="AP24" i="42" s="1"/>
  <c r="AP28" i="42" s="1"/>
  <c r="AP34" i="42" s="1"/>
  <c r="AP37" i="45"/>
  <c r="AP42" i="43" s="1"/>
  <c r="AP60" i="43" s="1"/>
  <c r="AP67" i="43" s="1"/>
  <c r="AP19" i="44"/>
  <c r="AP25" i="45"/>
  <c r="AP40" i="43" s="1"/>
  <c r="AP58" i="43" s="1"/>
  <c r="AP65" i="43" s="1"/>
  <c r="AP31" i="45"/>
  <c r="AP41" i="43" s="1"/>
  <c r="AP59" i="43" s="1"/>
  <c r="AP66" i="43" s="1"/>
  <c r="AO13" i="50"/>
  <c r="AO8" i="35" s="1"/>
  <c r="AO28" i="35" s="1"/>
  <c r="AO7" i="42"/>
  <c r="AO25" i="42" s="1"/>
  <c r="AO29" i="42" s="1"/>
  <c r="AO35" i="42" s="1"/>
  <c r="C35" i="40"/>
  <c r="AR41" i="40"/>
  <c r="AK42" i="63"/>
  <c r="AO7" i="61"/>
  <c r="AM58" i="63"/>
  <c r="AM7" i="63"/>
  <c r="AM21" i="63"/>
  <c r="AN21" i="61"/>
  <c r="AN23" i="61" s="1"/>
  <c r="AN15" i="61"/>
  <c r="AN49" i="63" s="1"/>
  <c r="AN50" i="63" s="1"/>
  <c r="AN55" i="63" s="1"/>
  <c r="AN56" i="63" s="1"/>
  <c r="AL9" i="63"/>
  <c r="AL33" i="63"/>
  <c r="AL34" i="63" s="1"/>
  <c r="AL39" i="63" s="1"/>
  <c r="AO41" i="68"/>
  <c r="AO54" i="68"/>
  <c r="AP4" i="68"/>
  <c r="AO67" i="68"/>
  <c r="AM9" i="64"/>
  <c r="AM14" i="64" s="1"/>
  <c r="AM8" i="64"/>
  <c r="AM13" i="64" s="1"/>
  <c r="AM10" i="64"/>
  <c r="AM15" i="64" s="1"/>
  <c r="AO50" i="64"/>
  <c r="AO10" i="74" s="1"/>
  <c r="AP46" i="73"/>
  <c r="C46" i="73" s="1"/>
  <c r="AP240" i="54"/>
  <c r="AQ240" i="54" s="1"/>
  <c r="AR240" i="54" s="1"/>
  <c r="AS240" i="54" s="1"/>
  <c r="AT240" i="54" s="1"/>
  <c r="AU240" i="54" s="1"/>
  <c r="AV240" i="54" s="1"/>
  <c r="AW240" i="54" s="1"/>
  <c r="AX240" i="54" s="1"/>
  <c r="AY240" i="54" s="1"/>
  <c r="AZ240" i="54" s="1"/>
  <c r="BA240" i="54" s="1"/>
  <c r="BB240" i="54" s="1"/>
  <c r="AO94" i="54"/>
  <c r="AO49" i="64"/>
  <c r="AO50" i="69"/>
  <c r="AO74" i="68"/>
  <c r="AP93" i="54"/>
  <c r="AQ93" i="54" s="1"/>
  <c r="AR93" i="54" s="1"/>
  <c r="AS93" i="54" s="1"/>
  <c r="AT93" i="54" s="1"/>
  <c r="AU93" i="54" s="1"/>
  <c r="AV93" i="54" s="1"/>
  <c r="AW93" i="54" s="1"/>
  <c r="AX93" i="54" s="1"/>
  <c r="AY93" i="54" s="1"/>
  <c r="AZ93" i="54" s="1"/>
  <c r="BA93" i="54" s="1"/>
  <c r="BB93" i="54" s="1"/>
  <c r="AP73" i="68"/>
  <c r="C73" i="68" s="1"/>
  <c r="AP48" i="64"/>
  <c r="C48" i="64" s="1"/>
  <c r="AP49" i="69"/>
  <c r="C49" i="69" s="1"/>
  <c r="AP68" i="68"/>
  <c r="AP88" i="54"/>
  <c r="AQ88" i="54" s="1"/>
  <c r="AR88" i="54" s="1"/>
  <c r="AS88" i="54" s="1"/>
  <c r="AT88" i="54" s="1"/>
  <c r="AU88" i="54" s="1"/>
  <c r="AV88" i="54" s="1"/>
  <c r="AW88" i="54" s="1"/>
  <c r="AX88" i="54" s="1"/>
  <c r="AY88" i="54" s="1"/>
  <c r="AZ88" i="54" s="1"/>
  <c r="BA88" i="54" s="1"/>
  <c r="BB88" i="54" s="1"/>
  <c r="AP44" i="69"/>
  <c r="AL16" i="64"/>
  <c r="AL8" i="74" s="1"/>
  <c r="AL7" i="74" s="1"/>
  <c r="AL25" i="74" s="1"/>
  <c r="AO28" i="73"/>
  <c r="AO40" i="73"/>
  <c r="AP4" i="73"/>
  <c r="AO16" i="73"/>
  <c r="AO75" i="68"/>
  <c r="AO16" i="74" s="1"/>
  <c r="AO47" i="73"/>
  <c r="AO23" i="74" s="1"/>
  <c r="AO21" i="74" s="1"/>
  <c r="AP31" i="72"/>
  <c r="AP22" i="72"/>
  <c r="AP13" i="72"/>
  <c r="AO47" i="69"/>
  <c r="AO51" i="69" s="1"/>
  <c r="AO17" i="74" s="1"/>
  <c r="AO91" i="54"/>
  <c r="AO71" i="68"/>
  <c r="AP235" i="54"/>
  <c r="AQ235" i="54" s="1"/>
  <c r="AR235" i="54" s="1"/>
  <c r="AS235" i="54" s="1"/>
  <c r="AT235" i="54" s="1"/>
  <c r="AU235" i="54" s="1"/>
  <c r="AV235" i="54" s="1"/>
  <c r="AW235" i="54" s="1"/>
  <c r="AX235" i="54" s="1"/>
  <c r="AY235" i="54" s="1"/>
  <c r="AZ235" i="54" s="1"/>
  <c r="BA235" i="54" s="1"/>
  <c r="BB235" i="54" s="1"/>
  <c r="AP41" i="73"/>
  <c r="AP236" i="54"/>
  <c r="AQ236" i="54" s="1"/>
  <c r="AR236" i="54" s="1"/>
  <c r="AS236" i="54" s="1"/>
  <c r="AT236" i="54" s="1"/>
  <c r="AU236" i="54" s="1"/>
  <c r="AV236" i="54" s="1"/>
  <c r="AW236" i="54" s="1"/>
  <c r="AX236" i="54" s="1"/>
  <c r="AY236" i="54" s="1"/>
  <c r="AZ236" i="54" s="1"/>
  <c r="BA236" i="54" s="1"/>
  <c r="BB236" i="54" s="1"/>
  <c r="AP42" i="73"/>
  <c r="C42" i="73" s="1"/>
  <c r="C22" i="74"/>
  <c r="AP48" i="69"/>
  <c r="C48" i="69" s="1"/>
  <c r="AP47" i="64"/>
  <c r="AP92" i="54"/>
  <c r="AQ92" i="54" s="1"/>
  <c r="AR92" i="54" s="1"/>
  <c r="AS92" i="54" s="1"/>
  <c r="AT92" i="54" s="1"/>
  <c r="AU92" i="54" s="1"/>
  <c r="AV92" i="54" s="1"/>
  <c r="AW92" i="54" s="1"/>
  <c r="AX92" i="54" s="1"/>
  <c r="AY92" i="54" s="1"/>
  <c r="AZ92" i="54" s="1"/>
  <c r="BA92" i="54" s="1"/>
  <c r="BB92" i="54" s="1"/>
  <c r="AP72" i="68"/>
  <c r="C72" i="68" s="1"/>
  <c r="AP45" i="69"/>
  <c r="C45" i="69" s="1"/>
  <c r="AP89" i="54"/>
  <c r="AQ89" i="54" s="1"/>
  <c r="AR89" i="54" s="1"/>
  <c r="AS89" i="54" s="1"/>
  <c r="AT89" i="54" s="1"/>
  <c r="AU89" i="54" s="1"/>
  <c r="AV89" i="54" s="1"/>
  <c r="AW89" i="54" s="1"/>
  <c r="AX89" i="54" s="1"/>
  <c r="AY89" i="54" s="1"/>
  <c r="AZ89" i="54" s="1"/>
  <c r="BA89" i="54" s="1"/>
  <c r="BB89" i="54" s="1"/>
  <c r="AP69" i="68"/>
  <c r="C69" i="68" s="1"/>
  <c r="AP17" i="69"/>
  <c r="AP43" i="69"/>
  <c r="AP30" i="69"/>
  <c r="AL40" i="63" l="1"/>
  <c r="AQ7" i="4"/>
  <c r="AQ5" i="61"/>
  <c r="AN16" i="33"/>
  <c r="AN51" i="41"/>
  <c r="AP23" i="36"/>
  <c r="AP30" i="36"/>
  <c r="AP10" i="10"/>
  <c r="AP15" i="10" s="1"/>
  <c r="AP9" i="10"/>
  <c r="AP14" i="10" s="1"/>
  <c r="AP8" i="10"/>
  <c r="AP13" i="10" s="1"/>
  <c r="AP14" i="33"/>
  <c r="AP49" i="41"/>
  <c r="AO50" i="41"/>
  <c r="AO15" i="33"/>
  <c r="AO24" i="33" s="1"/>
  <c r="AO42" i="36"/>
  <c r="AO47" i="36" s="1"/>
  <c r="AO23" i="19" s="1"/>
  <c r="AO21" i="19" s="1"/>
  <c r="AO35" i="36"/>
  <c r="AQ45" i="41"/>
  <c r="C46" i="41"/>
  <c r="AQ7" i="10"/>
  <c r="AO23" i="33"/>
  <c r="AP7" i="61"/>
  <c r="AP13" i="61"/>
  <c r="C66" i="40"/>
  <c r="AQ23" i="10"/>
  <c r="AQ10" i="10"/>
  <c r="AQ15" i="10" s="1"/>
  <c r="AQ8" i="10"/>
  <c r="AQ13" i="10" s="1"/>
  <c r="AQ9" i="10"/>
  <c r="AQ14" i="10" s="1"/>
  <c r="AO33" i="10"/>
  <c r="AO9" i="19" s="1"/>
  <c r="AO7" i="19" s="1"/>
  <c r="AP26" i="10"/>
  <c r="AP31" i="10" s="1"/>
  <c r="AP27" i="10"/>
  <c r="AP32" i="10" s="1"/>
  <c r="AP25" i="10"/>
  <c r="AP30" i="10" s="1"/>
  <c r="AP69" i="43"/>
  <c r="AP15" i="49"/>
  <c r="AP7" i="49"/>
  <c r="AP13" i="49"/>
  <c r="AP7" i="50"/>
  <c r="AP5" i="35" s="1"/>
  <c r="AP25" i="35" s="1"/>
  <c r="AP9" i="49"/>
  <c r="AP11" i="50"/>
  <c r="AP7" i="35" s="1"/>
  <c r="AP27" i="35" s="1"/>
  <c r="AP9" i="50"/>
  <c r="AP6" i="35" s="1"/>
  <c r="AP11" i="49"/>
  <c r="AP5" i="42"/>
  <c r="AP23" i="42" s="1"/>
  <c r="AP27" i="42" s="1"/>
  <c r="AP33" i="42" s="1"/>
  <c r="AP34" i="43"/>
  <c r="AQ7" i="44"/>
  <c r="C7" i="44" s="1"/>
  <c r="AQ13" i="44"/>
  <c r="AQ19" i="44"/>
  <c r="C19" i="44" s="1"/>
  <c r="AQ25" i="45"/>
  <c r="AQ31" i="45"/>
  <c r="AQ37" i="45"/>
  <c r="AP13" i="50"/>
  <c r="AP8" i="35" s="1"/>
  <c r="AP28" i="35" s="1"/>
  <c r="AP7" i="42"/>
  <c r="AP25" i="42" s="1"/>
  <c r="AP29" i="42" s="1"/>
  <c r="AP35" i="42" s="1"/>
  <c r="AO36" i="42"/>
  <c r="C72" i="40"/>
  <c r="AQ13" i="45"/>
  <c r="AQ19" i="45"/>
  <c r="AQ7" i="45"/>
  <c r="AQ22" i="10"/>
  <c r="AO9" i="35"/>
  <c r="AO25" i="35"/>
  <c r="AR53" i="40"/>
  <c r="C53" i="40" s="1"/>
  <c r="AR47" i="40"/>
  <c r="C41" i="40"/>
  <c r="AN21" i="63"/>
  <c r="AN7" i="63"/>
  <c r="AM9" i="63"/>
  <c r="AM33" i="63"/>
  <c r="AM34" i="63" s="1"/>
  <c r="AM39" i="63" s="1"/>
  <c r="AM40" i="63" s="1"/>
  <c r="AN58" i="63"/>
  <c r="AO15" i="61"/>
  <c r="AO49" i="63" s="1"/>
  <c r="AO50" i="63" s="1"/>
  <c r="AO55" i="63" s="1"/>
  <c r="AO56" i="63" s="1"/>
  <c r="AO21" i="61"/>
  <c r="AO23" i="61" s="1"/>
  <c r="AL42" i="63"/>
  <c r="C44" i="69"/>
  <c r="C47" i="64"/>
  <c r="C68" i="68"/>
  <c r="AM16" i="64"/>
  <c r="AM8" i="74" s="1"/>
  <c r="AM7" i="74" s="1"/>
  <c r="AM25" i="74" s="1"/>
  <c r="AP47" i="73"/>
  <c r="C41" i="73"/>
  <c r="AN9" i="64"/>
  <c r="AN14" i="64" s="1"/>
  <c r="AN10" i="64"/>
  <c r="AN15" i="64" s="1"/>
  <c r="AN8" i="64"/>
  <c r="AN13" i="64" s="1"/>
  <c r="AP28" i="73"/>
  <c r="AP16" i="73"/>
  <c r="AP40" i="73"/>
  <c r="AP94" i="54"/>
  <c r="AQ94" i="54" s="1"/>
  <c r="AR94" i="54" s="1"/>
  <c r="AS94" i="54" s="1"/>
  <c r="AT94" i="54" s="1"/>
  <c r="AU94" i="54" s="1"/>
  <c r="AV94" i="54" s="1"/>
  <c r="AW94" i="54" s="1"/>
  <c r="AX94" i="54" s="1"/>
  <c r="AY94" i="54" s="1"/>
  <c r="AZ94" i="54" s="1"/>
  <c r="BA94" i="54" s="1"/>
  <c r="BB94" i="54" s="1"/>
  <c r="AP74" i="68"/>
  <c r="C74" i="68" s="1"/>
  <c r="AP50" i="69"/>
  <c r="C50" i="69" s="1"/>
  <c r="AP49" i="64"/>
  <c r="C49" i="64" s="1"/>
  <c r="AO15" i="74"/>
  <c r="AP41" i="68"/>
  <c r="AP67" i="68"/>
  <c r="AP54" i="68"/>
  <c r="AP47" i="69"/>
  <c r="C47" i="69" s="1"/>
  <c r="AP91" i="54"/>
  <c r="AQ91" i="54" s="1"/>
  <c r="AR91" i="54" s="1"/>
  <c r="AS91" i="54" s="1"/>
  <c r="AT91" i="54" s="1"/>
  <c r="AU91" i="54" s="1"/>
  <c r="AV91" i="54" s="1"/>
  <c r="AW91" i="54" s="1"/>
  <c r="AX91" i="54" s="1"/>
  <c r="AY91" i="54" s="1"/>
  <c r="AZ91" i="54" s="1"/>
  <c r="BA91" i="54" s="1"/>
  <c r="BB91" i="54" s="1"/>
  <c r="AP71" i="68"/>
  <c r="C71" i="68" s="1"/>
  <c r="AO16" i="33" l="1"/>
  <c r="AO25" i="33" s="1"/>
  <c r="AO26" i="33" s="1"/>
  <c r="AO14" i="19" s="1"/>
  <c r="AO51" i="41"/>
  <c r="AP50" i="41"/>
  <c r="AP15" i="33"/>
  <c r="AP24" i="33" s="1"/>
  <c r="AP23" i="33"/>
  <c r="AP16" i="10"/>
  <c r="AP8" i="19" s="1"/>
  <c r="C47" i="40"/>
  <c r="AQ13" i="4"/>
  <c r="AP73" i="43"/>
  <c r="AP13" i="19" s="1"/>
  <c r="AO17" i="33"/>
  <c r="AQ47" i="41"/>
  <c r="C45" i="41"/>
  <c r="AP42" i="36"/>
  <c r="AP47" i="36" s="1"/>
  <c r="AP23" i="19" s="1"/>
  <c r="AP21" i="19" s="1"/>
  <c r="AP35" i="36"/>
  <c r="AQ24" i="10"/>
  <c r="AQ40" i="43"/>
  <c r="AQ58" i="43" s="1"/>
  <c r="AQ65" i="43" s="1"/>
  <c r="C25" i="45"/>
  <c r="AQ41" i="43"/>
  <c r="AQ59" i="43" s="1"/>
  <c r="AQ66" i="43" s="1"/>
  <c r="C31" i="45"/>
  <c r="AQ6" i="42"/>
  <c r="AQ24" i="42" s="1"/>
  <c r="AQ28" i="42" s="1"/>
  <c r="AQ34" i="42" s="1"/>
  <c r="C13" i="44"/>
  <c r="AQ42" i="43"/>
  <c r="AQ60" i="43" s="1"/>
  <c r="AQ67" i="43" s="1"/>
  <c r="C37" i="45"/>
  <c r="AQ5" i="43"/>
  <c r="AQ23" i="43" s="1"/>
  <c r="AQ30" i="43" s="1"/>
  <c r="C7" i="45"/>
  <c r="AQ7" i="43"/>
  <c r="AQ25" i="43" s="1"/>
  <c r="AQ32" i="43" s="1"/>
  <c r="C19" i="45"/>
  <c r="AQ6" i="43"/>
  <c r="AQ24" i="43" s="1"/>
  <c r="AQ31" i="43" s="1"/>
  <c r="C13" i="45"/>
  <c r="AQ7" i="61"/>
  <c r="C7" i="61" s="1"/>
  <c r="AQ13" i="61"/>
  <c r="C13" i="61" s="1"/>
  <c r="C5" i="61"/>
  <c r="AP36" i="42"/>
  <c r="AQ16" i="10"/>
  <c r="AQ8" i="19" s="1"/>
  <c r="AP33" i="10"/>
  <c r="AP9" i="19" s="1"/>
  <c r="AP7" i="19" s="1"/>
  <c r="AM42" i="63"/>
  <c r="AP9" i="35"/>
  <c r="AP26" i="35"/>
  <c r="AP29" i="35" s="1"/>
  <c r="AQ69" i="43"/>
  <c r="AQ13" i="50"/>
  <c r="AQ8" i="35" s="1"/>
  <c r="AQ28" i="35" s="1"/>
  <c r="AQ7" i="42"/>
  <c r="AQ25" i="42" s="1"/>
  <c r="AQ29" i="42" s="1"/>
  <c r="AQ35" i="42" s="1"/>
  <c r="AO29" i="35"/>
  <c r="AO30" i="35"/>
  <c r="AO35" i="35" s="1"/>
  <c r="AO20" i="19" s="1"/>
  <c r="AO18" i="19" s="1"/>
  <c r="AQ11" i="50"/>
  <c r="AQ7" i="35" s="1"/>
  <c r="AQ13" i="49"/>
  <c r="AQ15" i="49"/>
  <c r="AQ7" i="49"/>
  <c r="AQ7" i="50"/>
  <c r="AQ9" i="49"/>
  <c r="AQ9" i="50"/>
  <c r="AQ6" i="35" s="1"/>
  <c r="AQ26" i="35" s="1"/>
  <c r="AQ11" i="49"/>
  <c r="AQ5" i="42"/>
  <c r="AQ23" i="42" s="1"/>
  <c r="AQ27" i="42" s="1"/>
  <c r="AQ33" i="42" s="1"/>
  <c r="AQ26" i="10"/>
  <c r="AQ31" i="10" s="1"/>
  <c r="AQ27" i="10"/>
  <c r="AQ32" i="10" s="1"/>
  <c r="AQ25" i="10"/>
  <c r="AQ30" i="10" s="1"/>
  <c r="AQ21" i="61"/>
  <c r="AQ23" i="61" s="1"/>
  <c r="AQ8" i="64"/>
  <c r="AQ10" i="64"/>
  <c r="AQ9" i="64"/>
  <c r="AO21" i="63"/>
  <c r="AO7" i="63"/>
  <c r="AO58" i="63"/>
  <c r="AN9" i="63"/>
  <c r="AN33" i="63"/>
  <c r="AN34" i="63" s="1"/>
  <c r="AN39" i="63" s="1"/>
  <c r="AN40" i="63" s="1"/>
  <c r="AP21" i="61"/>
  <c r="AP15" i="61"/>
  <c r="AP23" i="74"/>
  <c r="C47" i="73"/>
  <c r="AP75" i="68"/>
  <c r="AP50" i="64"/>
  <c r="AO10" i="64"/>
  <c r="AO15" i="64" s="1"/>
  <c r="AO8" i="64"/>
  <c r="AO13" i="64" s="1"/>
  <c r="AO9" i="64"/>
  <c r="AO14" i="64" s="1"/>
  <c r="AP51" i="69"/>
  <c r="AN16" i="64"/>
  <c r="AN8" i="74" s="1"/>
  <c r="AN7" i="74" s="1"/>
  <c r="AN25" i="74" s="1"/>
  <c r="C47" i="41" l="1"/>
  <c r="AQ25" i="47"/>
  <c r="AQ19" i="47"/>
  <c r="AQ48" i="41"/>
  <c r="AQ15" i="4"/>
  <c r="AQ21" i="4"/>
  <c r="AQ23" i="4" s="1"/>
  <c r="AP16" i="33"/>
  <c r="AP51" i="41"/>
  <c r="AQ15" i="61"/>
  <c r="C15" i="61" s="1"/>
  <c r="AQ34" i="43"/>
  <c r="AQ5" i="35"/>
  <c r="AQ25" i="35" s="1"/>
  <c r="C7" i="50"/>
  <c r="AQ73" i="43"/>
  <c r="AQ13" i="19" s="1"/>
  <c r="AQ14" i="64"/>
  <c r="AQ15" i="64"/>
  <c r="AQ13" i="64"/>
  <c r="AQ27" i="35"/>
  <c r="AQ36" i="42"/>
  <c r="AP30" i="35"/>
  <c r="AP35" i="35" s="1"/>
  <c r="AP20" i="19" s="1"/>
  <c r="AP18" i="19" s="1"/>
  <c r="AQ33" i="10"/>
  <c r="AQ9" i="19" s="1"/>
  <c r="AQ7" i="19" s="1"/>
  <c r="AQ16" i="64"/>
  <c r="AP23" i="61"/>
  <c r="C21" i="61"/>
  <c r="AO33" i="63"/>
  <c r="AO34" i="63" s="1"/>
  <c r="AO39" i="63" s="1"/>
  <c r="AO40" i="63" s="1"/>
  <c r="AO9" i="63"/>
  <c r="AP49" i="63"/>
  <c r="AN42" i="63"/>
  <c r="AO16" i="64"/>
  <c r="AO8" i="74" s="1"/>
  <c r="AO7" i="74" s="1"/>
  <c r="AO25" i="74" s="1"/>
  <c r="AP10" i="64"/>
  <c r="C10" i="64" s="1"/>
  <c r="AP8" i="64"/>
  <c r="C8" i="64" s="1"/>
  <c r="AP9" i="64"/>
  <c r="C9" i="64" s="1"/>
  <c r="AP10" i="74"/>
  <c r="C10" i="74" s="1"/>
  <c r="C50" i="64"/>
  <c r="C23" i="74"/>
  <c r="AP21" i="74"/>
  <c r="C21" i="74" s="1"/>
  <c r="AP17" i="74"/>
  <c r="C17" i="74" s="1"/>
  <c r="C51" i="69"/>
  <c r="AP16" i="74"/>
  <c r="C75" i="68"/>
  <c r="AQ49" i="41" l="1"/>
  <c r="AQ14" i="33"/>
  <c r="C48" i="41"/>
  <c r="AQ18" i="36"/>
  <c r="C19" i="47"/>
  <c r="AP25" i="33"/>
  <c r="AP26" i="33" s="1"/>
  <c r="AP14" i="19" s="1"/>
  <c r="AP17" i="33"/>
  <c r="AQ29" i="35"/>
  <c r="AQ19" i="36"/>
  <c r="AQ31" i="36" s="1"/>
  <c r="AQ43" i="36" s="1"/>
  <c r="C25" i="47"/>
  <c r="AQ9" i="35"/>
  <c r="AQ30" i="35"/>
  <c r="AQ35" i="35" s="1"/>
  <c r="AQ20" i="19" s="1"/>
  <c r="AQ18" i="19" s="1"/>
  <c r="C15" i="64"/>
  <c r="AO42" i="63"/>
  <c r="C49" i="63"/>
  <c r="AP50" i="63"/>
  <c r="AP7" i="63"/>
  <c r="AP21" i="63"/>
  <c r="C21" i="63" s="1"/>
  <c r="C23" i="61"/>
  <c r="C5" i="62" s="1"/>
  <c r="AP15" i="74"/>
  <c r="C15" i="74" s="1"/>
  <c r="C16" i="74"/>
  <c r="AP14" i="64"/>
  <c r="C14" i="64" s="1"/>
  <c r="AP13" i="64"/>
  <c r="C13" i="64" s="1"/>
  <c r="AP15" i="64"/>
  <c r="AQ30" i="36" l="1"/>
  <c r="AQ23" i="36"/>
  <c r="AQ23" i="33"/>
  <c r="AQ50" i="41"/>
  <c r="AQ15" i="33"/>
  <c r="AQ24" i="33" s="1"/>
  <c r="C49" i="41"/>
  <c r="C7" i="63"/>
  <c r="AP33" i="63"/>
  <c r="AP9" i="63"/>
  <c r="C50" i="63"/>
  <c r="AP55" i="63"/>
  <c r="AP16" i="64"/>
  <c r="C16" i="64" s="1"/>
  <c r="AQ16" i="33" l="1"/>
  <c r="AQ25" i="33" s="1"/>
  <c r="AQ26" i="33" s="1"/>
  <c r="AQ14" i="19" s="1"/>
  <c r="C50" i="41"/>
  <c r="AQ51" i="41"/>
  <c r="C51" i="41" s="1"/>
  <c r="AQ17" i="33"/>
  <c r="AQ42" i="36"/>
  <c r="AQ47" i="36" s="1"/>
  <c r="AQ23" i="19" s="1"/>
  <c r="AQ21" i="19" s="1"/>
  <c r="AQ35" i="36"/>
  <c r="C55" i="63"/>
  <c r="AP56" i="63"/>
  <c r="AP58" i="63"/>
  <c r="C12" i="63"/>
  <c r="C9" i="63"/>
  <c r="AP34" i="63"/>
  <c r="C33" i="63"/>
  <c r="D5" i="62"/>
  <c r="D7" i="62" s="1"/>
  <c r="D8" i="62" s="1"/>
  <c r="D9" i="62" s="1"/>
  <c r="C11" i="63"/>
  <c r="AP8" i="74"/>
  <c r="D27" i="62" l="1"/>
  <c r="C16" i="62"/>
  <c r="C18" i="62" s="1"/>
  <c r="C19" i="62" s="1"/>
  <c r="E27" i="62"/>
  <c r="E28" i="62" s="1"/>
  <c r="AP39" i="63"/>
  <c r="C34" i="63"/>
  <c r="AP7" i="74"/>
  <c r="C8" i="74"/>
  <c r="E18" i="63" l="1"/>
  <c r="E23" i="63" s="1"/>
  <c r="AP40" i="63"/>
  <c r="C39" i="63"/>
  <c r="AP42" i="63"/>
  <c r="Q18" i="63"/>
  <c r="Q23" i="63" s="1"/>
  <c r="X18" i="63"/>
  <c r="X23" i="63" s="1"/>
  <c r="V18" i="63"/>
  <c r="V23" i="63" s="1"/>
  <c r="AL18" i="63"/>
  <c r="AL23" i="63" s="1"/>
  <c r="U18" i="63"/>
  <c r="U23" i="63" s="1"/>
  <c r="S18" i="63"/>
  <c r="S23" i="63" s="1"/>
  <c r="AF18" i="63"/>
  <c r="AF23" i="63" s="1"/>
  <c r="T18" i="63"/>
  <c r="T23" i="63" s="1"/>
  <c r="H18" i="63"/>
  <c r="H23" i="63" s="1"/>
  <c r="M18" i="63"/>
  <c r="M23" i="63" s="1"/>
  <c r="AO18" i="63"/>
  <c r="AO23" i="63" s="1"/>
  <c r="K18" i="63"/>
  <c r="K23" i="63" s="1"/>
  <c r="J18" i="63"/>
  <c r="J23" i="63" s="1"/>
  <c r="L18" i="63"/>
  <c r="L23" i="63" s="1"/>
  <c r="AM18" i="63"/>
  <c r="AM23" i="63" s="1"/>
  <c r="W18" i="63"/>
  <c r="W23" i="63" s="1"/>
  <c r="AK18" i="63"/>
  <c r="AK23" i="63" s="1"/>
  <c r="Y18" i="63"/>
  <c r="Y23" i="63" s="1"/>
  <c r="P18" i="63"/>
  <c r="P23" i="63" s="1"/>
  <c r="AP18" i="63"/>
  <c r="AP23" i="63" s="1"/>
  <c r="AN18" i="63"/>
  <c r="AN23" i="63" s="1"/>
  <c r="AE18" i="63"/>
  <c r="AE23" i="63" s="1"/>
  <c r="O18" i="63"/>
  <c r="O23" i="63" s="1"/>
  <c r="AD18" i="63"/>
  <c r="AD23" i="63" s="1"/>
  <c r="AB18" i="63"/>
  <c r="AB23" i="63" s="1"/>
  <c r="AI18" i="63"/>
  <c r="AI23" i="63" s="1"/>
  <c r="G18" i="63"/>
  <c r="G23" i="63" s="1"/>
  <c r="AC18" i="63"/>
  <c r="AC23" i="63" s="1"/>
  <c r="F18" i="63"/>
  <c r="F23" i="63" s="1"/>
  <c r="AA18" i="63"/>
  <c r="AA23" i="63" s="1"/>
  <c r="N18" i="63"/>
  <c r="N23" i="63" s="1"/>
  <c r="R18" i="63"/>
  <c r="R23" i="63" s="1"/>
  <c r="I18" i="63"/>
  <c r="I23" i="63" s="1"/>
  <c r="AG18" i="63"/>
  <c r="AG23" i="63" s="1"/>
  <c r="Z18" i="63"/>
  <c r="Z23" i="63" s="1"/>
  <c r="AJ18" i="63"/>
  <c r="AJ23" i="63" s="1"/>
  <c r="AH18" i="63"/>
  <c r="AH23" i="63" s="1"/>
  <c r="C27" i="62"/>
  <c r="D28" i="62"/>
  <c r="AP25" i="74"/>
  <c r="C7" i="74"/>
  <c r="C28" i="62" l="1"/>
  <c r="D18" i="63"/>
  <c r="C27" i="74"/>
  <c r="C30" i="74"/>
  <c r="C29" i="74"/>
  <c r="C25" i="74"/>
  <c r="C28" i="74"/>
  <c r="C18" i="63" l="1"/>
  <c r="C25" i="63" s="1"/>
  <c r="D23" i="63"/>
  <c r="C26" i="63" l="1"/>
  <c r="C23" i="63"/>
  <c r="AN27" i="51"/>
  <c r="AM27" i="51"/>
  <c r="AL27" i="51"/>
  <c r="AK27" i="51"/>
  <c r="AJ27" i="51"/>
  <c r="AI27" i="51"/>
  <c r="AH27" i="51"/>
  <c r="AG27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AN17" i="51"/>
  <c r="AM17" i="51"/>
  <c r="AL17" i="51"/>
  <c r="AK17" i="51"/>
  <c r="AJ17" i="51"/>
  <c r="AI17" i="51"/>
  <c r="AH17" i="5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AN11" i="51"/>
  <c r="AM11" i="51"/>
  <c r="AL11" i="51"/>
  <c r="AK11" i="51"/>
  <c r="AJ11" i="51"/>
  <c r="AI11" i="51"/>
  <c r="AH11" i="5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AN5" i="51"/>
  <c r="AM5" i="51"/>
  <c r="AL5" i="51"/>
  <c r="AK5" i="51"/>
  <c r="AJ5" i="51"/>
  <c r="AI5" i="51"/>
  <c r="AH5" i="5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AN6" i="50"/>
  <c r="AM6" i="50"/>
  <c r="AL6" i="50"/>
  <c r="AK6" i="50"/>
  <c r="AJ6" i="50"/>
  <c r="AI6" i="50"/>
  <c r="AH6" i="50"/>
  <c r="AG6" i="50"/>
  <c r="AF6" i="50"/>
  <c r="AE6" i="50"/>
  <c r="AD6" i="50"/>
  <c r="AC6" i="50"/>
  <c r="AB6" i="50"/>
  <c r="AA6" i="50"/>
  <c r="Z6" i="50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AN31" i="48"/>
  <c r="AM31" i="48"/>
  <c r="AL31" i="48"/>
  <c r="AK31" i="48"/>
  <c r="AJ31" i="48"/>
  <c r="AI31" i="48"/>
  <c r="AH31" i="48"/>
  <c r="AG31" i="48"/>
  <c r="AF31" i="48"/>
  <c r="AE31" i="48"/>
  <c r="AD31" i="48"/>
  <c r="AC31" i="48"/>
  <c r="AB31" i="48"/>
  <c r="AA31" i="48"/>
  <c r="Z31" i="48"/>
  <c r="Y31" i="48"/>
  <c r="X31" i="48"/>
  <c r="W31" i="48"/>
  <c r="V31" i="48"/>
  <c r="U31" i="48"/>
  <c r="T31" i="48"/>
  <c r="S31" i="48"/>
  <c r="R31" i="48"/>
  <c r="Q31" i="48"/>
  <c r="P31" i="48"/>
  <c r="O31" i="48"/>
  <c r="N31" i="48"/>
  <c r="M31" i="48"/>
  <c r="L31" i="48"/>
  <c r="K31" i="48"/>
  <c r="J31" i="48"/>
  <c r="I31" i="48"/>
  <c r="H31" i="48"/>
  <c r="G31" i="48"/>
  <c r="F31" i="48"/>
  <c r="E31" i="48"/>
  <c r="H12" i="48"/>
  <c r="I12" i="48"/>
  <c r="I34" i="48" s="1"/>
  <c r="J12" i="48"/>
  <c r="J34" i="48" s="1"/>
  <c r="K12" i="48"/>
  <c r="K34" i="48" s="1"/>
  <c r="L12" i="48"/>
  <c r="M12" i="48"/>
  <c r="M39" i="48" s="1"/>
  <c r="N12" i="48"/>
  <c r="N30" i="51" s="1"/>
  <c r="O12" i="48"/>
  <c r="P12" i="48"/>
  <c r="Q12" i="48"/>
  <c r="Q34" i="48" s="1"/>
  <c r="R12" i="48"/>
  <c r="R34" i="48" s="1"/>
  <c r="S12" i="48"/>
  <c r="S34" i="48" s="1"/>
  <c r="T12" i="48"/>
  <c r="T36" i="48" s="1"/>
  <c r="U12" i="48"/>
  <c r="U30" i="51" s="1"/>
  <c r="V12" i="48"/>
  <c r="W12" i="48"/>
  <c r="X12" i="48"/>
  <c r="Y12" i="48"/>
  <c r="Z12" i="48"/>
  <c r="Z34" i="48" s="1"/>
  <c r="AA12" i="48"/>
  <c r="AB12" i="48"/>
  <c r="AC12" i="48"/>
  <c r="AD12" i="48"/>
  <c r="AD36" i="48" s="1"/>
  <c r="AE12" i="48"/>
  <c r="AE36" i="48" s="1"/>
  <c r="AF12" i="48"/>
  <c r="AG12" i="48"/>
  <c r="AH12" i="48"/>
  <c r="AH32" i="48" s="1"/>
  <c r="AI12" i="48"/>
  <c r="AJ12" i="48"/>
  <c r="AK12" i="48"/>
  <c r="AL12" i="48"/>
  <c r="AM12" i="48"/>
  <c r="AM34" i="48" s="1"/>
  <c r="AN12" i="48"/>
  <c r="AN34" i="48" s="1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AN11" i="48"/>
  <c r="AM11" i="48"/>
  <c r="AL11" i="48"/>
  <c r="AK11" i="48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AN5" i="48"/>
  <c r="AM5" i="48"/>
  <c r="AL5" i="48"/>
  <c r="AK5" i="48"/>
  <c r="AJ5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R32" i="48" l="1"/>
  <c r="Z32" i="48"/>
  <c r="T39" i="48"/>
  <c r="Q32" i="48"/>
  <c r="AN36" i="48"/>
  <c r="J32" i="48"/>
  <c r="I32" i="48"/>
  <c r="S36" i="48"/>
  <c r="AI28" i="51"/>
  <c r="AI42" i="48"/>
  <c r="AI30" i="51"/>
  <c r="AI32" i="51"/>
  <c r="AI39" i="48"/>
  <c r="AI32" i="48"/>
  <c r="AI36" i="48"/>
  <c r="AI34" i="48"/>
  <c r="AA28" i="51"/>
  <c r="AA42" i="48"/>
  <c r="AA30" i="51"/>
  <c r="AA39" i="48"/>
  <c r="AA32" i="48"/>
  <c r="AA32" i="51"/>
  <c r="AA36" i="48"/>
  <c r="AA34" i="48"/>
  <c r="M34" i="48"/>
  <c r="AG30" i="51"/>
  <c r="AG32" i="51"/>
  <c r="AG28" i="51"/>
  <c r="AG42" i="48"/>
  <c r="AG36" i="48"/>
  <c r="AG39" i="48"/>
  <c r="AG34" i="48"/>
  <c r="Y30" i="51"/>
  <c r="Y32" i="51"/>
  <c r="Y28" i="51"/>
  <c r="Y42" i="48"/>
  <c r="Y36" i="48"/>
  <c r="Y39" i="48"/>
  <c r="Y34" i="48"/>
  <c r="AH28" i="51"/>
  <c r="AH42" i="48"/>
  <c r="AH30" i="51"/>
  <c r="AH32" i="51"/>
  <c r="AH36" i="48"/>
  <c r="AH39" i="48"/>
  <c r="AH34" i="48"/>
  <c r="AN30" i="51"/>
  <c r="AN32" i="51"/>
  <c r="AN42" i="48"/>
  <c r="AN39" i="48"/>
  <c r="AN28" i="51"/>
  <c r="AN32" i="48"/>
  <c r="AF30" i="51"/>
  <c r="AF32" i="51"/>
  <c r="AF39" i="48"/>
  <c r="AF28" i="51"/>
  <c r="AF36" i="48"/>
  <c r="AF34" i="48"/>
  <c r="AF42" i="48"/>
  <c r="AF32" i="48"/>
  <c r="X30" i="51"/>
  <c r="X32" i="51"/>
  <c r="X28" i="51"/>
  <c r="X39" i="48"/>
  <c r="X42" i="48"/>
  <c r="X36" i="48"/>
  <c r="X34" i="48"/>
  <c r="X32" i="48"/>
  <c r="P30" i="51"/>
  <c r="P32" i="51"/>
  <c r="P39" i="48"/>
  <c r="P42" i="48"/>
  <c r="P28" i="51"/>
  <c r="P36" i="48"/>
  <c r="P34" i="48"/>
  <c r="P32" i="48"/>
  <c r="H30" i="51"/>
  <c r="H32" i="51"/>
  <c r="H42" i="48"/>
  <c r="H39" i="48"/>
  <c r="H36" i="48"/>
  <c r="H28" i="51"/>
  <c r="H34" i="48"/>
  <c r="H32" i="48"/>
  <c r="AG32" i="48"/>
  <c r="AM32" i="51"/>
  <c r="AM30" i="51"/>
  <c r="AM39" i="48"/>
  <c r="AM28" i="51"/>
  <c r="AM42" i="48"/>
  <c r="AM32" i="48"/>
  <c r="AM36" i="48"/>
  <c r="AE32" i="51"/>
  <c r="AE30" i="51"/>
  <c r="AE39" i="48"/>
  <c r="AE28" i="51"/>
  <c r="AE42" i="48"/>
  <c r="AE32" i="48"/>
  <c r="W32" i="51"/>
  <c r="W30" i="51"/>
  <c r="W28" i="51"/>
  <c r="W39" i="48"/>
  <c r="W42" i="48"/>
  <c r="W34" i="48"/>
  <c r="W36" i="48"/>
  <c r="W32" i="48"/>
  <c r="O32" i="51"/>
  <c r="O30" i="51"/>
  <c r="O39" i="48"/>
  <c r="O42" i="48"/>
  <c r="O34" i="48"/>
  <c r="O28" i="51"/>
  <c r="O32" i="48"/>
  <c r="O36" i="48"/>
  <c r="AE34" i="48"/>
  <c r="AL32" i="51"/>
  <c r="AL28" i="51"/>
  <c r="AL42" i="48"/>
  <c r="AL30" i="51"/>
  <c r="AL39" i="48"/>
  <c r="AL32" i="48"/>
  <c r="AL36" i="48"/>
  <c r="AL34" i="48"/>
  <c r="AD32" i="51"/>
  <c r="AD28" i="51"/>
  <c r="AD42" i="48"/>
  <c r="AD30" i="51"/>
  <c r="AD39" i="48"/>
  <c r="AD32" i="48"/>
  <c r="V32" i="51"/>
  <c r="V28" i="51"/>
  <c r="V42" i="48"/>
  <c r="V30" i="51"/>
  <c r="V39" i="48"/>
  <c r="V36" i="48"/>
  <c r="V32" i="48"/>
  <c r="N32" i="51"/>
  <c r="N28" i="51"/>
  <c r="N42" i="48"/>
  <c r="N39" i="48"/>
  <c r="N34" i="48"/>
  <c r="N32" i="48"/>
  <c r="N36" i="48"/>
  <c r="Y32" i="48"/>
  <c r="AD34" i="48"/>
  <c r="AK28" i="51"/>
  <c r="AK42" i="48"/>
  <c r="AK32" i="51"/>
  <c r="AK30" i="51"/>
  <c r="AK32" i="48"/>
  <c r="AK36" i="48"/>
  <c r="AK39" i="48"/>
  <c r="AK34" i="48"/>
  <c r="AC28" i="51"/>
  <c r="AC42" i="48"/>
  <c r="AC32" i="51"/>
  <c r="AC30" i="51"/>
  <c r="AC39" i="48"/>
  <c r="AC32" i="48"/>
  <c r="AC36" i="48"/>
  <c r="AC34" i="48"/>
  <c r="U28" i="51"/>
  <c r="U42" i="48"/>
  <c r="U32" i="51"/>
  <c r="U39" i="48"/>
  <c r="U36" i="48"/>
  <c r="U32" i="48"/>
  <c r="M28" i="51"/>
  <c r="M42" i="48"/>
  <c r="M32" i="51"/>
  <c r="M30" i="51"/>
  <c r="M36" i="48"/>
  <c r="M32" i="48"/>
  <c r="V34" i="48"/>
  <c r="AJ28" i="51"/>
  <c r="AJ42" i="48"/>
  <c r="AJ30" i="51"/>
  <c r="AJ32" i="51"/>
  <c r="AJ34" i="48"/>
  <c r="AJ32" i="48"/>
  <c r="AJ36" i="48"/>
  <c r="AJ39" i="48"/>
  <c r="AB28" i="51"/>
  <c r="AB42" i="48"/>
  <c r="AB30" i="51"/>
  <c r="AB34" i="48"/>
  <c r="AB32" i="51"/>
  <c r="AB39" i="48"/>
  <c r="AB32" i="48"/>
  <c r="AB36" i="48"/>
  <c r="T28" i="51"/>
  <c r="T42" i="48"/>
  <c r="T30" i="51"/>
  <c r="T34" i="48"/>
  <c r="T32" i="48"/>
  <c r="T32" i="51"/>
  <c r="L28" i="51"/>
  <c r="L42" i="48"/>
  <c r="L30" i="51"/>
  <c r="L34" i="48"/>
  <c r="L32" i="51"/>
  <c r="L32" i="48"/>
  <c r="L36" i="48"/>
  <c r="L39" i="48"/>
  <c r="U34" i="48"/>
  <c r="S28" i="51"/>
  <c r="S42" i="48"/>
  <c r="S30" i="51"/>
  <c r="S32" i="51"/>
  <c r="S39" i="48"/>
  <c r="K28" i="51"/>
  <c r="K42" i="48"/>
  <c r="K30" i="51"/>
  <c r="K32" i="51"/>
  <c r="K39" i="48"/>
  <c r="K36" i="48"/>
  <c r="Z28" i="51"/>
  <c r="Z42" i="48"/>
  <c r="Z30" i="51"/>
  <c r="Z32" i="51"/>
  <c r="Z36" i="48"/>
  <c r="Z39" i="48"/>
  <c r="R28" i="51"/>
  <c r="R42" i="48"/>
  <c r="R30" i="51"/>
  <c r="R32" i="51"/>
  <c r="R36" i="48"/>
  <c r="R39" i="48"/>
  <c r="J28" i="51"/>
  <c r="J42" i="48"/>
  <c r="J30" i="51"/>
  <c r="J32" i="51"/>
  <c r="J36" i="48"/>
  <c r="J39" i="48"/>
  <c r="Q30" i="51"/>
  <c r="Q32" i="51"/>
  <c r="Q28" i="51"/>
  <c r="Q42" i="48"/>
  <c r="Q36" i="48"/>
  <c r="Q39" i="48"/>
  <c r="I30" i="51"/>
  <c r="I32" i="51"/>
  <c r="I28" i="51"/>
  <c r="I42" i="48"/>
  <c r="I36" i="48"/>
  <c r="I39" i="48"/>
  <c r="S32" i="48"/>
  <c r="K32" i="48"/>
  <c r="AN24" i="47"/>
  <c r="AM24" i="47"/>
  <c r="AL24" i="47"/>
  <c r="AK24" i="47"/>
  <c r="AJ24" i="47"/>
  <c r="AI24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AN18" i="47"/>
  <c r="AM18" i="47"/>
  <c r="AL18" i="47"/>
  <c r="AK18" i="47"/>
  <c r="AJ18" i="47"/>
  <c r="AI18" i="47"/>
  <c r="AH18" i="47"/>
  <c r="AG18" i="47"/>
  <c r="AF18" i="47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L18" i="47"/>
  <c r="K18" i="47"/>
  <c r="J18" i="47"/>
  <c r="I18" i="47"/>
  <c r="H18" i="47"/>
  <c r="G18" i="47"/>
  <c r="F18" i="47"/>
  <c r="E18" i="47"/>
  <c r="AN12" i="47"/>
  <c r="AM12" i="47"/>
  <c r="AL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AN6" i="47"/>
  <c r="AM6" i="47"/>
  <c r="AL6" i="47"/>
  <c r="AK6" i="47"/>
  <c r="AJ6" i="47"/>
  <c r="AI6" i="47"/>
  <c r="AH6" i="47"/>
  <c r="AG6" i="47"/>
  <c r="AF6" i="47"/>
  <c r="AE6" i="47"/>
  <c r="AD6" i="47"/>
  <c r="AC6" i="47"/>
  <c r="AB6" i="47"/>
  <c r="AA6" i="47"/>
  <c r="Z6" i="47"/>
  <c r="Y6" i="47"/>
  <c r="X6" i="47"/>
  <c r="W6" i="47"/>
  <c r="V6" i="47"/>
  <c r="U6" i="47"/>
  <c r="T6" i="47"/>
  <c r="S6" i="47"/>
  <c r="R6" i="47"/>
  <c r="Q6" i="47"/>
  <c r="P6" i="47"/>
  <c r="O6" i="47"/>
  <c r="N6" i="47"/>
  <c r="M6" i="47"/>
  <c r="L6" i="47"/>
  <c r="K6" i="47"/>
  <c r="J6" i="47"/>
  <c r="I6" i="47"/>
  <c r="H6" i="47"/>
  <c r="G6" i="47"/>
  <c r="F6" i="47"/>
  <c r="E6" i="47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AN17" i="46"/>
  <c r="AM17" i="46"/>
  <c r="AL17" i="46"/>
  <c r="AK17" i="46"/>
  <c r="AJ17" i="46"/>
  <c r="AI17" i="46"/>
  <c r="AH17" i="46"/>
  <c r="AG17" i="46"/>
  <c r="AF17" i="46"/>
  <c r="AE17" i="46"/>
  <c r="AD17" i="46"/>
  <c r="AC17" i="46"/>
  <c r="AB17" i="46"/>
  <c r="AA17" i="46"/>
  <c r="Z17" i="46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AN11" i="46"/>
  <c r="AM11" i="46"/>
  <c r="AL11" i="46"/>
  <c r="AK11" i="46"/>
  <c r="AJ11" i="46"/>
  <c r="AI11" i="46"/>
  <c r="AH11" i="46"/>
  <c r="AG11" i="46"/>
  <c r="AF11" i="46"/>
  <c r="AE11" i="46"/>
  <c r="AD11" i="46"/>
  <c r="AC11" i="46"/>
  <c r="AB11" i="46"/>
  <c r="AA11" i="46"/>
  <c r="Z11" i="46"/>
  <c r="Y11" i="46"/>
  <c r="X11" i="46"/>
  <c r="W11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V5" i="46"/>
  <c r="U5" i="46"/>
  <c r="T5" i="46"/>
  <c r="S5" i="46"/>
  <c r="R5" i="46"/>
  <c r="Q5" i="46"/>
  <c r="P5" i="46"/>
  <c r="O5" i="46"/>
  <c r="N5" i="46"/>
  <c r="M5" i="46"/>
  <c r="L5" i="46"/>
  <c r="K5" i="46"/>
  <c r="J5" i="46"/>
  <c r="I5" i="46"/>
  <c r="H5" i="46"/>
  <c r="G5" i="46"/>
  <c r="F5" i="46"/>
  <c r="E5" i="46"/>
  <c r="AN36" i="45"/>
  <c r="AM36" i="45"/>
  <c r="AL36" i="45"/>
  <c r="AK36" i="45"/>
  <c r="AJ36" i="45"/>
  <c r="AI36" i="45"/>
  <c r="AH36" i="45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AN30" i="45"/>
  <c r="AM30" i="45"/>
  <c r="AL30" i="45"/>
  <c r="AK30" i="45"/>
  <c r="AJ30" i="45"/>
  <c r="AI30" i="45"/>
  <c r="AH30" i="45"/>
  <c r="AG30" i="45"/>
  <c r="AF30" i="45"/>
  <c r="AE30" i="45"/>
  <c r="AD30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AN24" i="45"/>
  <c r="AM24" i="45"/>
  <c r="AL24" i="45"/>
  <c r="AK24" i="45"/>
  <c r="AJ24" i="45"/>
  <c r="AI24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6" i="45"/>
  <c r="F6" i="45"/>
  <c r="E6" i="45"/>
  <c r="AN36" i="44"/>
  <c r="AM36" i="44"/>
  <c r="AL36" i="44"/>
  <c r="AK36" i="44"/>
  <c r="AJ36" i="44"/>
  <c r="AI36" i="44"/>
  <c r="AH36" i="44"/>
  <c r="AG36" i="44"/>
  <c r="AF36" i="44"/>
  <c r="AE36" i="44"/>
  <c r="AD36" i="44"/>
  <c r="AC36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AN30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AN18" i="44" l="1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AN12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E6" i="44"/>
  <c r="D13" i="50" l="1"/>
  <c r="E9" i="50"/>
  <c r="E6" i="35" s="1"/>
  <c r="E11" i="50"/>
  <c r="E7" i="35" s="1"/>
  <c r="E15" i="49"/>
  <c r="E11" i="34" s="1"/>
  <c r="E7" i="49"/>
  <c r="E6" i="34" s="1"/>
  <c r="E9" i="49"/>
  <c r="E8" i="34" s="1"/>
  <c r="E11" i="49"/>
  <c r="E9" i="34" s="1"/>
  <c r="E13" i="49"/>
  <c r="E10" i="34" s="1"/>
  <c r="F13" i="50"/>
  <c r="F8" i="35" s="1"/>
  <c r="E13" i="50"/>
  <c r="E8" i="35" s="1"/>
  <c r="G9" i="50"/>
  <c r="G6" i="35" s="1"/>
  <c r="G11" i="50"/>
  <c r="G7" i="35" s="1"/>
  <c r="G15" i="49"/>
  <c r="G11" i="34" s="1"/>
  <c r="G9" i="49"/>
  <c r="G8" i="34" s="1"/>
  <c r="G7" i="49"/>
  <c r="G6" i="34" s="1"/>
  <c r="G11" i="49"/>
  <c r="G9" i="34" s="1"/>
  <c r="G13" i="49"/>
  <c r="G10" i="34" s="1"/>
  <c r="G13" i="50"/>
  <c r="G8" i="35" s="1"/>
  <c r="D11" i="50"/>
  <c r="D9" i="49"/>
  <c r="D13" i="49"/>
  <c r="D7" i="49"/>
  <c r="D9" i="50"/>
  <c r="D15" i="49"/>
  <c r="D11" i="49"/>
  <c r="F9" i="50"/>
  <c r="F6" i="35" s="1"/>
  <c r="F11" i="50"/>
  <c r="F7" i="35" s="1"/>
  <c r="F9" i="49"/>
  <c r="F8" i="34" s="1"/>
  <c r="F15" i="49"/>
  <c r="F11" i="34" s="1"/>
  <c r="F7" i="49"/>
  <c r="F6" i="34" s="1"/>
  <c r="F11" i="49"/>
  <c r="F9" i="34" s="1"/>
  <c r="F13" i="49"/>
  <c r="F10" i="34" s="1"/>
  <c r="G64" i="30"/>
  <c r="E64" i="30"/>
  <c r="F63" i="30"/>
  <c r="D63" i="30"/>
  <c r="D9" i="34" l="1"/>
  <c r="D6" i="35"/>
  <c r="D10" i="34"/>
  <c r="D8" i="34"/>
  <c r="D7" i="35"/>
  <c r="D11" i="34"/>
  <c r="D6" i="34"/>
  <c r="D8" i="35"/>
  <c r="H63" i="30"/>
  <c r="I64" i="30"/>
  <c r="L22" i="51" l="1"/>
  <c r="L20" i="51"/>
  <c r="L18" i="51"/>
  <c r="L26" i="48"/>
  <c r="L24" i="48"/>
  <c r="L22" i="48"/>
  <c r="L20" i="48"/>
  <c r="L18" i="48"/>
  <c r="I22" i="51"/>
  <c r="I20" i="51"/>
  <c r="I18" i="51"/>
  <c r="I26" i="48"/>
  <c r="I24" i="48"/>
  <c r="I18" i="48"/>
  <c r="I20" i="48"/>
  <c r="I22" i="48"/>
  <c r="AE22" i="51"/>
  <c r="AE20" i="51"/>
  <c r="AE18" i="51"/>
  <c r="AE26" i="48"/>
  <c r="AE22" i="48"/>
  <c r="AE24" i="48"/>
  <c r="AE18" i="48"/>
  <c r="AE20" i="48"/>
  <c r="F12" i="48"/>
  <c r="F22" i="51"/>
  <c r="F20" i="51"/>
  <c r="F18" i="51"/>
  <c r="F26" i="48"/>
  <c r="F24" i="48"/>
  <c r="F18" i="48"/>
  <c r="F20" i="48"/>
  <c r="F22" i="48"/>
  <c r="T22" i="51"/>
  <c r="T20" i="51"/>
  <c r="T18" i="51"/>
  <c r="T26" i="48"/>
  <c r="T24" i="48"/>
  <c r="T20" i="48"/>
  <c r="T18" i="48"/>
  <c r="T22" i="48"/>
  <c r="Z22" i="51"/>
  <c r="Z20" i="51"/>
  <c r="Z18" i="51"/>
  <c r="Z26" i="48"/>
  <c r="Z22" i="48"/>
  <c r="Z24" i="48"/>
  <c r="Z18" i="48"/>
  <c r="Z20" i="48"/>
  <c r="AF22" i="51"/>
  <c r="AF20" i="51"/>
  <c r="AF18" i="51"/>
  <c r="AF26" i="48"/>
  <c r="AF24" i="48"/>
  <c r="AF22" i="48"/>
  <c r="AF18" i="48"/>
  <c r="AF20" i="48"/>
  <c r="O22" i="51"/>
  <c r="O20" i="51"/>
  <c r="O18" i="51"/>
  <c r="O26" i="48"/>
  <c r="O22" i="48"/>
  <c r="O24" i="48"/>
  <c r="O18" i="48"/>
  <c r="O20" i="48"/>
  <c r="AC22" i="51"/>
  <c r="AC20" i="51"/>
  <c r="AC18" i="51"/>
  <c r="AC26" i="48"/>
  <c r="AC24" i="48"/>
  <c r="AC20" i="48"/>
  <c r="AC22" i="48"/>
  <c r="AC18" i="48"/>
  <c r="AI22" i="51"/>
  <c r="AI20" i="51"/>
  <c r="AI18" i="51"/>
  <c r="AI26" i="48"/>
  <c r="AI24" i="48"/>
  <c r="AI20" i="48"/>
  <c r="AI22" i="48"/>
  <c r="AI18" i="48"/>
  <c r="AN22" i="51"/>
  <c r="AN20" i="51"/>
  <c r="AN18" i="51"/>
  <c r="AN26" i="48"/>
  <c r="AN24" i="48"/>
  <c r="AN18" i="48"/>
  <c r="AN20" i="48"/>
  <c r="AN22" i="48"/>
  <c r="R22" i="51"/>
  <c r="R20" i="51"/>
  <c r="R18" i="51"/>
  <c r="R26" i="48"/>
  <c r="R22" i="48"/>
  <c r="R24" i="48"/>
  <c r="R18" i="48"/>
  <c r="R20" i="48"/>
  <c r="X22" i="51"/>
  <c r="X20" i="51"/>
  <c r="X18" i="51"/>
  <c r="X26" i="48"/>
  <c r="X24" i="48"/>
  <c r="X22" i="48"/>
  <c r="X18" i="48"/>
  <c r="X20" i="48"/>
  <c r="G12" i="48"/>
  <c r="G22" i="51"/>
  <c r="G20" i="51"/>
  <c r="G18" i="51"/>
  <c r="G26" i="48"/>
  <c r="G22" i="48"/>
  <c r="G24" i="48"/>
  <c r="G18" i="48"/>
  <c r="G20" i="48"/>
  <c r="U22" i="51"/>
  <c r="U20" i="51"/>
  <c r="U18" i="51"/>
  <c r="U26" i="48"/>
  <c r="U24" i="48"/>
  <c r="U22" i="48"/>
  <c r="U20" i="48"/>
  <c r="U18" i="48"/>
  <c r="AA22" i="51"/>
  <c r="AA20" i="51"/>
  <c r="AA18" i="51"/>
  <c r="AA26" i="48"/>
  <c r="AA24" i="48"/>
  <c r="AA20" i="48"/>
  <c r="AA22" i="48"/>
  <c r="AA18" i="48"/>
  <c r="AH22" i="51"/>
  <c r="AH20" i="51"/>
  <c r="AH18" i="51"/>
  <c r="AH26" i="48"/>
  <c r="AH22" i="48"/>
  <c r="AH24" i="48"/>
  <c r="AH18" i="48"/>
  <c r="AH20" i="48"/>
  <c r="S5" i="23"/>
  <c r="AI5" i="23"/>
  <c r="U5" i="23"/>
  <c r="AC5" i="23"/>
  <c r="O5" i="23"/>
  <c r="AE5" i="23"/>
  <c r="AN5" i="23"/>
  <c r="I5" i="23"/>
  <c r="J5" i="23"/>
  <c r="R5" i="23"/>
  <c r="AH5" i="23"/>
  <c r="J22" i="51"/>
  <c r="J20" i="51"/>
  <c r="J18" i="51"/>
  <c r="J26" i="48"/>
  <c r="J22" i="48"/>
  <c r="J24" i="48"/>
  <c r="J18" i="48"/>
  <c r="J20" i="48"/>
  <c r="P22" i="51"/>
  <c r="P20" i="51"/>
  <c r="P18" i="51"/>
  <c r="P24" i="48"/>
  <c r="P26" i="48"/>
  <c r="P18" i="48"/>
  <c r="P22" i="48"/>
  <c r="P20" i="48"/>
  <c r="AL22" i="51"/>
  <c r="AL20" i="51"/>
  <c r="AL18" i="51"/>
  <c r="AL26" i="48"/>
  <c r="AL24" i="48"/>
  <c r="AL18" i="48"/>
  <c r="AL20" i="48"/>
  <c r="AL22" i="48"/>
  <c r="M22" i="51"/>
  <c r="M20" i="51"/>
  <c r="M18" i="51"/>
  <c r="M26" i="48"/>
  <c r="M24" i="48"/>
  <c r="M22" i="48"/>
  <c r="M20" i="48"/>
  <c r="M18" i="48"/>
  <c r="S22" i="51"/>
  <c r="S20" i="51"/>
  <c r="S18" i="51"/>
  <c r="S26" i="48"/>
  <c r="S24" i="48"/>
  <c r="S20" i="48"/>
  <c r="S18" i="48"/>
  <c r="S22" i="48"/>
  <c r="AG20" i="51"/>
  <c r="AG22" i="51"/>
  <c r="AG18" i="51"/>
  <c r="AG26" i="48"/>
  <c r="AG24" i="48"/>
  <c r="AG22" i="48"/>
  <c r="AG18" i="48"/>
  <c r="AG20" i="48"/>
  <c r="AG5" i="23"/>
  <c r="H22" i="51"/>
  <c r="H20" i="51"/>
  <c r="H18" i="51"/>
  <c r="H24" i="48"/>
  <c r="H26" i="48"/>
  <c r="H18" i="48"/>
  <c r="H20" i="48"/>
  <c r="H22" i="48"/>
  <c r="H5" i="23"/>
  <c r="AD22" i="51"/>
  <c r="AD20" i="51"/>
  <c r="AD18" i="51"/>
  <c r="AD26" i="48"/>
  <c r="AD24" i="48"/>
  <c r="AD18" i="48"/>
  <c r="AD20" i="48"/>
  <c r="AD22" i="48"/>
  <c r="E12" i="48"/>
  <c r="E22" i="51"/>
  <c r="E20" i="51"/>
  <c r="E18" i="51"/>
  <c r="E26" i="48"/>
  <c r="E24" i="48"/>
  <c r="E20" i="48"/>
  <c r="E22" i="48"/>
  <c r="E18" i="48"/>
  <c r="K22" i="51"/>
  <c r="K20" i="51"/>
  <c r="K18" i="51"/>
  <c r="K26" i="48"/>
  <c r="K24" i="48"/>
  <c r="K22" i="48"/>
  <c r="K20" i="48"/>
  <c r="K18" i="48"/>
  <c r="K5" i="23"/>
  <c r="W22" i="51"/>
  <c r="W20" i="51"/>
  <c r="W18" i="51"/>
  <c r="W26" i="48"/>
  <c r="W22" i="48"/>
  <c r="W24" i="48"/>
  <c r="W18" i="48"/>
  <c r="W20" i="48"/>
  <c r="W5" i="23"/>
  <c r="Y22" i="51"/>
  <c r="Y20" i="51"/>
  <c r="Y18" i="51"/>
  <c r="Y26" i="48"/>
  <c r="Y24" i="48"/>
  <c r="Y22" i="48"/>
  <c r="Y18" i="48"/>
  <c r="Y20" i="48"/>
  <c r="Y5" i="23"/>
  <c r="D18" i="48"/>
  <c r="D22" i="51"/>
  <c r="D20" i="51"/>
  <c r="D18" i="51"/>
  <c r="D26" i="48"/>
  <c r="D22" i="48"/>
  <c r="D24" i="48"/>
  <c r="D20" i="48"/>
  <c r="C6" i="48"/>
  <c r="D12" i="48"/>
  <c r="V22" i="51"/>
  <c r="V20" i="51"/>
  <c r="V18" i="51"/>
  <c r="V26" i="48"/>
  <c r="V24" i="48"/>
  <c r="V18" i="48"/>
  <c r="V22" i="48"/>
  <c r="V20" i="48"/>
  <c r="V5" i="23"/>
  <c r="AJ22" i="51"/>
  <c r="AJ20" i="51"/>
  <c r="AJ18" i="51"/>
  <c r="AJ26" i="48"/>
  <c r="AJ24" i="48"/>
  <c r="AJ20" i="48"/>
  <c r="AJ22" i="48"/>
  <c r="AJ18" i="48"/>
  <c r="AJ5" i="23"/>
  <c r="AK22" i="51"/>
  <c r="AK20" i="51"/>
  <c r="AK18" i="51"/>
  <c r="AK26" i="48"/>
  <c r="AK24" i="48"/>
  <c r="AK20" i="48"/>
  <c r="AK22" i="48"/>
  <c r="AK18" i="48"/>
  <c r="AK5" i="23"/>
  <c r="Q22" i="51"/>
  <c r="Q20" i="51"/>
  <c r="Q18" i="51"/>
  <c r="Q26" i="48"/>
  <c r="Q24" i="48"/>
  <c r="Q18" i="48"/>
  <c r="Q22" i="48"/>
  <c r="Q20" i="48"/>
  <c r="Q5" i="23"/>
  <c r="AM22" i="51"/>
  <c r="AM20" i="51"/>
  <c r="AM18" i="51"/>
  <c r="AM26" i="48"/>
  <c r="AM22" i="48"/>
  <c r="AM24" i="48"/>
  <c r="AM18" i="48"/>
  <c r="AM20" i="48"/>
  <c r="AM5" i="23"/>
  <c r="N22" i="51"/>
  <c r="N20" i="51"/>
  <c r="N18" i="51"/>
  <c r="N26" i="48"/>
  <c r="N24" i="48"/>
  <c r="N18" i="48"/>
  <c r="N22" i="48"/>
  <c r="N20" i="48"/>
  <c r="N5" i="23"/>
  <c r="AB22" i="51"/>
  <c r="AB20" i="51"/>
  <c r="AB18" i="51"/>
  <c r="AB26" i="48"/>
  <c r="AB24" i="48"/>
  <c r="AB20" i="48"/>
  <c r="AB22" i="48"/>
  <c r="AB18" i="48"/>
  <c r="AB5" i="23"/>
  <c r="C22" i="48" l="1"/>
  <c r="C20" i="48"/>
  <c r="F32" i="51"/>
  <c r="F28" i="51"/>
  <c r="F30" i="51"/>
  <c r="F42" i="48"/>
  <c r="F36" i="48"/>
  <c r="F39" i="48"/>
  <c r="F34" i="48"/>
  <c r="F32" i="48"/>
  <c r="C26" i="48"/>
  <c r="G5" i="23"/>
  <c r="C18" i="51"/>
  <c r="G32" i="51"/>
  <c r="G30" i="51"/>
  <c r="G28" i="51"/>
  <c r="G42" i="48"/>
  <c r="G39" i="48"/>
  <c r="G36" i="48"/>
  <c r="G34" i="48"/>
  <c r="G32" i="48"/>
  <c r="M37" i="48"/>
  <c r="M46" i="18" s="1"/>
  <c r="C12" i="48"/>
  <c r="D32" i="51"/>
  <c r="D30" i="51"/>
  <c r="D28" i="51"/>
  <c r="D42" i="48"/>
  <c r="D36" i="48"/>
  <c r="D39" i="48"/>
  <c r="D34" i="48"/>
  <c r="D32" i="48"/>
  <c r="C20" i="51"/>
  <c r="E5" i="23"/>
  <c r="M5" i="23"/>
  <c r="X5" i="23"/>
  <c r="AF5" i="23"/>
  <c r="U40" i="48"/>
  <c r="U47" i="18" s="1"/>
  <c r="U37" i="48"/>
  <c r="U46" i="18" s="1"/>
  <c r="C22" i="51"/>
  <c r="E32" i="51"/>
  <c r="E30" i="51"/>
  <c r="E28" i="51"/>
  <c r="E42" i="48"/>
  <c r="E39" i="48"/>
  <c r="E34" i="48"/>
  <c r="E36" i="48"/>
  <c r="E32" i="48"/>
  <c r="AL5" i="23"/>
  <c r="AI40" i="48"/>
  <c r="AI47" i="18" s="1"/>
  <c r="AI37" i="48"/>
  <c r="AI46" i="18" s="1"/>
  <c r="Z5" i="23"/>
  <c r="T5" i="23"/>
  <c r="C24" i="48"/>
  <c r="AA5" i="23"/>
  <c r="O37" i="48"/>
  <c r="O46" i="18" s="1"/>
  <c r="O40" i="48"/>
  <c r="O47" i="18" s="1"/>
  <c r="D5" i="23"/>
  <c r="C18" i="48"/>
  <c r="AD5" i="23"/>
  <c r="P5" i="23"/>
  <c r="AA40" i="48"/>
  <c r="AA47" i="18" s="1"/>
  <c r="Y40" i="48"/>
  <c r="Y47" i="18" s="1"/>
  <c r="Y37" i="48"/>
  <c r="Y46" i="18" s="1"/>
  <c r="AM37" i="48"/>
  <c r="AM46" i="18" s="1"/>
  <c r="AM40" i="48"/>
  <c r="AM47" i="18" s="1"/>
  <c r="AK40" i="48"/>
  <c r="AK47" i="18" s="1"/>
  <c r="AK37" i="48"/>
  <c r="AK46" i="18" s="1"/>
  <c r="F5" i="23"/>
  <c r="L5" i="23"/>
  <c r="AC40" i="48" l="1"/>
  <c r="AC47" i="18" s="1"/>
  <c r="AA37" i="48"/>
  <c r="AA46" i="18" s="1"/>
  <c r="AF37" i="48"/>
  <c r="AF46" i="18" s="1"/>
  <c r="M40" i="48"/>
  <c r="M47" i="18" s="1"/>
  <c r="W40" i="48"/>
  <c r="W47" i="18" s="1"/>
  <c r="AJ40" i="48"/>
  <c r="AJ47" i="18" s="1"/>
  <c r="AL40" i="48"/>
  <c r="AL47" i="18" s="1"/>
  <c r="P40" i="48"/>
  <c r="P47" i="18" s="1"/>
  <c r="AB37" i="48"/>
  <c r="AB46" i="18" s="1"/>
  <c r="AN37" i="48"/>
  <c r="AN46" i="18" s="1"/>
  <c r="T37" i="48"/>
  <c r="T46" i="18" s="1"/>
  <c r="AB40" i="48"/>
  <c r="AB47" i="18" s="1"/>
  <c r="AD40" i="48"/>
  <c r="AD47" i="18" s="1"/>
  <c r="AH40" i="48"/>
  <c r="AH47" i="18" s="1"/>
  <c r="L37" i="48"/>
  <c r="L46" i="18" s="1"/>
  <c r="AJ37" i="48"/>
  <c r="AJ46" i="18" s="1"/>
  <c r="AG40" i="48"/>
  <c r="AG47" i="18" s="1"/>
  <c r="F37" i="48"/>
  <c r="F46" i="18" s="1"/>
  <c r="F40" i="48"/>
  <c r="F47" i="18" s="1"/>
  <c r="C28" i="51"/>
  <c r="D40" i="48"/>
  <c r="D37" i="48"/>
  <c r="K40" i="48"/>
  <c r="K47" i="18" s="1"/>
  <c r="C32" i="48"/>
  <c r="AH37" i="48"/>
  <c r="AH46" i="18" s="1"/>
  <c r="C32" i="51"/>
  <c r="T40" i="48"/>
  <c r="T47" i="18" s="1"/>
  <c r="V40" i="48"/>
  <c r="V47" i="18" s="1"/>
  <c r="AL37" i="48"/>
  <c r="AL46" i="18" s="1"/>
  <c r="AN40" i="48"/>
  <c r="AN47" i="18" s="1"/>
  <c r="AC37" i="48"/>
  <c r="AC46" i="18" s="1"/>
  <c r="C30" i="51"/>
  <c r="W37" i="48"/>
  <c r="W46" i="18" s="1"/>
  <c r="L40" i="48"/>
  <c r="L47" i="18" s="1"/>
  <c r="N40" i="48"/>
  <c r="N47" i="18" s="1"/>
  <c r="C34" i="48"/>
  <c r="AD37" i="48"/>
  <c r="AD46" i="18" s="1"/>
  <c r="X37" i="48"/>
  <c r="X46" i="18" s="1"/>
  <c r="AF40" i="48"/>
  <c r="AF47" i="18" s="1"/>
  <c r="Z37" i="48"/>
  <c r="Z46" i="18" s="1"/>
  <c r="AE40" i="48"/>
  <c r="AE47" i="18" s="1"/>
  <c r="I37" i="48"/>
  <c r="I46" i="18" s="1"/>
  <c r="V37" i="48"/>
  <c r="V46" i="18" s="1"/>
  <c r="P37" i="48"/>
  <c r="P46" i="18" s="1"/>
  <c r="C39" i="48"/>
  <c r="X40" i="48"/>
  <c r="X47" i="18" s="1"/>
  <c r="R37" i="48"/>
  <c r="R46" i="18" s="1"/>
  <c r="Z40" i="48"/>
  <c r="Z47" i="18" s="1"/>
  <c r="AE37" i="48"/>
  <c r="AE46" i="18" s="1"/>
  <c r="Q37" i="48"/>
  <c r="Q46" i="18" s="1"/>
  <c r="I40" i="48"/>
  <c r="I47" i="18" s="1"/>
  <c r="N37" i="48"/>
  <c r="N46" i="18" s="1"/>
  <c r="H37" i="48"/>
  <c r="H46" i="18" s="1"/>
  <c r="J37" i="48"/>
  <c r="J46" i="18" s="1"/>
  <c r="C36" i="48"/>
  <c r="R40" i="48"/>
  <c r="R47" i="18" s="1"/>
  <c r="Q40" i="48"/>
  <c r="Q47" i="18" s="1"/>
  <c r="S37" i="48"/>
  <c r="S46" i="18" s="1"/>
  <c r="H40" i="48"/>
  <c r="H47" i="18" s="1"/>
  <c r="AG37" i="48"/>
  <c r="AG46" i="18" s="1"/>
  <c r="J40" i="48"/>
  <c r="J47" i="18" s="1"/>
  <c r="C42" i="48"/>
  <c r="E40" i="48"/>
  <c r="E47" i="18" s="1"/>
  <c r="E37" i="48"/>
  <c r="E46" i="18" s="1"/>
  <c r="K37" i="48"/>
  <c r="K46" i="18" s="1"/>
  <c r="S40" i="48"/>
  <c r="S47" i="18" s="1"/>
  <c r="G37" i="48"/>
  <c r="G46" i="18" s="1"/>
  <c r="G40" i="48"/>
  <c r="G47" i="18" s="1"/>
  <c r="AN61" i="43"/>
  <c r="AN68" i="43" s="1"/>
  <c r="AM61" i="43"/>
  <c r="AM68" i="43" s="1"/>
  <c r="AL61" i="43"/>
  <c r="AL68" i="43" s="1"/>
  <c r="AK61" i="43"/>
  <c r="AK68" i="43" s="1"/>
  <c r="AJ61" i="43"/>
  <c r="AJ68" i="43" s="1"/>
  <c r="AI61" i="43"/>
  <c r="AI68" i="43" s="1"/>
  <c r="AH61" i="43"/>
  <c r="AH68" i="43" s="1"/>
  <c r="AG61" i="43"/>
  <c r="AG68" i="43" s="1"/>
  <c r="AF61" i="43"/>
  <c r="AF68" i="43" s="1"/>
  <c r="AE61" i="43"/>
  <c r="AE68" i="43" s="1"/>
  <c r="AD61" i="43"/>
  <c r="AD68" i="43" s="1"/>
  <c r="AC61" i="43"/>
  <c r="AC68" i="43" s="1"/>
  <c r="AB61" i="43"/>
  <c r="AB68" i="43" s="1"/>
  <c r="AA61" i="43"/>
  <c r="AA68" i="43" s="1"/>
  <c r="Z61" i="43"/>
  <c r="Z68" i="43" s="1"/>
  <c r="Y61" i="43"/>
  <c r="Y68" i="43" s="1"/>
  <c r="X61" i="43"/>
  <c r="X68" i="43" s="1"/>
  <c r="W61" i="43"/>
  <c r="W68" i="43" s="1"/>
  <c r="V61" i="43"/>
  <c r="V68" i="43" s="1"/>
  <c r="U61" i="43"/>
  <c r="U68" i="43" s="1"/>
  <c r="T61" i="43"/>
  <c r="T68" i="43" s="1"/>
  <c r="S61" i="43"/>
  <c r="S68" i="43" s="1"/>
  <c r="R61" i="43"/>
  <c r="R68" i="43" s="1"/>
  <c r="Q61" i="43"/>
  <c r="Q68" i="43" s="1"/>
  <c r="P61" i="43"/>
  <c r="P68" i="43" s="1"/>
  <c r="O61" i="43"/>
  <c r="O68" i="43" s="1"/>
  <c r="N61" i="43"/>
  <c r="N68" i="43" s="1"/>
  <c r="M61" i="43"/>
  <c r="M68" i="43" s="1"/>
  <c r="L61" i="43"/>
  <c r="L68" i="43" s="1"/>
  <c r="K61" i="43"/>
  <c r="K68" i="43" s="1"/>
  <c r="J61" i="43"/>
  <c r="J68" i="43" s="1"/>
  <c r="I61" i="43"/>
  <c r="I68" i="43" s="1"/>
  <c r="H61" i="43"/>
  <c r="H68" i="43" s="1"/>
  <c r="G61" i="43"/>
  <c r="G68" i="43" s="1"/>
  <c r="F61" i="43"/>
  <c r="F68" i="43" s="1"/>
  <c r="E61" i="43"/>
  <c r="E68" i="43" s="1"/>
  <c r="D61" i="43"/>
  <c r="D68" i="43" s="1"/>
  <c r="AL57" i="43"/>
  <c r="AD57" i="43"/>
  <c r="G57" i="43"/>
  <c r="D57" i="43"/>
  <c r="C52" i="43"/>
  <c r="C51" i="43"/>
  <c r="C50" i="43"/>
  <c r="C49" i="43"/>
  <c r="AN48" i="43"/>
  <c r="AD48" i="43"/>
  <c r="V48" i="43"/>
  <c r="D48" i="43"/>
  <c r="C43" i="43"/>
  <c r="AA39" i="43"/>
  <c r="R39" i="43"/>
  <c r="K39" i="43"/>
  <c r="J39" i="43"/>
  <c r="D39" i="43"/>
  <c r="AN26" i="43"/>
  <c r="AN33" i="43" s="1"/>
  <c r="AM26" i="43"/>
  <c r="AM33" i="43" s="1"/>
  <c r="AL26" i="43"/>
  <c r="AL33" i="43" s="1"/>
  <c r="AK26" i="43"/>
  <c r="AK33" i="43" s="1"/>
  <c r="AJ26" i="43"/>
  <c r="AJ33" i="43" s="1"/>
  <c r="AI26" i="43"/>
  <c r="AI33" i="43" s="1"/>
  <c r="AH26" i="43"/>
  <c r="AH33" i="43" s="1"/>
  <c r="AG26" i="43"/>
  <c r="AG33" i="43" s="1"/>
  <c r="AF26" i="43"/>
  <c r="AF33" i="43" s="1"/>
  <c r="AE26" i="43"/>
  <c r="AE33" i="43" s="1"/>
  <c r="AD26" i="43"/>
  <c r="AD33" i="43" s="1"/>
  <c r="AC26" i="43"/>
  <c r="AC33" i="43" s="1"/>
  <c r="AB26" i="43"/>
  <c r="AB33" i="43" s="1"/>
  <c r="AA26" i="43"/>
  <c r="AA33" i="43" s="1"/>
  <c r="Z26" i="43"/>
  <c r="Z33" i="43" s="1"/>
  <c r="Y26" i="43"/>
  <c r="Y33" i="43" s="1"/>
  <c r="X26" i="43"/>
  <c r="X33" i="43" s="1"/>
  <c r="W26" i="43"/>
  <c r="W33" i="43" s="1"/>
  <c r="V26" i="43"/>
  <c r="V33" i="43" s="1"/>
  <c r="U26" i="43"/>
  <c r="U33" i="43" s="1"/>
  <c r="T26" i="43"/>
  <c r="T33" i="43" s="1"/>
  <c r="S26" i="43"/>
  <c r="S33" i="43" s="1"/>
  <c r="R26" i="43"/>
  <c r="R33" i="43" s="1"/>
  <c r="Q26" i="43"/>
  <c r="Q33" i="43" s="1"/>
  <c r="P26" i="43"/>
  <c r="P33" i="43" s="1"/>
  <c r="O26" i="43"/>
  <c r="O33" i="43" s="1"/>
  <c r="N26" i="43"/>
  <c r="N33" i="43" s="1"/>
  <c r="M26" i="43"/>
  <c r="M33" i="43" s="1"/>
  <c r="L26" i="43"/>
  <c r="L33" i="43" s="1"/>
  <c r="K26" i="43"/>
  <c r="K33" i="43" s="1"/>
  <c r="J26" i="43"/>
  <c r="J33" i="43" s="1"/>
  <c r="I26" i="43"/>
  <c r="I33" i="43" s="1"/>
  <c r="H26" i="43"/>
  <c r="H33" i="43" s="1"/>
  <c r="G26" i="43"/>
  <c r="G33" i="43" s="1"/>
  <c r="F26" i="43"/>
  <c r="F33" i="43" s="1"/>
  <c r="E26" i="43"/>
  <c r="E33" i="43" s="1"/>
  <c r="D26" i="43"/>
  <c r="D33" i="43" s="1"/>
  <c r="AM22" i="43"/>
  <c r="AK22" i="43"/>
  <c r="AJ22" i="43"/>
  <c r="AI22" i="43"/>
  <c r="AH22" i="43"/>
  <c r="AE22" i="43"/>
  <c r="AC22" i="43"/>
  <c r="AB22" i="43"/>
  <c r="AA22" i="43"/>
  <c r="Z22" i="43"/>
  <c r="W22" i="43"/>
  <c r="U22" i="43"/>
  <c r="T22" i="43"/>
  <c r="S22" i="43"/>
  <c r="R22" i="43"/>
  <c r="O22" i="43"/>
  <c r="M22" i="43"/>
  <c r="L22" i="43"/>
  <c r="K22" i="43"/>
  <c r="J22" i="43"/>
  <c r="G22" i="43"/>
  <c r="E22" i="43"/>
  <c r="D22" i="43"/>
  <c r="C17" i="43"/>
  <c r="C16" i="43"/>
  <c r="C15" i="43"/>
  <c r="C14" i="43"/>
  <c r="AN13" i="43"/>
  <c r="AL13" i="43"/>
  <c r="AK13" i="43"/>
  <c r="AI13" i="43"/>
  <c r="AF13" i="43"/>
  <c r="AD13" i="43"/>
  <c r="AC13" i="43"/>
  <c r="AA13" i="43"/>
  <c r="X13" i="43"/>
  <c r="V13" i="43"/>
  <c r="U13" i="43"/>
  <c r="S13" i="43"/>
  <c r="P13" i="43"/>
  <c r="N13" i="43"/>
  <c r="M13" i="43"/>
  <c r="K13" i="43"/>
  <c r="H13" i="43"/>
  <c r="F13" i="43"/>
  <c r="E13" i="43"/>
  <c r="D13" i="43"/>
  <c r="C8" i="43"/>
  <c r="AN4" i="43"/>
  <c r="AN22" i="43" s="1"/>
  <c r="AM4" i="43"/>
  <c r="AM39" i="43" s="1"/>
  <c r="AL4" i="43"/>
  <c r="AL39" i="43" s="1"/>
  <c r="AK4" i="43"/>
  <c r="AK57" i="43" s="1"/>
  <c r="AJ4" i="43"/>
  <c r="AI4" i="43"/>
  <c r="AH4" i="43"/>
  <c r="AG4" i="43"/>
  <c r="AG22" i="43" s="1"/>
  <c r="AF4" i="43"/>
  <c r="AF48" i="43" s="1"/>
  <c r="AE4" i="43"/>
  <c r="AE39" i="43" s="1"/>
  <c r="AD4" i="43"/>
  <c r="AD39" i="43" s="1"/>
  <c r="AC4" i="43"/>
  <c r="AB4" i="43"/>
  <c r="AA4" i="43"/>
  <c r="Z4" i="43"/>
  <c r="Y4" i="43"/>
  <c r="X4" i="43"/>
  <c r="X22" i="43" s="1"/>
  <c r="W4" i="43"/>
  <c r="W39" i="43" s="1"/>
  <c r="V4" i="43"/>
  <c r="V39" i="43" s="1"/>
  <c r="U4" i="43"/>
  <c r="T4" i="43"/>
  <c r="S4" i="43"/>
  <c r="R4" i="43"/>
  <c r="Q4" i="43"/>
  <c r="Q22" i="43" s="1"/>
  <c r="P4" i="43"/>
  <c r="P22" i="43" s="1"/>
  <c r="O4" i="43"/>
  <c r="O39" i="43" s="1"/>
  <c r="N4" i="43"/>
  <c r="N39" i="43" s="1"/>
  <c r="M4" i="43"/>
  <c r="M57" i="43" s="1"/>
  <c r="L4" i="43"/>
  <c r="L39" i="43" s="1"/>
  <c r="K4" i="43"/>
  <c r="J4" i="43"/>
  <c r="I4" i="43"/>
  <c r="H4" i="43"/>
  <c r="H48" i="43" s="1"/>
  <c r="G4" i="43"/>
  <c r="G39" i="43" s="1"/>
  <c r="F4" i="43"/>
  <c r="F39" i="43" s="1"/>
  <c r="E4" i="43"/>
  <c r="D47" i="18" l="1"/>
  <c r="C40" i="48"/>
  <c r="C37" i="48"/>
  <c r="D46" i="18"/>
  <c r="Y39" i="43"/>
  <c r="Y57" i="43"/>
  <c r="Y48" i="43"/>
  <c r="J57" i="43"/>
  <c r="J48" i="43"/>
  <c r="Z57" i="43"/>
  <c r="Z48" i="43"/>
  <c r="AH57" i="43"/>
  <c r="AH48" i="43"/>
  <c r="AH39" i="43"/>
  <c r="W48" i="43"/>
  <c r="AE57" i="43"/>
  <c r="C61" i="43"/>
  <c r="I39" i="43"/>
  <c r="I57" i="43"/>
  <c r="I48" i="43"/>
  <c r="R57" i="43"/>
  <c r="R48" i="43"/>
  <c r="K57" i="43"/>
  <c r="K48" i="43"/>
  <c r="S57" i="43"/>
  <c r="S48" i="43"/>
  <c r="AA57" i="43"/>
  <c r="AA48" i="43"/>
  <c r="AI57" i="43"/>
  <c r="AI48" i="43"/>
  <c r="G13" i="43"/>
  <c r="O13" i="43"/>
  <c r="W13" i="43"/>
  <c r="AE13" i="43"/>
  <c r="AM13" i="43"/>
  <c r="F22" i="43"/>
  <c r="N22" i="43"/>
  <c r="V22" i="43"/>
  <c r="AD22" i="43"/>
  <c r="AL22" i="43"/>
  <c r="AI39" i="43"/>
  <c r="F48" i="43"/>
  <c r="X48" i="43"/>
  <c r="N57" i="43"/>
  <c r="L57" i="43"/>
  <c r="L48" i="43"/>
  <c r="AJ57" i="43"/>
  <c r="AJ48" i="43"/>
  <c r="AJ39" i="43"/>
  <c r="E48" i="43"/>
  <c r="E39" i="43"/>
  <c r="M48" i="43"/>
  <c r="M39" i="43"/>
  <c r="U48" i="43"/>
  <c r="U39" i="43"/>
  <c r="AC48" i="43"/>
  <c r="AC39" i="43"/>
  <c r="AK48" i="43"/>
  <c r="AK39" i="43"/>
  <c r="I13" i="43"/>
  <c r="Q13" i="43"/>
  <c r="Y13" i="43"/>
  <c r="AG13" i="43"/>
  <c r="H22" i="43"/>
  <c r="AF22" i="43"/>
  <c r="C26" i="43"/>
  <c r="S39" i="43"/>
  <c r="AE48" i="43"/>
  <c r="U57" i="43"/>
  <c r="AM57" i="43"/>
  <c r="T57" i="43"/>
  <c r="T48" i="43"/>
  <c r="C33" i="43"/>
  <c r="G48" i="43"/>
  <c r="O57" i="43"/>
  <c r="J13" i="43"/>
  <c r="R13" i="43"/>
  <c r="Z13" i="43"/>
  <c r="AH13" i="43"/>
  <c r="I22" i="43"/>
  <c r="Y22" i="43"/>
  <c r="T39" i="43"/>
  <c r="N48" i="43"/>
  <c r="V57" i="43"/>
  <c r="Z39" i="43"/>
  <c r="O48" i="43"/>
  <c r="AL48" i="43"/>
  <c r="E57" i="43"/>
  <c r="W57" i="43"/>
  <c r="AG39" i="43"/>
  <c r="AG57" i="43"/>
  <c r="AG48" i="43"/>
  <c r="AB57" i="43"/>
  <c r="AB48" i="43"/>
  <c r="H39" i="43"/>
  <c r="H57" i="43"/>
  <c r="P39" i="43"/>
  <c r="P57" i="43"/>
  <c r="X39" i="43"/>
  <c r="X57" i="43"/>
  <c r="AF39" i="43"/>
  <c r="AF57" i="43"/>
  <c r="AN39" i="43"/>
  <c r="AN57" i="43"/>
  <c r="L13" i="43"/>
  <c r="T13" i="43"/>
  <c r="AB13" i="43"/>
  <c r="AJ13" i="43"/>
  <c r="P48" i="43"/>
  <c r="AM48" i="43"/>
  <c r="F57" i="43"/>
  <c r="AC57" i="43"/>
  <c r="C68" i="43"/>
  <c r="Q39" i="43"/>
  <c r="Q57" i="43"/>
  <c r="Q48" i="43"/>
  <c r="AB39" i="43"/>
  <c r="AN63" i="42" l="1"/>
  <c r="AM63" i="42"/>
  <c r="AL63" i="42"/>
  <c r="AK63" i="42"/>
  <c r="AJ63" i="42"/>
  <c r="AI63" i="42"/>
  <c r="AH63" i="42"/>
  <c r="AG63" i="42"/>
  <c r="AF63" i="42"/>
  <c r="AE63" i="42"/>
  <c r="AD63" i="42"/>
  <c r="AC63" i="42"/>
  <c r="AB63" i="42"/>
  <c r="AA63" i="42"/>
  <c r="Z63" i="42"/>
  <c r="Y63" i="42"/>
  <c r="X63" i="42"/>
  <c r="W63" i="42"/>
  <c r="V63" i="42"/>
  <c r="U63" i="42"/>
  <c r="T63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R59" i="42"/>
  <c r="J59" i="42"/>
  <c r="D59" i="42"/>
  <c r="C54" i="42"/>
  <c r="C53" i="42"/>
  <c r="C52" i="42"/>
  <c r="C51" i="42"/>
  <c r="AI50" i="42"/>
  <c r="AA50" i="42"/>
  <c r="S50" i="42"/>
  <c r="K50" i="42"/>
  <c r="D50" i="42"/>
  <c r="C45" i="42"/>
  <c r="AK41" i="42"/>
  <c r="AI41" i="42"/>
  <c r="AA41" i="42"/>
  <c r="U41" i="42"/>
  <c r="S41" i="42"/>
  <c r="K41" i="42"/>
  <c r="E41" i="42"/>
  <c r="D41" i="42"/>
  <c r="AN26" i="42"/>
  <c r="AM26" i="42"/>
  <c r="AL26" i="42"/>
  <c r="AK26" i="42"/>
  <c r="AJ26" i="42"/>
  <c r="AI26" i="42"/>
  <c r="AH26" i="42"/>
  <c r="AG26" i="42"/>
  <c r="AF26" i="42"/>
  <c r="AF87" i="42" s="1"/>
  <c r="AE26" i="42"/>
  <c r="AE87" i="42" s="1"/>
  <c r="AD26" i="42"/>
  <c r="AD87" i="42" s="1"/>
  <c r="AC26" i="42"/>
  <c r="AC87" i="42" s="1"/>
  <c r="AB26" i="42"/>
  <c r="AB87" i="42" s="1"/>
  <c r="AA26" i="42"/>
  <c r="AA87" i="42" s="1"/>
  <c r="Z26" i="42"/>
  <c r="Y26" i="42"/>
  <c r="Y87" i="42" s="1"/>
  <c r="X26" i="42"/>
  <c r="X87" i="42" s="1"/>
  <c r="W26" i="42"/>
  <c r="W87" i="42" s="1"/>
  <c r="V26" i="42"/>
  <c r="V87" i="42" s="1"/>
  <c r="U26" i="42"/>
  <c r="U87" i="42" s="1"/>
  <c r="T26" i="42"/>
  <c r="T87" i="42" s="1"/>
  <c r="S26" i="42"/>
  <c r="S87" i="42" s="1"/>
  <c r="R26" i="42"/>
  <c r="Q26" i="42"/>
  <c r="Q87" i="42" s="1"/>
  <c r="P26" i="42"/>
  <c r="P87" i="42" s="1"/>
  <c r="O26" i="42"/>
  <c r="O87" i="42" s="1"/>
  <c r="N26" i="42"/>
  <c r="N87" i="42" s="1"/>
  <c r="M26" i="42"/>
  <c r="M87" i="42" s="1"/>
  <c r="L26" i="42"/>
  <c r="L87" i="42" s="1"/>
  <c r="K26" i="42"/>
  <c r="K87" i="42" s="1"/>
  <c r="J26" i="42"/>
  <c r="I26" i="42"/>
  <c r="I87" i="42" s="1"/>
  <c r="H26" i="42"/>
  <c r="H87" i="42" s="1"/>
  <c r="G26" i="42"/>
  <c r="G87" i="42" s="1"/>
  <c r="F26" i="42"/>
  <c r="F87" i="42" s="1"/>
  <c r="E26" i="42"/>
  <c r="E87" i="42" s="1"/>
  <c r="D26" i="42"/>
  <c r="AH22" i="42"/>
  <c r="AE22" i="42"/>
  <c r="Z22" i="42"/>
  <c r="W22" i="42"/>
  <c r="J22" i="42"/>
  <c r="I22" i="42"/>
  <c r="D22" i="42"/>
  <c r="C17" i="42"/>
  <c r="AE13" i="42"/>
  <c r="Z13" i="42"/>
  <c r="Y13" i="42"/>
  <c r="R13" i="42"/>
  <c r="O13" i="42"/>
  <c r="J13" i="42"/>
  <c r="I13" i="42"/>
  <c r="D13" i="42"/>
  <c r="C8" i="42"/>
  <c r="AN4" i="42"/>
  <c r="AN22" i="42" s="1"/>
  <c r="AM4" i="42"/>
  <c r="AL4" i="42"/>
  <c r="AL59" i="42" s="1"/>
  <c r="AK4" i="42"/>
  <c r="AJ4" i="42"/>
  <c r="AJ13" i="42" s="1"/>
  <c r="AI4" i="42"/>
  <c r="AI59" i="42" s="1"/>
  <c r="AH4" i="42"/>
  <c r="AH50" i="42" s="1"/>
  <c r="AG4" i="42"/>
  <c r="AF4" i="42"/>
  <c r="AF22" i="42" s="1"/>
  <c r="AE4" i="42"/>
  <c r="AD4" i="42"/>
  <c r="AD59" i="42" s="1"/>
  <c r="AC4" i="42"/>
  <c r="AC41" i="42" s="1"/>
  <c r="AB4" i="42"/>
  <c r="AB22" i="42" s="1"/>
  <c r="AA4" i="42"/>
  <c r="AA59" i="42" s="1"/>
  <c r="Z4" i="42"/>
  <c r="Z50" i="42" s="1"/>
  <c r="Y4" i="42"/>
  <c r="X4" i="42"/>
  <c r="X41" i="42" s="1"/>
  <c r="W4" i="42"/>
  <c r="V4" i="42"/>
  <c r="V59" i="42" s="1"/>
  <c r="U4" i="42"/>
  <c r="T4" i="42"/>
  <c r="T13" i="42" s="1"/>
  <c r="S4" i="42"/>
  <c r="S59" i="42" s="1"/>
  <c r="R4" i="42"/>
  <c r="R50" i="42" s="1"/>
  <c r="Q4" i="42"/>
  <c r="Q22" i="42" s="1"/>
  <c r="P4" i="42"/>
  <c r="P13" i="42" s="1"/>
  <c r="O4" i="42"/>
  <c r="N4" i="42"/>
  <c r="N59" i="42" s="1"/>
  <c r="M4" i="42"/>
  <c r="M13" i="42" s="1"/>
  <c r="L4" i="42"/>
  <c r="K4" i="42"/>
  <c r="K59" i="42" s="1"/>
  <c r="J4" i="42"/>
  <c r="J50" i="42" s="1"/>
  <c r="I4" i="42"/>
  <c r="H4" i="42"/>
  <c r="H13" i="42" s="1"/>
  <c r="G4" i="42"/>
  <c r="F4" i="42"/>
  <c r="F59" i="42" s="1"/>
  <c r="E4" i="42"/>
  <c r="AG87" i="42" l="1"/>
  <c r="J87" i="42"/>
  <c r="R87" i="42"/>
  <c r="Z87" i="42"/>
  <c r="AJ87" i="42"/>
  <c r="AK87" i="42"/>
  <c r="AH87" i="42"/>
  <c r="AI87" i="42"/>
  <c r="AL87" i="42"/>
  <c r="AM87" i="42"/>
  <c r="AN87" i="42"/>
  <c r="C63" i="42"/>
  <c r="E59" i="42"/>
  <c r="E22" i="42"/>
  <c r="E50" i="42"/>
  <c r="U59" i="42"/>
  <c r="U22" i="42"/>
  <c r="U50" i="42"/>
  <c r="AK59" i="42"/>
  <c r="AK22" i="42"/>
  <c r="AK50" i="42"/>
  <c r="AN41" i="42"/>
  <c r="G59" i="42"/>
  <c r="G50" i="42"/>
  <c r="G41" i="42"/>
  <c r="O59" i="42"/>
  <c r="O50" i="42"/>
  <c r="O41" i="42"/>
  <c r="W59" i="42"/>
  <c r="W50" i="42"/>
  <c r="W41" i="42"/>
  <c r="AE59" i="42"/>
  <c r="AE50" i="42"/>
  <c r="AE41" i="42"/>
  <c r="AM59" i="42"/>
  <c r="AM50" i="42"/>
  <c r="AM41" i="42"/>
  <c r="AC13" i="42"/>
  <c r="AN13" i="42"/>
  <c r="O22" i="42"/>
  <c r="X59" i="42"/>
  <c r="X50" i="42"/>
  <c r="M41" i="42"/>
  <c r="L59" i="42"/>
  <c r="L50" i="42"/>
  <c r="L41" i="42"/>
  <c r="H59" i="42"/>
  <c r="H50" i="42"/>
  <c r="AN59" i="42"/>
  <c r="AN50" i="42"/>
  <c r="Y59" i="42"/>
  <c r="Y50" i="42"/>
  <c r="Y41" i="42"/>
  <c r="AB59" i="42"/>
  <c r="AB50" i="42"/>
  <c r="AB41" i="42"/>
  <c r="P59" i="42"/>
  <c r="P50" i="42"/>
  <c r="I59" i="42"/>
  <c r="I50" i="42"/>
  <c r="I41" i="42"/>
  <c r="AG59" i="42"/>
  <c r="AG50" i="42"/>
  <c r="AG41" i="42"/>
  <c r="U13" i="42"/>
  <c r="L13" i="42"/>
  <c r="W13" i="42"/>
  <c r="AG13" i="42"/>
  <c r="G22" i="42"/>
  <c r="R22" i="42"/>
  <c r="R41" i="42"/>
  <c r="AH41" i="42"/>
  <c r="Z59" i="42"/>
  <c r="T59" i="42"/>
  <c r="T50" i="42"/>
  <c r="T41" i="42"/>
  <c r="AF59" i="42"/>
  <c r="AF50" i="42"/>
  <c r="P22" i="42"/>
  <c r="D87" i="42"/>
  <c r="C26" i="42"/>
  <c r="Q59" i="42"/>
  <c r="Q50" i="42"/>
  <c r="Q41" i="42"/>
  <c r="AF13" i="42"/>
  <c r="P41" i="42"/>
  <c r="AF41" i="42"/>
  <c r="X13" i="42"/>
  <c r="AH13" i="42"/>
  <c r="H22" i="42"/>
  <c r="T22" i="42"/>
  <c r="AG22" i="42"/>
  <c r="AH59" i="42"/>
  <c r="AJ59" i="42"/>
  <c r="AJ50" i="42"/>
  <c r="AJ41" i="42"/>
  <c r="E13" i="42"/>
  <c r="AK13" i="42"/>
  <c r="X22" i="42"/>
  <c r="H41" i="42"/>
  <c r="M59" i="42"/>
  <c r="M22" i="42"/>
  <c r="M50" i="42"/>
  <c r="AC59" i="42"/>
  <c r="AC22" i="42"/>
  <c r="AC50" i="42"/>
  <c r="AJ22" i="42"/>
  <c r="G13" i="42"/>
  <c r="Q13" i="42"/>
  <c r="AB13" i="42"/>
  <c r="AM13" i="42"/>
  <c r="L22" i="42"/>
  <c r="Y22" i="42"/>
  <c r="AM22" i="42"/>
  <c r="J41" i="42"/>
  <c r="Z41" i="42"/>
  <c r="K13" i="42"/>
  <c r="S13" i="42"/>
  <c r="AA13" i="42"/>
  <c r="AI13" i="42"/>
  <c r="K22" i="42"/>
  <c r="S22" i="42"/>
  <c r="AA22" i="42"/>
  <c r="AI22" i="42"/>
  <c r="F41" i="42"/>
  <c r="N41" i="42"/>
  <c r="V41" i="42"/>
  <c r="AD41" i="42"/>
  <c r="AL41" i="42"/>
  <c r="F50" i="42"/>
  <c r="N50" i="42"/>
  <c r="V50" i="42"/>
  <c r="AD50" i="42"/>
  <c r="AL50" i="42"/>
  <c r="F13" i="42"/>
  <c r="N13" i="42"/>
  <c r="V13" i="42"/>
  <c r="AD13" i="42"/>
  <c r="AL13" i="42"/>
  <c r="F22" i="42"/>
  <c r="N22" i="42"/>
  <c r="V22" i="42"/>
  <c r="AD22" i="42"/>
  <c r="AL22" i="42"/>
  <c r="C87" i="42" l="1"/>
  <c r="C14" i="42"/>
  <c r="C15" i="42"/>
  <c r="C16" i="42"/>
  <c r="E24" i="42" l="1"/>
  <c r="E58" i="43"/>
  <c r="E65" i="43" s="1"/>
  <c r="E59" i="43"/>
  <c r="E66" i="43" s="1"/>
  <c r="E60" i="43"/>
  <c r="E67" i="43" s="1"/>
  <c r="F24" i="42"/>
  <c r="F58" i="43"/>
  <c r="F59" i="43"/>
  <c r="F66" i="43" s="1"/>
  <c r="F60" i="43"/>
  <c r="F67" i="43" s="1"/>
  <c r="G24" i="42"/>
  <c r="G58" i="43"/>
  <c r="G60" i="43"/>
  <c r="G67" i="43" s="1"/>
  <c r="G59" i="43"/>
  <c r="G66" i="43" s="1"/>
  <c r="D24" i="42"/>
  <c r="D60" i="43"/>
  <c r="D67" i="43" s="1"/>
  <c r="D59" i="43"/>
  <c r="D66" i="43" s="1"/>
  <c r="D58" i="43"/>
  <c r="D65" i="43" s="1"/>
  <c r="E69" i="43" l="1"/>
  <c r="F65" i="43"/>
  <c r="F69" i="43" s="1"/>
  <c r="G65" i="43"/>
  <c r="G69" i="43" s="1"/>
  <c r="G23" i="42"/>
  <c r="F25" i="42"/>
  <c r="G28" i="42"/>
  <c r="G34" i="42" s="1"/>
  <c r="G25" i="42"/>
  <c r="F28" i="42"/>
  <c r="F34" i="42" s="1"/>
  <c r="E25" i="42"/>
  <c r="F23" i="42"/>
  <c r="E28" i="42"/>
  <c r="E34" i="42" s="1"/>
  <c r="E23" i="42"/>
  <c r="D28" i="42"/>
  <c r="D34" i="42" s="1"/>
  <c r="D23" i="42"/>
  <c r="D25" i="42"/>
  <c r="D69" i="43"/>
  <c r="G29" i="42" l="1"/>
  <c r="G35" i="42" s="1"/>
  <c r="F27" i="42"/>
  <c r="F33" i="42" s="1"/>
  <c r="E29" i="42"/>
  <c r="E35" i="42" s="1"/>
  <c r="F29" i="42"/>
  <c r="F35" i="42" s="1"/>
  <c r="E27" i="42"/>
  <c r="E33" i="42" s="1"/>
  <c r="G27" i="42"/>
  <c r="G33" i="42" s="1"/>
  <c r="D27" i="42"/>
  <c r="D33" i="42" s="1"/>
  <c r="D29" i="42"/>
  <c r="D35" i="42" s="1"/>
  <c r="G36" i="42" l="1"/>
  <c r="F36" i="42"/>
  <c r="E36" i="42"/>
  <c r="D36" i="42"/>
  <c r="G37" i="44" l="1"/>
  <c r="G44" i="42" s="1"/>
  <c r="G62" i="42" s="1"/>
  <c r="O37" i="44"/>
  <c r="O44" i="42" s="1"/>
  <c r="W37" i="44"/>
  <c r="W44" i="42" s="1"/>
  <c r="AE37" i="44"/>
  <c r="AE44" i="42" s="1"/>
  <c r="AM37" i="44"/>
  <c r="AM44" i="42" s="1"/>
  <c r="G31" i="44"/>
  <c r="G43" i="42" s="1"/>
  <c r="G61" i="42" s="1"/>
  <c r="O31" i="44"/>
  <c r="O43" i="42" s="1"/>
  <c r="W31" i="44"/>
  <c r="W43" i="42" s="1"/>
  <c r="AE31" i="44"/>
  <c r="AE43" i="42" s="1"/>
  <c r="AM31" i="44"/>
  <c r="AM43" i="42" s="1"/>
  <c r="G25" i="44"/>
  <c r="G42" i="42" s="1"/>
  <c r="G60" i="42" s="1"/>
  <c r="O25" i="44"/>
  <c r="O42" i="42" s="1"/>
  <c r="W25" i="44"/>
  <c r="W42" i="42" s="1"/>
  <c r="AE25" i="44"/>
  <c r="AE42" i="42" s="1"/>
  <c r="AM25" i="44"/>
  <c r="AM42" i="42" s="1"/>
  <c r="E37" i="44"/>
  <c r="E44" i="42" s="1"/>
  <c r="E62" i="42" s="1"/>
  <c r="M31" i="44"/>
  <c r="M43" i="42" s="1"/>
  <c r="AK31" i="44"/>
  <c r="AK43" i="42" s="1"/>
  <c r="AK25" i="44"/>
  <c r="AK42" i="42" s="1"/>
  <c r="H37" i="44"/>
  <c r="H44" i="42" s="1"/>
  <c r="P37" i="44"/>
  <c r="P44" i="42" s="1"/>
  <c r="X37" i="44"/>
  <c r="X44" i="42" s="1"/>
  <c r="AF37" i="44"/>
  <c r="AF44" i="42" s="1"/>
  <c r="AN37" i="44"/>
  <c r="AN44" i="42" s="1"/>
  <c r="H31" i="44"/>
  <c r="H43" i="42" s="1"/>
  <c r="P31" i="44"/>
  <c r="P43" i="42" s="1"/>
  <c r="X31" i="44"/>
  <c r="X43" i="42" s="1"/>
  <c r="AF31" i="44"/>
  <c r="AF43" i="42" s="1"/>
  <c r="AN31" i="44"/>
  <c r="AN43" i="42" s="1"/>
  <c r="H25" i="44"/>
  <c r="H42" i="42" s="1"/>
  <c r="P25" i="44"/>
  <c r="P42" i="42" s="1"/>
  <c r="X25" i="44"/>
  <c r="X42" i="42" s="1"/>
  <c r="AF25" i="44"/>
  <c r="AF42" i="42" s="1"/>
  <c r="AN25" i="44"/>
  <c r="AN42" i="42" s="1"/>
  <c r="AK37" i="44"/>
  <c r="AK44" i="42" s="1"/>
  <c r="E25" i="44"/>
  <c r="E42" i="42" s="1"/>
  <c r="E60" i="42" s="1"/>
  <c r="AC25" i="44"/>
  <c r="AC42" i="42" s="1"/>
  <c r="I37" i="44"/>
  <c r="I44" i="42" s="1"/>
  <c r="Q37" i="44"/>
  <c r="Q44" i="42" s="1"/>
  <c r="Y37" i="44"/>
  <c r="Y44" i="42" s="1"/>
  <c r="AG37" i="44"/>
  <c r="AG44" i="42" s="1"/>
  <c r="AO37" i="44"/>
  <c r="AO44" i="42" s="1"/>
  <c r="AO62" i="42" s="1"/>
  <c r="I31" i="44"/>
  <c r="I43" i="42" s="1"/>
  <c r="Q31" i="44"/>
  <c r="Q43" i="42" s="1"/>
  <c r="Y31" i="44"/>
  <c r="Y43" i="42" s="1"/>
  <c r="AG31" i="44"/>
  <c r="AG43" i="42" s="1"/>
  <c r="AO31" i="44"/>
  <c r="AO43" i="42" s="1"/>
  <c r="AO61" i="42" s="1"/>
  <c r="I25" i="44"/>
  <c r="I42" i="42" s="1"/>
  <c r="Q25" i="44"/>
  <c r="Q42" i="42" s="1"/>
  <c r="Y25" i="44"/>
  <c r="Y42" i="42" s="1"/>
  <c r="AG25" i="44"/>
  <c r="AG42" i="42" s="1"/>
  <c r="AO25" i="44"/>
  <c r="AO42" i="42" s="1"/>
  <c r="AO60" i="42" s="1"/>
  <c r="AC37" i="44"/>
  <c r="AC44" i="42" s="1"/>
  <c r="J37" i="44"/>
  <c r="J44" i="42" s="1"/>
  <c r="R37" i="44"/>
  <c r="R44" i="42" s="1"/>
  <c r="Z37" i="44"/>
  <c r="Z44" i="42" s="1"/>
  <c r="AH37" i="44"/>
  <c r="AH44" i="42" s="1"/>
  <c r="AP37" i="44"/>
  <c r="AP44" i="42" s="1"/>
  <c r="AP62" i="42" s="1"/>
  <c r="J31" i="44"/>
  <c r="J43" i="42" s="1"/>
  <c r="R31" i="44"/>
  <c r="R43" i="42" s="1"/>
  <c r="Z31" i="44"/>
  <c r="Z43" i="42" s="1"/>
  <c r="AH31" i="44"/>
  <c r="AH43" i="42" s="1"/>
  <c r="AP31" i="44"/>
  <c r="AP43" i="42" s="1"/>
  <c r="AP61" i="42" s="1"/>
  <c r="J25" i="44"/>
  <c r="J42" i="42" s="1"/>
  <c r="R25" i="44"/>
  <c r="R42" i="42" s="1"/>
  <c r="Z25" i="44"/>
  <c r="Z42" i="42" s="1"/>
  <c r="AH25" i="44"/>
  <c r="AH42" i="42" s="1"/>
  <c r="AP25" i="44"/>
  <c r="AP42" i="42" s="1"/>
  <c r="AP60" i="42" s="1"/>
  <c r="K37" i="44"/>
  <c r="K44" i="42" s="1"/>
  <c r="S37" i="44"/>
  <c r="S44" i="42" s="1"/>
  <c r="AA37" i="44"/>
  <c r="AA44" i="42" s="1"/>
  <c r="AI37" i="44"/>
  <c r="AI44" i="42" s="1"/>
  <c r="AQ37" i="44"/>
  <c r="AQ44" i="42" s="1"/>
  <c r="AQ62" i="42" s="1"/>
  <c r="K31" i="44"/>
  <c r="K43" i="42" s="1"/>
  <c r="S31" i="44"/>
  <c r="S43" i="42" s="1"/>
  <c r="AA31" i="44"/>
  <c r="AA43" i="42" s="1"/>
  <c r="AI31" i="44"/>
  <c r="AI43" i="42" s="1"/>
  <c r="AQ31" i="44"/>
  <c r="AQ43" i="42" s="1"/>
  <c r="AQ61" i="42" s="1"/>
  <c r="K25" i="44"/>
  <c r="K42" i="42" s="1"/>
  <c r="S25" i="44"/>
  <c r="S42" i="42" s="1"/>
  <c r="AA25" i="44"/>
  <c r="AA42" i="42" s="1"/>
  <c r="AI25" i="44"/>
  <c r="AI42" i="42" s="1"/>
  <c r="AQ25" i="44"/>
  <c r="AQ42" i="42" s="1"/>
  <c r="AQ60" i="42" s="1"/>
  <c r="U37" i="44"/>
  <c r="U44" i="42" s="1"/>
  <c r="U31" i="44"/>
  <c r="U43" i="42" s="1"/>
  <c r="M25" i="44"/>
  <c r="M42" i="42" s="1"/>
  <c r="L37" i="44"/>
  <c r="L44" i="42" s="1"/>
  <c r="T37" i="44"/>
  <c r="T44" i="42" s="1"/>
  <c r="AB37" i="44"/>
  <c r="AB44" i="42" s="1"/>
  <c r="AJ37" i="44"/>
  <c r="AJ44" i="42" s="1"/>
  <c r="D37" i="44"/>
  <c r="L31" i="44"/>
  <c r="L43" i="42" s="1"/>
  <c r="T31" i="44"/>
  <c r="T43" i="42" s="1"/>
  <c r="AB31" i="44"/>
  <c r="AB43" i="42" s="1"/>
  <c r="AJ31" i="44"/>
  <c r="AJ43" i="42" s="1"/>
  <c r="D31" i="44"/>
  <c r="L25" i="44"/>
  <c r="L42" i="42" s="1"/>
  <c r="T25" i="44"/>
  <c r="T42" i="42" s="1"/>
  <c r="AB25" i="44"/>
  <c r="AB42" i="42" s="1"/>
  <c r="AJ25" i="44"/>
  <c r="AJ42" i="42" s="1"/>
  <c r="D25" i="44"/>
  <c r="M37" i="44"/>
  <c r="M44" i="42" s="1"/>
  <c r="E31" i="44"/>
  <c r="E43" i="42" s="1"/>
  <c r="E61" i="42" s="1"/>
  <c r="AC31" i="44"/>
  <c r="AC43" i="42" s="1"/>
  <c r="U25" i="44"/>
  <c r="U42" i="42" s="1"/>
  <c r="F37" i="44"/>
  <c r="F44" i="42" s="1"/>
  <c r="F62" i="42" s="1"/>
  <c r="N37" i="44"/>
  <c r="N44" i="42" s="1"/>
  <c r="V37" i="44"/>
  <c r="V44" i="42" s="1"/>
  <c r="AD37" i="44"/>
  <c r="AD44" i="42" s="1"/>
  <c r="AL37" i="44"/>
  <c r="AL44" i="42" s="1"/>
  <c r="F31" i="44"/>
  <c r="F43" i="42" s="1"/>
  <c r="F61" i="42" s="1"/>
  <c r="N31" i="44"/>
  <c r="N43" i="42" s="1"/>
  <c r="V31" i="44"/>
  <c r="V43" i="42" s="1"/>
  <c r="AD31" i="44"/>
  <c r="AD43" i="42" s="1"/>
  <c r="AL31" i="44"/>
  <c r="AL43" i="42" s="1"/>
  <c r="F25" i="44"/>
  <c r="F42" i="42" s="1"/>
  <c r="F60" i="42" s="1"/>
  <c r="N25" i="44"/>
  <c r="N42" i="42" s="1"/>
  <c r="V25" i="44"/>
  <c r="V42" i="42" s="1"/>
  <c r="AD25" i="44"/>
  <c r="AD42" i="42" s="1"/>
  <c r="AL25" i="44"/>
  <c r="AL42" i="42" s="1"/>
  <c r="D43" i="42" l="1"/>
  <c r="D61" i="42" s="1"/>
  <c r="C31" i="44"/>
  <c r="D42" i="42"/>
  <c r="D60" i="42" s="1"/>
  <c r="D64" i="42" s="1"/>
  <c r="D70" i="42" s="1"/>
  <c r="C25" i="44"/>
  <c r="D44" i="42"/>
  <c r="D62" i="42" s="1"/>
  <c r="D86" i="42" s="1"/>
  <c r="C37" i="44"/>
  <c r="F65" i="42"/>
  <c r="F71" i="42" s="1"/>
  <c r="F78" i="42" s="1"/>
  <c r="F85" i="42"/>
  <c r="E65" i="42"/>
  <c r="E71" i="42" s="1"/>
  <c r="E78" i="42" s="1"/>
  <c r="E85" i="42"/>
  <c r="AP85" i="42"/>
  <c r="AP65" i="42"/>
  <c r="AP71" i="42" s="1"/>
  <c r="AP78" i="42" s="1"/>
  <c r="AO65" i="42"/>
  <c r="AO71" i="42" s="1"/>
  <c r="AO78" i="42" s="1"/>
  <c r="AO85" i="42"/>
  <c r="F64" i="42"/>
  <c r="F70" i="42" s="1"/>
  <c r="F84" i="42"/>
  <c r="AP64" i="42"/>
  <c r="AP70" i="42" s="1"/>
  <c r="AP77" i="42" s="1"/>
  <c r="AP84" i="42"/>
  <c r="AO64" i="42"/>
  <c r="AO70" i="42" s="1"/>
  <c r="AO84" i="42"/>
  <c r="E64" i="42"/>
  <c r="E70" i="42" s="1"/>
  <c r="E84" i="42"/>
  <c r="AQ64" i="42"/>
  <c r="AQ70" i="42" s="1"/>
  <c r="AQ84" i="42"/>
  <c r="G64" i="42"/>
  <c r="G70" i="42" s="1"/>
  <c r="G84" i="42"/>
  <c r="G65" i="42"/>
  <c r="G71" i="42" s="1"/>
  <c r="G78" i="42" s="1"/>
  <c r="G85" i="42"/>
  <c r="D84" i="42"/>
  <c r="AP86" i="42"/>
  <c r="AP66" i="42"/>
  <c r="AP72" i="42" s="1"/>
  <c r="AO66" i="42"/>
  <c r="AO72" i="42" s="1"/>
  <c r="AO79" i="42" s="1"/>
  <c r="AO86" i="42"/>
  <c r="AQ65" i="42"/>
  <c r="AQ71" i="42" s="1"/>
  <c r="AQ78" i="42" s="1"/>
  <c r="AQ85" i="42"/>
  <c r="AQ66" i="42"/>
  <c r="AQ72" i="42" s="1"/>
  <c r="AQ79" i="42" s="1"/>
  <c r="AQ86" i="42"/>
  <c r="G66" i="42"/>
  <c r="G72" i="42" s="1"/>
  <c r="G79" i="42" s="1"/>
  <c r="G86" i="42"/>
  <c r="F66" i="42"/>
  <c r="F72" i="42" s="1"/>
  <c r="F79" i="42" s="1"/>
  <c r="F86" i="42"/>
  <c r="D65" i="42"/>
  <c r="D71" i="42" s="1"/>
  <c r="D78" i="42" s="1"/>
  <c r="D85" i="42"/>
  <c r="E66" i="42"/>
  <c r="E72" i="42" s="1"/>
  <c r="E79" i="42" s="1"/>
  <c r="E86" i="42"/>
  <c r="E22" i="10"/>
  <c r="F22" i="10"/>
  <c r="D22" i="10"/>
  <c r="D66" i="42" l="1"/>
  <c r="D72" i="42" s="1"/>
  <c r="D79" i="42" s="1"/>
  <c r="E73" i="42"/>
  <c r="E77" i="42"/>
  <c r="E80" i="42" s="1"/>
  <c r="E12" i="19" s="1"/>
  <c r="G73" i="42"/>
  <c r="G77" i="42"/>
  <c r="G80" i="42" s="1"/>
  <c r="G12" i="19" s="1"/>
  <c r="AO73" i="42"/>
  <c r="AO77" i="42"/>
  <c r="AO80" i="42" s="1"/>
  <c r="AO12" i="19" s="1"/>
  <c r="AO11" i="19" s="1"/>
  <c r="AO25" i="19" s="1"/>
  <c r="AP73" i="42"/>
  <c r="AP79" i="42"/>
  <c r="AQ73" i="42"/>
  <c r="AQ77" i="42"/>
  <c r="AQ80" i="42" s="1"/>
  <c r="AQ12" i="19" s="1"/>
  <c r="AQ11" i="19" s="1"/>
  <c r="AP80" i="42"/>
  <c r="AP12" i="19" s="1"/>
  <c r="AP11" i="19" s="1"/>
  <c r="AP25" i="19" s="1"/>
  <c r="D73" i="42"/>
  <c r="D77" i="42"/>
  <c r="D80" i="42" s="1"/>
  <c r="D12" i="19" s="1"/>
  <c r="F73" i="42"/>
  <c r="F77" i="42"/>
  <c r="F80" i="42" s="1"/>
  <c r="F12" i="19" s="1"/>
  <c r="F24" i="43"/>
  <c r="F31" i="43" s="1"/>
  <c r="E24" i="43"/>
  <c r="E31" i="43" s="1"/>
  <c r="E25" i="43"/>
  <c r="E32" i="43" s="1"/>
  <c r="G23" i="43"/>
  <c r="G30" i="43" s="1"/>
  <c r="G24" i="43"/>
  <c r="G31" i="43" s="1"/>
  <c r="F25" i="43"/>
  <c r="F32" i="43" s="1"/>
  <c r="E23" i="43"/>
  <c r="E30" i="43" s="1"/>
  <c r="G25" i="43"/>
  <c r="G32" i="43" s="1"/>
  <c r="F23" i="43"/>
  <c r="F30" i="43" s="1"/>
  <c r="E34" i="43" l="1"/>
  <c r="E73" i="43" s="1"/>
  <c r="E13" i="19" s="1"/>
  <c r="F34" i="43"/>
  <c r="F73" i="43" s="1"/>
  <c r="F13" i="19" s="1"/>
  <c r="G34" i="43"/>
  <c r="G73" i="43" s="1"/>
  <c r="G13" i="19" s="1"/>
  <c r="D25" i="43" l="1"/>
  <c r="D23" i="43"/>
  <c r="D24" i="43"/>
  <c r="D31" i="43" l="1"/>
  <c r="D30" i="43"/>
  <c r="D32" i="43"/>
  <c r="D34" i="43" l="1"/>
  <c r="D73" i="43" l="1"/>
  <c r="D13" i="19" s="1"/>
  <c r="E23" i="10" l="1"/>
  <c r="D23" i="10" l="1"/>
  <c r="F23" i="10"/>
  <c r="H13" i="50" l="1"/>
  <c r="H11" i="50"/>
  <c r="H9" i="50"/>
  <c r="H13" i="49"/>
  <c r="H15" i="49"/>
  <c r="H9" i="49"/>
  <c r="H11" i="49"/>
  <c r="H7" i="49"/>
  <c r="H11" i="34" l="1"/>
  <c r="H8" i="34"/>
  <c r="H6" i="34"/>
  <c r="H9" i="34"/>
  <c r="H10" i="34"/>
  <c r="H6" i="35"/>
  <c r="H7" i="35"/>
  <c r="H8" i="35"/>
  <c r="I9" i="50"/>
  <c r="I6" i="35" s="1"/>
  <c r="I15" i="49"/>
  <c r="I11" i="34" s="1"/>
  <c r="I11" i="50"/>
  <c r="I7" i="35" s="1"/>
  <c r="I13" i="49"/>
  <c r="I10" i="34" s="1"/>
  <c r="I11" i="49"/>
  <c r="I9" i="34" s="1"/>
  <c r="I9" i="49"/>
  <c r="I8" i="34" s="1"/>
  <c r="I7" i="49"/>
  <c r="I6" i="34" s="1"/>
  <c r="I13" i="50"/>
  <c r="I8" i="35" s="1"/>
  <c r="I61" i="42" l="1"/>
  <c r="I65" i="42" s="1"/>
  <c r="I71" i="42" s="1"/>
  <c r="I60" i="42"/>
  <c r="I64" i="42" s="1"/>
  <c r="I70" i="42" s="1"/>
  <c r="J9" i="50"/>
  <c r="J11" i="50"/>
  <c r="J15" i="49"/>
  <c r="J11" i="34" s="1"/>
  <c r="J13" i="49"/>
  <c r="J11" i="49"/>
  <c r="J9" i="34" s="1"/>
  <c r="J9" i="49"/>
  <c r="J8" i="34" s="1"/>
  <c r="J7" i="49"/>
  <c r="J6" i="34" s="1"/>
  <c r="J13" i="50"/>
  <c r="J8" i="35" s="1"/>
  <c r="I25" i="43"/>
  <c r="I32" i="43" s="1"/>
  <c r="I23" i="43"/>
  <c r="I30" i="43" s="1"/>
  <c r="I24" i="43"/>
  <c r="I31" i="43" s="1"/>
  <c r="I62" i="42"/>
  <c r="I66" i="42" s="1"/>
  <c r="I72" i="42" s="1"/>
  <c r="I24" i="42"/>
  <c r="I58" i="43"/>
  <c r="I59" i="43"/>
  <c r="I66" i="43" s="1"/>
  <c r="I60" i="43"/>
  <c r="I67" i="43" s="1"/>
  <c r="H59" i="43"/>
  <c r="H66" i="43" s="1"/>
  <c r="H60" i="43"/>
  <c r="H67" i="43" s="1"/>
  <c r="H24" i="42"/>
  <c r="H25" i="42"/>
  <c r="H23" i="42"/>
  <c r="H61" i="42"/>
  <c r="H60" i="42"/>
  <c r="H58" i="43"/>
  <c r="H65" i="43" s="1"/>
  <c r="H62" i="42"/>
  <c r="J6" i="35" l="1"/>
  <c r="J10" i="34"/>
  <c r="J7" i="35"/>
  <c r="K9" i="50"/>
  <c r="K6" i="35" s="1"/>
  <c r="K11" i="50"/>
  <c r="K7" i="35" s="1"/>
  <c r="K13" i="49"/>
  <c r="K10" i="34" s="1"/>
  <c r="K9" i="49"/>
  <c r="K8" i="34" s="1"/>
  <c r="K11" i="49"/>
  <c r="K9" i="34" s="1"/>
  <c r="K15" i="49"/>
  <c r="K11" i="34" s="1"/>
  <c r="K7" i="49"/>
  <c r="K6" i="34" s="1"/>
  <c r="H69" i="43"/>
  <c r="K13" i="50"/>
  <c r="I34" i="43"/>
  <c r="J24" i="43"/>
  <c r="J31" i="43" s="1"/>
  <c r="J25" i="43"/>
  <c r="J32" i="43" s="1"/>
  <c r="J23" i="43"/>
  <c r="J30" i="43" s="1"/>
  <c r="H23" i="43"/>
  <c r="H25" i="43"/>
  <c r="H24" i="43"/>
  <c r="I65" i="43"/>
  <c r="I69" i="43" s="1"/>
  <c r="I28" i="42"/>
  <c r="I34" i="42" s="1"/>
  <c r="I78" i="42" s="1"/>
  <c r="I85" i="42"/>
  <c r="I23" i="42"/>
  <c r="I25" i="42"/>
  <c r="J59" i="43"/>
  <c r="J66" i="43" s="1"/>
  <c r="I73" i="42"/>
  <c r="H64" i="42"/>
  <c r="H85" i="42"/>
  <c r="H28" i="42"/>
  <c r="H65" i="42"/>
  <c r="H66" i="42"/>
  <c r="H27" i="42"/>
  <c r="H84" i="42"/>
  <c r="H86" i="42"/>
  <c r="H29" i="42"/>
  <c r="K8" i="35" l="1"/>
  <c r="K60" i="43"/>
  <c r="K67" i="43" s="1"/>
  <c r="L11" i="50"/>
  <c r="L7" i="35" s="1"/>
  <c r="L9" i="50"/>
  <c r="L6" i="35" s="1"/>
  <c r="L11" i="49"/>
  <c r="L13" i="49"/>
  <c r="L10" i="34" s="1"/>
  <c r="L15" i="49"/>
  <c r="L9" i="49"/>
  <c r="L8" i="34" s="1"/>
  <c r="L7" i="49"/>
  <c r="L13" i="50"/>
  <c r="L8" i="35" s="1"/>
  <c r="I73" i="43"/>
  <c r="I13" i="19" s="1"/>
  <c r="J34" i="43"/>
  <c r="K24" i="43"/>
  <c r="K31" i="43" s="1"/>
  <c r="H31" i="43"/>
  <c r="H32" i="43"/>
  <c r="H30" i="43"/>
  <c r="J60" i="43"/>
  <c r="J67" i="43" s="1"/>
  <c r="J60" i="42"/>
  <c r="J58" i="43"/>
  <c r="J65" i="43" s="1"/>
  <c r="I29" i="42"/>
  <c r="I35" i="42" s="1"/>
  <c r="I79" i="42" s="1"/>
  <c r="I86" i="42"/>
  <c r="J62" i="42"/>
  <c r="K62" i="42"/>
  <c r="K66" i="42" s="1"/>
  <c r="K72" i="42" s="1"/>
  <c r="K60" i="42"/>
  <c r="K64" i="42" s="1"/>
  <c r="K70" i="42" s="1"/>
  <c r="K61" i="42"/>
  <c r="K65" i="42" s="1"/>
  <c r="K71" i="42" s="1"/>
  <c r="K24" i="42"/>
  <c r="K58" i="43"/>
  <c r="K59" i="43"/>
  <c r="K66" i="43" s="1"/>
  <c r="J24" i="42"/>
  <c r="J23" i="42"/>
  <c r="I84" i="42"/>
  <c r="I27" i="42"/>
  <c r="I33" i="42" s="1"/>
  <c r="J25" i="42"/>
  <c r="J61" i="42"/>
  <c r="H71" i="42"/>
  <c r="H35" i="42"/>
  <c r="H33" i="42"/>
  <c r="H34" i="42"/>
  <c r="H72" i="42"/>
  <c r="H70" i="42"/>
  <c r="L6" i="34" l="1"/>
  <c r="L11" i="34"/>
  <c r="L9" i="34"/>
  <c r="L62" i="42"/>
  <c r="L66" i="42" s="1"/>
  <c r="L72" i="42" s="1"/>
  <c r="J69" i="43"/>
  <c r="J73" i="43" s="1"/>
  <c r="J13" i="19" s="1"/>
  <c r="L60" i="42"/>
  <c r="L64" i="42" s="1"/>
  <c r="L70" i="42" s="1"/>
  <c r="L59" i="43"/>
  <c r="L66" i="43" s="1"/>
  <c r="M11" i="50"/>
  <c r="M9" i="50"/>
  <c r="M6" i="35" s="1"/>
  <c r="M15" i="49"/>
  <c r="M11" i="34" s="1"/>
  <c r="M13" i="49"/>
  <c r="M10" i="34" s="1"/>
  <c r="M11" i="49"/>
  <c r="M9" i="34" s="1"/>
  <c r="M9" i="49"/>
  <c r="M8" i="34" s="1"/>
  <c r="M7" i="49"/>
  <c r="M6" i="34" s="1"/>
  <c r="M13" i="50"/>
  <c r="M8" i="35" s="1"/>
  <c r="L23" i="43"/>
  <c r="L30" i="43" s="1"/>
  <c r="L24" i="43"/>
  <c r="K25" i="43"/>
  <c r="H34" i="43"/>
  <c r="H73" i="43" s="1"/>
  <c r="K65" i="43"/>
  <c r="J84" i="42"/>
  <c r="J27" i="42"/>
  <c r="J85" i="42"/>
  <c r="J28" i="42"/>
  <c r="K73" i="42"/>
  <c r="J29" i="42"/>
  <c r="J86" i="42"/>
  <c r="L61" i="42"/>
  <c r="L65" i="42" s="1"/>
  <c r="L71" i="42" s="1"/>
  <c r="L24" i="42"/>
  <c r="L60" i="43"/>
  <c r="L67" i="43" s="1"/>
  <c r="J66" i="42"/>
  <c r="J64" i="42"/>
  <c r="K28" i="42"/>
  <c r="K34" i="42" s="1"/>
  <c r="K78" i="42" s="1"/>
  <c r="K85" i="42"/>
  <c r="K23" i="42"/>
  <c r="I77" i="42"/>
  <c r="I80" i="42" s="1"/>
  <c r="I12" i="19" s="1"/>
  <c r="I36" i="42"/>
  <c r="J65" i="42"/>
  <c r="K25" i="42"/>
  <c r="H78" i="42"/>
  <c r="H36" i="42"/>
  <c r="H77" i="42"/>
  <c r="H73" i="42"/>
  <c r="H79" i="42"/>
  <c r="M7" i="35" l="1"/>
  <c r="M23" i="43"/>
  <c r="M30" i="43" s="1"/>
  <c r="N13" i="50"/>
  <c r="N8" i="35" s="1"/>
  <c r="N11" i="50"/>
  <c r="N7" i="35" s="1"/>
  <c r="N9" i="50"/>
  <c r="N15" i="49"/>
  <c r="N9" i="49"/>
  <c r="N8" i="34" s="1"/>
  <c r="N13" i="49"/>
  <c r="N11" i="49"/>
  <c r="N7" i="49"/>
  <c r="N6" i="34" s="1"/>
  <c r="M24" i="43"/>
  <c r="M31" i="43" s="1"/>
  <c r="M25" i="43"/>
  <c r="M32" i="43" s="1"/>
  <c r="L31" i="43"/>
  <c r="K23" i="43"/>
  <c r="K32" i="43"/>
  <c r="K69" i="43"/>
  <c r="L73" i="42"/>
  <c r="J34" i="42"/>
  <c r="K29" i="42"/>
  <c r="K35" i="42" s="1"/>
  <c r="K79" i="42" s="1"/>
  <c r="K86" i="42"/>
  <c r="J70" i="42"/>
  <c r="M61" i="42"/>
  <c r="M65" i="42" s="1"/>
  <c r="M71" i="42" s="1"/>
  <c r="M60" i="42"/>
  <c r="M24" i="42"/>
  <c r="M58" i="43"/>
  <c r="M59" i="43"/>
  <c r="M66" i="43" s="1"/>
  <c r="K27" i="42"/>
  <c r="K33" i="42" s="1"/>
  <c r="K84" i="42"/>
  <c r="J72" i="42"/>
  <c r="L58" i="43"/>
  <c r="L65" i="43" s="1"/>
  <c r="L69" i="43" s="1"/>
  <c r="L23" i="42"/>
  <c r="J33" i="42"/>
  <c r="L85" i="42"/>
  <c r="L28" i="42"/>
  <c r="L34" i="42" s="1"/>
  <c r="L78" i="42" s="1"/>
  <c r="J71" i="42"/>
  <c r="L25" i="42"/>
  <c r="J35" i="42"/>
  <c r="H80" i="42"/>
  <c r="H13" i="19"/>
  <c r="N9" i="34" l="1"/>
  <c r="N10" i="34"/>
  <c r="N6" i="35"/>
  <c r="N11" i="34"/>
  <c r="O9" i="50"/>
  <c r="O6" i="35" s="1"/>
  <c r="O11" i="50"/>
  <c r="O7" i="35" s="1"/>
  <c r="O15" i="49"/>
  <c r="O11" i="34" s="1"/>
  <c r="O13" i="49"/>
  <c r="O10" i="34" s="1"/>
  <c r="O11" i="49"/>
  <c r="O9" i="34" s="1"/>
  <c r="O7" i="49"/>
  <c r="O6" i="34" s="1"/>
  <c r="O9" i="49"/>
  <c r="O8" i="34" s="1"/>
  <c r="O13" i="50"/>
  <c r="O8" i="35" s="1"/>
  <c r="M34" i="43"/>
  <c r="N25" i="43"/>
  <c r="N32" i="43" s="1"/>
  <c r="N23" i="43"/>
  <c r="N30" i="43" s="1"/>
  <c r="N24" i="43"/>
  <c r="K30" i="43"/>
  <c r="L25" i="43"/>
  <c r="M65" i="43"/>
  <c r="M23" i="42"/>
  <c r="J73" i="42"/>
  <c r="M25" i="42"/>
  <c r="M85" i="42"/>
  <c r="M28" i="42"/>
  <c r="M34" i="42" s="1"/>
  <c r="M78" i="42" s="1"/>
  <c r="J36" i="42"/>
  <c r="J77" i="42"/>
  <c r="M64" i="42"/>
  <c r="J79" i="42"/>
  <c r="N62" i="42"/>
  <c r="N66" i="42" s="1"/>
  <c r="N72" i="42" s="1"/>
  <c r="N24" i="42"/>
  <c r="N60" i="43"/>
  <c r="N67" i="43" s="1"/>
  <c r="L29" i="42"/>
  <c r="L86" i="42"/>
  <c r="K77" i="42"/>
  <c r="K80" i="42" s="1"/>
  <c r="K12" i="19" s="1"/>
  <c r="K36" i="42"/>
  <c r="M62" i="42"/>
  <c r="J78" i="42"/>
  <c r="L84" i="42"/>
  <c r="L27" i="42"/>
  <c r="M60" i="43"/>
  <c r="M67" i="43" s="1"/>
  <c r="H12" i="19"/>
  <c r="O62" i="42" l="1"/>
  <c r="O66" i="42" s="1"/>
  <c r="O72" i="42" s="1"/>
  <c r="O24" i="42"/>
  <c r="O58" i="43"/>
  <c r="P13" i="49"/>
  <c r="P10" i="34" s="1"/>
  <c r="P11" i="50"/>
  <c r="P7" i="35" s="1"/>
  <c r="P9" i="50"/>
  <c r="P6" i="35" s="1"/>
  <c r="P7" i="49"/>
  <c r="P6" i="34" s="1"/>
  <c r="P15" i="49"/>
  <c r="P11" i="34" s="1"/>
  <c r="P11" i="49"/>
  <c r="P9" i="34" s="1"/>
  <c r="P9" i="49"/>
  <c r="P8" i="34" s="1"/>
  <c r="P13" i="50"/>
  <c r="P8" i="35" s="1"/>
  <c r="O24" i="43"/>
  <c r="O31" i="43" s="1"/>
  <c r="O23" i="43"/>
  <c r="O30" i="43" s="1"/>
  <c r="L32" i="43"/>
  <c r="L34" i="43" s="1"/>
  <c r="L73" i="43" s="1"/>
  <c r="L13" i="19" s="1"/>
  <c r="N31" i="43"/>
  <c r="N34" i="43" s="1"/>
  <c r="K34" i="43"/>
  <c r="M69" i="43"/>
  <c r="J80" i="42"/>
  <c r="N61" i="42"/>
  <c r="N85" i="42" s="1"/>
  <c r="N59" i="43"/>
  <c r="N66" i="43" s="1"/>
  <c r="M84" i="42"/>
  <c r="M27" i="42"/>
  <c r="M33" i="42" s="1"/>
  <c r="N60" i="42"/>
  <c r="L35" i="42"/>
  <c r="N58" i="43"/>
  <c r="N65" i="43" s="1"/>
  <c r="N25" i="42"/>
  <c r="M66" i="42"/>
  <c r="L33" i="42"/>
  <c r="N28" i="42"/>
  <c r="N34" i="42" s="1"/>
  <c r="O61" i="42"/>
  <c r="O65" i="42" s="1"/>
  <c r="O71" i="42" s="1"/>
  <c r="O60" i="42"/>
  <c r="O64" i="42" s="1"/>
  <c r="O70" i="42" s="1"/>
  <c r="O59" i="43"/>
  <c r="O66" i="43" s="1"/>
  <c r="N23" i="42"/>
  <c r="M70" i="42"/>
  <c r="M29" i="42"/>
  <c r="M35" i="42" s="1"/>
  <c r="M86" i="42"/>
  <c r="Q13" i="50" l="1"/>
  <c r="Q8" i="35" s="1"/>
  <c r="Q11" i="50"/>
  <c r="Q7" i="35" s="1"/>
  <c r="Q9" i="50"/>
  <c r="Q6" i="35" s="1"/>
  <c r="Q13" i="49"/>
  <c r="Q10" i="34" s="1"/>
  <c r="Q11" i="49"/>
  <c r="Q9" i="34" s="1"/>
  <c r="Q15" i="49"/>
  <c r="Q11" i="34" s="1"/>
  <c r="Q9" i="49"/>
  <c r="Q8" i="34" s="1"/>
  <c r="Q7" i="49"/>
  <c r="Q6" i="34" s="1"/>
  <c r="P23" i="43"/>
  <c r="P24" i="43"/>
  <c r="P31" i="43" s="1"/>
  <c r="P25" i="43"/>
  <c r="P32" i="43" s="1"/>
  <c r="O25" i="43"/>
  <c r="K73" i="43"/>
  <c r="K13" i="19" s="1"/>
  <c r="O65" i="43"/>
  <c r="N69" i="43"/>
  <c r="N73" i="43" s="1"/>
  <c r="M73" i="43"/>
  <c r="M13" i="19" s="1"/>
  <c r="N64" i="42"/>
  <c r="O85" i="42"/>
  <c r="O28" i="42"/>
  <c r="O25" i="42"/>
  <c r="L77" i="42"/>
  <c r="L36" i="42"/>
  <c r="M77" i="42"/>
  <c r="M80" i="42" s="1"/>
  <c r="M12" i="19" s="1"/>
  <c r="M36" i="42"/>
  <c r="O23" i="42"/>
  <c r="N65" i="42"/>
  <c r="O73" i="42"/>
  <c r="P60" i="42"/>
  <c r="P64" i="42" s="1"/>
  <c r="P70" i="42" s="1"/>
  <c r="P62" i="42"/>
  <c r="P66" i="42" s="1"/>
  <c r="P72" i="42" s="1"/>
  <c r="P24" i="42"/>
  <c r="P60" i="43"/>
  <c r="P67" i="43" s="1"/>
  <c r="P59" i="43"/>
  <c r="P66" i="43" s="1"/>
  <c r="P58" i="43"/>
  <c r="O60" i="43"/>
  <c r="O67" i="43" s="1"/>
  <c r="L79" i="42"/>
  <c r="J12" i="19"/>
  <c r="N84" i="42"/>
  <c r="N27" i="42"/>
  <c r="M72" i="42"/>
  <c r="M73" i="42" s="1"/>
  <c r="N86" i="42"/>
  <c r="N29" i="42"/>
  <c r="N35" i="42" s="1"/>
  <c r="N79" i="42" s="1"/>
  <c r="Q58" i="43" l="1"/>
  <c r="Q65" i="43" s="1"/>
  <c r="R13" i="50"/>
  <c r="R8" i="35" s="1"/>
  <c r="R11" i="50"/>
  <c r="R7" i="35" s="1"/>
  <c r="R15" i="49"/>
  <c r="R11" i="34" s="1"/>
  <c r="R9" i="50"/>
  <c r="R6" i="35" s="1"/>
  <c r="R7" i="49"/>
  <c r="R6" i="34" s="1"/>
  <c r="R13" i="49"/>
  <c r="R10" i="34" s="1"/>
  <c r="R11" i="49"/>
  <c r="R9" i="34" s="1"/>
  <c r="R9" i="49"/>
  <c r="R8" i="34" s="1"/>
  <c r="Q25" i="43"/>
  <c r="Q32" i="43" s="1"/>
  <c r="Q23" i="43"/>
  <c r="Q30" i="43" s="1"/>
  <c r="Q24" i="43"/>
  <c r="Q31" i="43" s="1"/>
  <c r="P30" i="43"/>
  <c r="O32" i="43"/>
  <c r="O34" i="43" s="1"/>
  <c r="P65" i="43"/>
  <c r="P69" i="43" s="1"/>
  <c r="O69" i="43"/>
  <c r="N13" i="19"/>
  <c r="P25" i="42"/>
  <c r="O34" i="42"/>
  <c r="P28" i="42"/>
  <c r="P34" i="42" s="1"/>
  <c r="N33" i="42"/>
  <c r="N71" i="42"/>
  <c r="P61" i="42"/>
  <c r="P85" i="42" s="1"/>
  <c r="M79" i="42"/>
  <c r="L80" i="42"/>
  <c r="N70" i="42"/>
  <c r="P23" i="42"/>
  <c r="Q60" i="42"/>
  <c r="Q64" i="42" s="1"/>
  <c r="Q70" i="42" s="1"/>
  <c r="Q61" i="42"/>
  <c r="Q65" i="42" s="1"/>
  <c r="Q71" i="42" s="1"/>
  <c r="Q62" i="42"/>
  <c r="Q66" i="42" s="1"/>
  <c r="Q24" i="42"/>
  <c r="Q59" i="43"/>
  <c r="Q66" i="43" s="1"/>
  <c r="O84" i="42"/>
  <c r="O27" i="42"/>
  <c r="O33" i="42" s="1"/>
  <c r="O29" i="42"/>
  <c r="O35" i="42" s="1"/>
  <c r="O86" i="42"/>
  <c r="S13" i="50" l="1"/>
  <c r="S8" i="35" s="1"/>
  <c r="S11" i="50"/>
  <c r="S7" i="35" s="1"/>
  <c r="S15" i="49"/>
  <c r="S11" i="34" s="1"/>
  <c r="S9" i="50"/>
  <c r="S6" i="35" s="1"/>
  <c r="S7" i="49"/>
  <c r="S6" i="34" s="1"/>
  <c r="S11" i="49"/>
  <c r="S9" i="34" s="1"/>
  <c r="S13" i="49"/>
  <c r="S10" i="34" s="1"/>
  <c r="S9" i="49"/>
  <c r="S8" i="34" s="1"/>
  <c r="R23" i="43"/>
  <c r="R30" i="43" s="1"/>
  <c r="Q34" i="43"/>
  <c r="R24" i="43"/>
  <c r="R31" i="43" s="1"/>
  <c r="R25" i="43"/>
  <c r="R32" i="43" s="1"/>
  <c r="P34" i="43"/>
  <c r="P73" i="43" s="1"/>
  <c r="P13" i="19" s="1"/>
  <c r="O73" i="43"/>
  <c r="O13" i="19" s="1"/>
  <c r="Q60" i="43"/>
  <c r="Q67" i="43" s="1"/>
  <c r="Q69" i="43" s="1"/>
  <c r="O78" i="42"/>
  <c r="R62" i="42"/>
  <c r="R66" i="42" s="1"/>
  <c r="R72" i="42" s="1"/>
  <c r="R60" i="42"/>
  <c r="R61" i="42"/>
  <c r="R65" i="42" s="1"/>
  <c r="R71" i="42" s="1"/>
  <c r="R24" i="42"/>
  <c r="R58" i="43"/>
  <c r="R59" i="43"/>
  <c r="R66" i="43" s="1"/>
  <c r="R60" i="43"/>
  <c r="R67" i="43" s="1"/>
  <c r="P27" i="42"/>
  <c r="P84" i="42"/>
  <c r="P86" i="42"/>
  <c r="P29" i="42"/>
  <c r="P35" i="42" s="1"/>
  <c r="P79" i="42" s="1"/>
  <c r="N78" i="42"/>
  <c r="Q85" i="42"/>
  <c r="Q28" i="42"/>
  <c r="N73" i="42"/>
  <c r="N77" i="42"/>
  <c r="N36" i="42"/>
  <c r="Q23" i="42"/>
  <c r="O77" i="42"/>
  <c r="O36" i="42"/>
  <c r="Q25" i="42"/>
  <c r="L12" i="19"/>
  <c r="O79" i="42"/>
  <c r="Q72" i="42"/>
  <c r="Q73" i="42" s="1"/>
  <c r="P65" i="42"/>
  <c r="T11" i="50" l="1"/>
  <c r="T7" i="35" s="1"/>
  <c r="T15" i="49"/>
  <c r="T11" i="34" s="1"/>
  <c r="T9" i="50"/>
  <c r="T6" i="35" s="1"/>
  <c r="T13" i="49"/>
  <c r="T10" i="34" s="1"/>
  <c r="T11" i="49"/>
  <c r="T9" i="34" s="1"/>
  <c r="T9" i="49"/>
  <c r="T8" i="34" s="1"/>
  <c r="T7" i="49"/>
  <c r="T6" i="34" s="1"/>
  <c r="T13" i="50"/>
  <c r="T8" i="35" s="1"/>
  <c r="R34" i="43"/>
  <c r="S24" i="43"/>
  <c r="S31" i="43" s="1"/>
  <c r="S25" i="43"/>
  <c r="S32" i="43" s="1"/>
  <c r="S23" i="43"/>
  <c r="S30" i="43" s="1"/>
  <c r="Q73" i="43"/>
  <c r="Q13" i="19" s="1"/>
  <c r="R65" i="43"/>
  <c r="R69" i="43" s="1"/>
  <c r="O80" i="42"/>
  <c r="O12" i="19" s="1"/>
  <c r="Q84" i="42"/>
  <c r="Q27" i="42"/>
  <c r="Q33" i="42" s="1"/>
  <c r="P33" i="42"/>
  <c r="R64" i="42"/>
  <c r="N80" i="42"/>
  <c r="Q86" i="42"/>
  <c r="Q29" i="42"/>
  <c r="Q35" i="42" s="1"/>
  <c r="R85" i="42"/>
  <c r="R28" i="42"/>
  <c r="R34" i="42" s="1"/>
  <c r="R78" i="42" s="1"/>
  <c r="R23" i="42"/>
  <c r="P71" i="42"/>
  <c r="S60" i="42"/>
  <c r="S64" i="42" s="1"/>
  <c r="S70" i="42" s="1"/>
  <c r="S61" i="42"/>
  <c r="S65" i="42" s="1"/>
  <c r="S71" i="42" s="1"/>
  <c r="S62" i="42"/>
  <c r="S66" i="42" s="1"/>
  <c r="S72" i="42" s="1"/>
  <c r="S24" i="42"/>
  <c r="S58" i="43"/>
  <c r="S65" i="43" s="1"/>
  <c r="S59" i="43"/>
  <c r="S66" i="43" s="1"/>
  <c r="S60" i="43"/>
  <c r="S67" i="43" s="1"/>
  <c r="Q34" i="42"/>
  <c r="R25" i="42"/>
  <c r="S69" i="43" l="1"/>
  <c r="U13" i="50"/>
  <c r="U8" i="35" s="1"/>
  <c r="U11" i="50"/>
  <c r="U7" i="35" s="1"/>
  <c r="U15" i="49"/>
  <c r="U11" i="34" s="1"/>
  <c r="U9" i="50"/>
  <c r="U6" i="35" s="1"/>
  <c r="U7" i="49"/>
  <c r="U6" i="34" s="1"/>
  <c r="U13" i="49"/>
  <c r="U10" i="34" s="1"/>
  <c r="U11" i="49"/>
  <c r="U9" i="34" s="1"/>
  <c r="U9" i="49"/>
  <c r="U8" i="34" s="1"/>
  <c r="T23" i="43"/>
  <c r="T30" i="43" s="1"/>
  <c r="T24" i="43"/>
  <c r="T31" i="43" s="1"/>
  <c r="T25" i="43"/>
  <c r="T32" i="43" s="1"/>
  <c r="S34" i="43"/>
  <c r="R73" i="43"/>
  <c r="R13" i="19" s="1"/>
  <c r="T62" i="42"/>
  <c r="T66" i="42" s="1"/>
  <c r="T72" i="42" s="1"/>
  <c r="T61" i="42"/>
  <c r="T65" i="42" s="1"/>
  <c r="T71" i="42" s="1"/>
  <c r="T60" i="42"/>
  <c r="T64" i="42" s="1"/>
  <c r="T70" i="42" s="1"/>
  <c r="T24" i="42"/>
  <c r="T58" i="43"/>
  <c r="T60" i="43"/>
  <c r="T67" i="43" s="1"/>
  <c r="T59" i="43"/>
  <c r="T66" i="43" s="1"/>
  <c r="S85" i="42"/>
  <c r="S28" i="42"/>
  <c r="S34" i="42" s="1"/>
  <c r="S78" i="42" s="1"/>
  <c r="Q78" i="42"/>
  <c r="R70" i="42"/>
  <c r="S23" i="42"/>
  <c r="Q79" i="42"/>
  <c r="S73" i="42"/>
  <c r="P77" i="42"/>
  <c r="P36" i="42"/>
  <c r="P73" i="42"/>
  <c r="P78" i="42"/>
  <c r="N12" i="19"/>
  <c r="Q77" i="42"/>
  <c r="Q36" i="42"/>
  <c r="R86" i="42"/>
  <c r="R29" i="42"/>
  <c r="R35" i="42" s="1"/>
  <c r="R79" i="42" s="1"/>
  <c r="S25" i="42"/>
  <c r="R84" i="42"/>
  <c r="R27" i="42"/>
  <c r="S73" i="43" l="1"/>
  <c r="V13" i="50"/>
  <c r="V8" i="35" s="1"/>
  <c r="V9" i="50"/>
  <c r="V6" i="35" s="1"/>
  <c r="V11" i="50"/>
  <c r="V7" i="35" s="1"/>
  <c r="V15" i="49"/>
  <c r="V11" i="34" s="1"/>
  <c r="V9" i="49"/>
  <c r="V8" i="34" s="1"/>
  <c r="V7" i="49"/>
  <c r="V6" i="34" s="1"/>
  <c r="V11" i="49"/>
  <c r="V9" i="34" s="1"/>
  <c r="V13" i="49"/>
  <c r="V10" i="34" s="1"/>
  <c r="Q80" i="42"/>
  <c r="Q12" i="19" s="1"/>
  <c r="U25" i="43"/>
  <c r="U32" i="43" s="1"/>
  <c r="U23" i="43"/>
  <c r="U30" i="43" s="1"/>
  <c r="T34" i="43"/>
  <c r="U24" i="43"/>
  <c r="U31" i="43" s="1"/>
  <c r="T65" i="43"/>
  <c r="T69" i="43" s="1"/>
  <c r="T73" i="42"/>
  <c r="S13" i="19"/>
  <c r="R33" i="42"/>
  <c r="R73" i="42"/>
  <c r="T23" i="42"/>
  <c r="P80" i="42"/>
  <c r="T25" i="42"/>
  <c r="T85" i="42"/>
  <c r="T28" i="42"/>
  <c r="T34" i="42" s="1"/>
  <c r="T78" i="42" s="1"/>
  <c r="S86" i="42"/>
  <c r="S29" i="42"/>
  <c r="S35" i="42" s="1"/>
  <c r="S79" i="42" s="1"/>
  <c r="U61" i="42"/>
  <c r="U65" i="42" s="1"/>
  <c r="U62" i="42"/>
  <c r="U66" i="42" s="1"/>
  <c r="U72" i="42" s="1"/>
  <c r="U60" i="42"/>
  <c r="U64" i="42" s="1"/>
  <c r="U70" i="42" s="1"/>
  <c r="U24" i="42"/>
  <c r="U58" i="43"/>
  <c r="U59" i="43"/>
  <c r="U66" i="43" s="1"/>
  <c r="U60" i="43"/>
  <c r="U67" i="43" s="1"/>
  <c r="S84" i="42"/>
  <c r="S27" i="42"/>
  <c r="S33" i="42" s="1"/>
  <c r="T73" i="43" l="1"/>
  <c r="T13" i="19" s="1"/>
  <c r="W13" i="50"/>
  <c r="W8" i="35" s="1"/>
  <c r="W9" i="50"/>
  <c r="W6" i="35" s="1"/>
  <c r="W15" i="49"/>
  <c r="W11" i="34" s="1"/>
  <c r="W11" i="50"/>
  <c r="W7" i="35" s="1"/>
  <c r="W13" i="49"/>
  <c r="W10" i="34" s="1"/>
  <c r="W9" i="49"/>
  <c r="W8" i="34" s="1"/>
  <c r="W7" i="49"/>
  <c r="W6" i="34" s="1"/>
  <c r="W11" i="49"/>
  <c r="W9" i="34" s="1"/>
  <c r="V24" i="43"/>
  <c r="V31" i="43" s="1"/>
  <c r="U34" i="43"/>
  <c r="V25" i="43"/>
  <c r="V32" i="43" s="1"/>
  <c r="V23" i="43"/>
  <c r="V30" i="43" s="1"/>
  <c r="U65" i="43"/>
  <c r="U69" i="43" s="1"/>
  <c r="U25" i="42"/>
  <c r="P12" i="19"/>
  <c r="V61" i="42"/>
  <c r="V65" i="42" s="1"/>
  <c r="V71" i="42" s="1"/>
  <c r="V62" i="42"/>
  <c r="V66" i="42" s="1"/>
  <c r="V72" i="42" s="1"/>
  <c r="V60" i="42"/>
  <c r="V64" i="42" s="1"/>
  <c r="V70" i="42" s="1"/>
  <c r="V24" i="42"/>
  <c r="V58" i="43"/>
  <c r="V59" i="43"/>
  <c r="V66" i="43" s="1"/>
  <c r="V60" i="43"/>
  <c r="V67" i="43" s="1"/>
  <c r="U28" i="42"/>
  <c r="U34" i="42" s="1"/>
  <c r="U85" i="42"/>
  <c r="T27" i="42"/>
  <c r="T33" i="42" s="1"/>
  <c r="T84" i="42"/>
  <c r="S77" i="42"/>
  <c r="S80" i="42" s="1"/>
  <c r="S12" i="19" s="1"/>
  <c r="S36" i="42"/>
  <c r="U23" i="42"/>
  <c r="U71" i="42"/>
  <c r="U73" i="42" s="1"/>
  <c r="T86" i="42"/>
  <c r="T29" i="42"/>
  <c r="T35" i="42" s="1"/>
  <c r="T79" i="42" s="1"/>
  <c r="R36" i="42"/>
  <c r="R77" i="42"/>
  <c r="U73" i="43" l="1"/>
  <c r="U13" i="19" s="1"/>
  <c r="W23" i="43"/>
  <c r="W30" i="43" s="1"/>
  <c r="X9" i="50"/>
  <c r="X6" i="35" s="1"/>
  <c r="X11" i="50"/>
  <c r="X7" i="35" s="1"/>
  <c r="X9" i="49"/>
  <c r="X8" i="34" s="1"/>
  <c r="X7" i="49"/>
  <c r="X6" i="34" s="1"/>
  <c r="X15" i="49"/>
  <c r="X11" i="34" s="1"/>
  <c r="X11" i="49"/>
  <c r="X9" i="34" s="1"/>
  <c r="X13" i="49"/>
  <c r="X10" i="34" s="1"/>
  <c r="X13" i="50"/>
  <c r="X8" i="35" s="1"/>
  <c r="V34" i="43"/>
  <c r="W24" i="43"/>
  <c r="W31" i="43" s="1"/>
  <c r="W25" i="43"/>
  <c r="W32" i="43" s="1"/>
  <c r="V65" i="43"/>
  <c r="V69" i="43" s="1"/>
  <c r="V73" i="42"/>
  <c r="U84" i="42"/>
  <c r="U27" i="42"/>
  <c r="U33" i="42" s="1"/>
  <c r="U78" i="42"/>
  <c r="R80" i="42"/>
  <c r="V23" i="42"/>
  <c r="W62" i="42"/>
  <c r="W66" i="42" s="1"/>
  <c r="W72" i="42" s="1"/>
  <c r="W61" i="42"/>
  <c r="W65" i="42" s="1"/>
  <c r="W71" i="42" s="1"/>
  <c r="W60" i="42"/>
  <c r="W64" i="42" s="1"/>
  <c r="W70" i="42" s="1"/>
  <c r="W24" i="42"/>
  <c r="W58" i="43"/>
  <c r="W59" i="43"/>
  <c r="W66" i="43" s="1"/>
  <c r="W60" i="43"/>
  <c r="W67" i="43" s="1"/>
  <c r="V25" i="42"/>
  <c r="U86" i="42"/>
  <c r="U29" i="42"/>
  <c r="U35" i="42" s="1"/>
  <c r="U79" i="42" s="1"/>
  <c r="T36" i="42"/>
  <c r="T77" i="42"/>
  <c r="T80" i="42" s="1"/>
  <c r="T12" i="19" s="1"/>
  <c r="V85" i="42"/>
  <c r="V28" i="42"/>
  <c r="V34" i="42" s="1"/>
  <c r="V78" i="42" s="1"/>
  <c r="W34" i="43" l="1"/>
  <c r="X23" i="43"/>
  <c r="X30" i="43" s="1"/>
  <c r="V73" i="43"/>
  <c r="V13" i="19" s="1"/>
  <c r="Y9" i="50"/>
  <c r="Y6" i="35" s="1"/>
  <c r="Y11" i="50"/>
  <c r="Y7" i="35" s="1"/>
  <c r="Y15" i="49"/>
  <c r="Y11" i="34" s="1"/>
  <c r="Y9" i="49"/>
  <c r="Y8" i="34" s="1"/>
  <c r="Y13" i="49"/>
  <c r="Y10" i="34" s="1"/>
  <c r="Y7" i="49"/>
  <c r="Y6" i="34" s="1"/>
  <c r="Y11" i="49"/>
  <c r="Y9" i="34" s="1"/>
  <c r="Y13" i="50"/>
  <c r="Y8" i="35" s="1"/>
  <c r="X25" i="43"/>
  <c r="X32" i="43" s="1"/>
  <c r="X24" i="43"/>
  <c r="X31" i="43" s="1"/>
  <c r="W65" i="43"/>
  <c r="W69" i="43" s="1"/>
  <c r="W73" i="43" s="1"/>
  <c r="W13" i="19" s="1"/>
  <c r="V27" i="42"/>
  <c r="V33" i="42" s="1"/>
  <c r="V84" i="42"/>
  <c r="W25" i="42"/>
  <c r="R12" i="19"/>
  <c r="X61" i="42"/>
  <c r="X65" i="42" s="1"/>
  <c r="X71" i="42" s="1"/>
  <c r="X60" i="42"/>
  <c r="X64" i="42" s="1"/>
  <c r="X70" i="42" s="1"/>
  <c r="X62" i="42"/>
  <c r="X66" i="42" s="1"/>
  <c r="X72" i="42" s="1"/>
  <c r="X24" i="42"/>
  <c r="X60" i="43"/>
  <c r="X67" i="43" s="1"/>
  <c r="X58" i="43"/>
  <c r="X59" i="43"/>
  <c r="X66" i="43" s="1"/>
  <c r="W28" i="42"/>
  <c r="W34" i="42" s="1"/>
  <c r="W78" i="42" s="1"/>
  <c r="W85" i="42"/>
  <c r="W23" i="42"/>
  <c r="U77" i="42"/>
  <c r="U80" i="42" s="1"/>
  <c r="U12" i="19" s="1"/>
  <c r="U36" i="42"/>
  <c r="V86" i="42"/>
  <c r="V29" i="42"/>
  <c r="V35" i="42" s="1"/>
  <c r="V79" i="42" s="1"/>
  <c r="W73" i="42"/>
  <c r="X34" i="43" l="1"/>
  <c r="Z13" i="50"/>
  <c r="Z8" i="35" s="1"/>
  <c r="Z11" i="50"/>
  <c r="Z7" i="35" s="1"/>
  <c r="Z11" i="49"/>
  <c r="Z9" i="34" s="1"/>
  <c r="Z15" i="49"/>
  <c r="Z11" i="34" s="1"/>
  <c r="Z9" i="50"/>
  <c r="Z6" i="35" s="1"/>
  <c r="Z9" i="49"/>
  <c r="Z8" i="34" s="1"/>
  <c r="Z7" i="49"/>
  <c r="Z6" i="34" s="1"/>
  <c r="Z13" i="49"/>
  <c r="Z10" i="34" s="1"/>
  <c r="Y23" i="43"/>
  <c r="Y30" i="43" s="1"/>
  <c r="Y25" i="43"/>
  <c r="Y32" i="43" s="1"/>
  <c r="Y24" i="43"/>
  <c r="Y31" i="43" s="1"/>
  <c r="X65" i="43"/>
  <c r="X69" i="43" s="1"/>
  <c r="X73" i="42"/>
  <c r="X85" i="42"/>
  <c r="X28" i="42"/>
  <c r="X34" i="42" s="1"/>
  <c r="X78" i="42" s="1"/>
  <c r="W29" i="42"/>
  <c r="W35" i="42" s="1"/>
  <c r="W79" i="42" s="1"/>
  <c r="W86" i="42"/>
  <c r="X23" i="42"/>
  <c r="W84" i="42"/>
  <c r="W27" i="42"/>
  <c r="W33" i="42" s="1"/>
  <c r="X25" i="42"/>
  <c r="Y60" i="42"/>
  <c r="Y64" i="42" s="1"/>
  <c r="Y70" i="42" s="1"/>
  <c r="Y61" i="42"/>
  <c r="Y65" i="42" s="1"/>
  <c r="Y71" i="42" s="1"/>
  <c r="Y62" i="42"/>
  <c r="Y66" i="42" s="1"/>
  <c r="Y72" i="42" s="1"/>
  <c r="Y24" i="42"/>
  <c r="Y58" i="43"/>
  <c r="Y59" i="43"/>
  <c r="Y66" i="43" s="1"/>
  <c r="Y60" i="43"/>
  <c r="Y67" i="43" s="1"/>
  <c r="V36" i="42"/>
  <c r="V77" i="42"/>
  <c r="V80" i="42" s="1"/>
  <c r="V12" i="19" s="1"/>
  <c r="X73" i="43" l="1"/>
  <c r="X13" i="19" s="1"/>
  <c r="AA11" i="50"/>
  <c r="AA7" i="35" s="1"/>
  <c r="AA9" i="50"/>
  <c r="AA6" i="35" s="1"/>
  <c r="AA9" i="49"/>
  <c r="AA8" i="34" s="1"/>
  <c r="AA15" i="49"/>
  <c r="AA11" i="34" s="1"/>
  <c r="AA7" i="49"/>
  <c r="AA6" i="34" s="1"/>
  <c r="AA13" i="49"/>
  <c r="AA10" i="34" s="1"/>
  <c r="AA11" i="49"/>
  <c r="AA9" i="34" s="1"/>
  <c r="AA13" i="50"/>
  <c r="AA8" i="35" s="1"/>
  <c r="Y34" i="43"/>
  <c r="Z25" i="43"/>
  <c r="Z32" i="43" s="1"/>
  <c r="Z23" i="43"/>
  <c r="Z30" i="43" s="1"/>
  <c r="Z24" i="43"/>
  <c r="Z31" i="43" s="1"/>
  <c r="Y65" i="43"/>
  <c r="Y69" i="43" s="1"/>
  <c r="Y28" i="42"/>
  <c r="Y34" i="42" s="1"/>
  <c r="Y78" i="42" s="1"/>
  <c r="Y85" i="42"/>
  <c r="W77" i="42"/>
  <c r="W80" i="42" s="1"/>
  <c r="W12" i="19" s="1"/>
  <c r="W36" i="42"/>
  <c r="Y23" i="42"/>
  <c r="Z60" i="42"/>
  <c r="Z64" i="42" s="1"/>
  <c r="Z70" i="42" s="1"/>
  <c r="Z61" i="42"/>
  <c r="Z65" i="42" s="1"/>
  <c r="Z71" i="42" s="1"/>
  <c r="Z62" i="42"/>
  <c r="Z66" i="42" s="1"/>
  <c r="Z72" i="42" s="1"/>
  <c r="Z24" i="42"/>
  <c r="Z58" i="43"/>
  <c r="Z59" i="43"/>
  <c r="Z66" i="43" s="1"/>
  <c r="Z60" i="43"/>
  <c r="Z67" i="43" s="1"/>
  <c r="Y25" i="42"/>
  <c r="X84" i="42"/>
  <c r="X27" i="42"/>
  <c r="X33" i="42" s="1"/>
  <c r="Y73" i="42"/>
  <c r="X86" i="42"/>
  <c r="X29" i="42"/>
  <c r="X35" i="42" s="1"/>
  <c r="X79" i="42" s="1"/>
  <c r="AB11" i="50" l="1"/>
  <c r="AB7" i="35" s="1"/>
  <c r="AB9" i="50"/>
  <c r="AB6" i="35" s="1"/>
  <c r="AB11" i="49"/>
  <c r="AB9" i="34" s="1"/>
  <c r="AB9" i="49"/>
  <c r="AB8" i="34" s="1"/>
  <c r="AB15" i="49"/>
  <c r="AB11" i="34" s="1"/>
  <c r="AB13" i="49"/>
  <c r="AB10" i="34" s="1"/>
  <c r="AB7" i="49"/>
  <c r="AB6" i="34" s="1"/>
  <c r="AB13" i="50"/>
  <c r="AB8" i="35" s="1"/>
  <c r="Z34" i="43"/>
  <c r="Y73" i="43"/>
  <c r="Y13" i="19" s="1"/>
  <c r="AA23" i="43"/>
  <c r="AA30" i="43" s="1"/>
  <c r="AA24" i="43"/>
  <c r="AA31" i="43" s="1"/>
  <c r="AA25" i="43"/>
  <c r="AA32" i="43" s="1"/>
  <c r="Z65" i="43"/>
  <c r="Z69" i="43" s="1"/>
  <c r="Z73" i="42"/>
  <c r="AA62" i="42"/>
  <c r="AA66" i="42" s="1"/>
  <c r="AA72" i="42" s="1"/>
  <c r="AA60" i="42"/>
  <c r="AA64" i="42" s="1"/>
  <c r="AA70" i="42" s="1"/>
  <c r="AA61" i="42"/>
  <c r="AA65" i="42" s="1"/>
  <c r="AA71" i="42" s="1"/>
  <c r="AA24" i="42"/>
  <c r="AA58" i="43"/>
  <c r="AA59" i="43"/>
  <c r="AA66" i="43" s="1"/>
  <c r="AA60" i="43"/>
  <c r="AA67" i="43" s="1"/>
  <c r="Y84" i="42"/>
  <c r="Y27" i="42"/>
  <c r="Y33" i="42" s="1"/>
  <c r="Y86" i="42"/>
  <c r="Y29" i="42"/>
  <c r="Y35" i="42" s="1"/>
  <c r="Y79" i="42" s="1"/>
  <c r="Z28" i="42"/>
  <c r="Z34" i="42" s="1"/>
  <c r="Z78" i="42" s="1"/>
  <c r="Z85" i="42"/>
  <c r="X77" i="42"/>
  <c r="X80" i="42" s="1"/>
  <c r="X12" i="19" s="1"/>
  <c r="X36" i="42"/>
  <c r="Z23" i="42"/>
  <c r="Z25" i="42"/>
  <c r="Z73" i="43" l="1"/>
  <c r="Z13" i="19" s="1"/>
  <c r="AC11" i="50"/>
  <c r="AC7" i="35" s="1"/>
  <c r="AC9" i="50"/>
  <c r="AC6" i="35" s="1"/>
  <c r="AC13" i="49"/>
  <c r="AC10" i="34" s="1"/>
  <c r="AC15" i="49"/>
  <c r="AC11" i="34" s="1"/>
  <c r="AC9" i="49"/>
  <c r="AC8" i="34" s="1"/>
  <c r="AC11" i="49"/>
  <c r="AC9" i="34" s="1"/>
  <c r="AC7" i="49"/>
  <c r="AC6" i="34" s="1"/>
  <c r="AC13" i="50"/>
  <c r="AC8" i="35" s="1"/>
  <c r="AB23" i="43"/>
  <c r="AB30" i="43" s="1"/>
  <c r="AB25" i="43"/>
  <c r="AB32" i="43" s="1"/>
  <c r="AB24" i="43"/>
  <c r="AB31" i="43" s="1"/>
  <c r="AA34" i="43"/>
  <c r="AA65" i="43"/>
  <c r="AA69" i="43" s="1"/>
  <c r="AA73" i="42"/>
  <c r="AA23" i="42"/>
  <c r="AA25" i="42"/>
  <c r="Z86" i="42"/>
  <c r="Z29" i="42"/>
  <c r="Z35" i="42" s="1"/>
  <c r="Z79" i="42" s="1"/>
  <c r="AA28" i="42"/>
  <c r="AA34" i="42" s="1"/>
  <c r="AA78" i="42" s="1"/>
  <c r="AA85" i="42"/>
  <c r="Y77" i="42"/>
  <c r="Y80" i="42" s="1"/>
  <c r="Y12" i="19" s="1"/>
  <c r="Y36" i="42"/>
  <c r="Z27" i="42"/>
  <c r="Z33" i="42" s="1"/>
  <c r="Z84" i="42"/>
  <c r="AB62" i="42"/>
  <c r="AB66" i="42" s="1"/>
  <c r="AB72" i="42" s="1"/>
  <c r="AB60" i="42"/>
  <c r="AB64" i="42" s="1"/>
  <c r="AB70" i="42" s="1"/>
  <c r="AB61" i="42"/>
  <c r="AB65" i="42" s="1"/>
  <c r="AB71" i="42" s="1"/>
  <c r="AB24" i="42"/>
  <c r="AB59" i="43"/>
  <c r="AB66" i="43" s="1"/>
  <c r="AB58" i="43"/>
  <c r="AB60" i="43"/>
  <c r="AB67" i="43" s="1"/>
  <c r="AB34" i="43" l="1"/>
  <c r="AD13" i="49"/>
  <c r="AD10" i="34" s="1"/>
  <c r="AD11" i="50"/>
  <c r="AD7" i="35" s="1"/>
  <c r="AD7" i="49"/>
  <c r="AD6" i="34" s="1"/>
  <c r="AD11" i="49"/>
  <c r="AD9" i="34" s="1"/>
  <c r="AD9" i="50"/>
  <c r="AD6" i="35" s="1"/>
  <c r="AD15" i="49"/>
  <c r="AD11" i="34" s="1"/>
  <c r="AD9" i="49"/>
  <c r="AD8" i="34" s="1"/>
  <c r="AD13" i="50"/>
  <c r="AD8" i="35" s="1"/>
  <c r="AC24" i="43"/>
  <c r="AC31" i="43" s="1"/>
  <c r="AC23" i="43"/>
  <c r="AC30" i="43" s="1"/>
  <c r="AA73" i="43"/>
  <c r="AA13" i="19" s="1"/>
  <c r="AC25" i="43"/>
  <c r="AC32" i="43" s="1"/>
  <c r="AB65" i="43"/>
  <c r="AB69" i="43" s="1"/>
  <c r="AB85" i="42"/>
  <c r="AB28" i="42"/>
  <c r="AB34" i="42" s="1"/>
  <c r="AB78" i="42" s="1"/>
  <c r="AB25" i="42"/>
  <c r="AB73" i="42"/>
  <c r="AA86" i="42"/>
  <c r="AA29" i="42"/>
  <c r="AA35" i="42" s="1"/>
  <c r="AA79" i="42" s="1"/>
  <c r="Z36" i="42"/>
  <c r="Z77" i="42"/>
  <c r="Z80" i="42" s="1"/>
  <c r="Z12" i="19" s="1"/>
  <c r="AC62" i="42"/>
  <c r="AC66" i="42" s="1"/>
  <c r="AC72" i="42" s="1"/>
  <c r="AC61" i="42"/>
  <c r="AC65" i="42" s="1"/>
  <c r="AC71" i="42" s="1"/>
  <c r="AC60" i="42"/>
  <c r="AC64" i="42" s="1"/>
  <c r="AC70" i="42" s="1"/>
  <c r="AC24" i="42"/>
  <c r="AC58" i="43"/>
  <c r="AC59" i="43"/>
  <c r="AC66" i="43" s="1"/>
  <c r="AC60" i="43"/>
  <c r="AC67" i="43" s="1"/>
  <c r="AB23" i="42"/>
  <c r="AA84" i="42"/>
  <c r="AA27" i="42"/>
  <c r="AA33" i="42" s="1"/>
  <c r="AB73" i="43" l="1"/>
  <c r="AB13" i="19" s="1"/>
  <c r="AE11" i="50"/>
  <c r="AE7" i="35" s="1"/>
  <c r="AE9" i="50"/>
  <c r="AE6" i="35" s="1"/>
  <c r="AE11" i="49"/>
  <c r="AE9" i="34" s="1"/>
  <c r="AE9" i="49"/>
  <c r="AE8" i="34" s="1"/>
  <c r="AE15" i="49"/>
  <c r="AE11" i="34" s="1"/>
  <c r="AE7" i="49"/>
  <c r="AE6" i="34" s="1"/>
  <c r="AE13" i="49"/>
  <c r="AE10" i="34" s="1"/>
  <c r="AE13" i="50"/>
  <c r="AE8" i="35" s="1"/>
  <c r="AD25" i="43"/>
  <c r="AD32" i="43" s="1"/>
  <c r="AC34" i="43"/>
  <c r="AD24" i="43"/>
  <c r="AD31" i="43" s="1"/>
  <c r="AD23" i="43"/>
  <c r="AD30" i="43" s="1"/>
  <c r="AC65" i="43"/>
  <c r="AC69" i="43" s="1"/>
  <c r="AC23" i="42"/>
  <c r="AC25" i="42"/>
  <c r="AA77" i="42"/>
  <c r="AA80" i="42" s="1"/>
  <c r="AA12" i="19" s="1"/>
  <c r="AA36" i="42"/>
  <c r="AC85" i="42"/>
  <c r="AC28" i="42"/>
  <c r="AC34" i="42" s="1"/>
  <c r="AC78" i="42" s="1"/>
  <c r="AC73" i="42"/>
  <c r="AB86" i="42"/>
  <c r="AB29" i="42"/>
  <c r="AB35" i="42" s="1"/>
  <c r="AB79" i="42" s="1"/>
  <c r="AB84" i="42"/>
  <c r="AB27" i="42"/>
  <c r="AB33" i="42" s="1"/>
  <c r="AD61" i="42"/>
  <c r="AD65" i="42" s="1"/>
  <c r="AD71" i="42" s="1"/>
  <c r="AD62" i="42"/>
  <c r="AD66" i="42" s="1"/>
  <c r="AD72" i="42" s="1"/>
  <c r="AD60" i="42"/>
  <c r="AD64" i="42" s="1"/>
  <c r="AD70" i="42" s="1"/>
  <c r="AD24" i="42"/>
  <c r="AD58" i="43"/>
  <c r="AD59" i="43"/>
  <c r="AD66" i="43" s="1"/>
  <c r="AD60" i="43"/>
  <c r="AD67" i="43" s="1"/>
  <c r="AD34" i="43" l="1"/>
  <c r="AF13" i="50"/>
  <c r="AF8" i="35" s="1"/>
  <c r="AF9" i="50"/>
  <c r="AF6" i="35" s="1"/>
  <c r="AF11" i="50"/>
  <c r="AF7" i="35" s="1"/>
  <c r="AF13" i="49"/>
  <c r="AF10" i="34" s="1"/>
  <c r="AF7" i="49"/>
  <c r="AF6" i="34" s="1"/>
  <c r="AF11" i="49"/>
  <c r="AF9" i="34" s="1"/>
  <c r="AF15" i="49"/>
  <c r="AF11" i="34" s="1"/>
  <c r="AF9" i="49"/>
  <c r="AF8" i="34" s="1"/>
  <c r="AC73" i="43"/>
  <c r="AC13" i="19" s="1"/>
  <c r="AE23" i="43"/>
  <c r="AE30" i="43" s="1"/>
  <c r="AE24" i="43"/>
  <c r="AE31" i="43" s="1"/>
  <c r="AE25" i="43"/>
  <c r="AE32" i="43" s="1"/>
  <c r="AD65" i="43"/>
  <c r="AD69" i="43" s="1"/>
  <c r="AD73" i="42"/>
  <c r="AD23" i="42"/>
  <c r="AB77" i="42"/>
  <c r="AB80" i="42" s="1"/>
  <c r="AB12" i="19" s="1"/>
  <c r="AB36" i="42"/>
  <c r="AC29" i="42"/>
  <c r="AC35" i="42" s="1"/>
  <c r="AC79" i="42" s="1"/>
  <c r="AC86" i="42"/>
  <c r="AE61" i="42"/>
  <c r="AE65" i="42" s="1"/>
  <c r="AE71" i="42" s="1"/>
  <c r="AE60" i="42"/>
  <c r="AE64" i="42" s="1"/>
  <c r="AE70" i="42" s="1"/>
  <c r="AE62" i="42"/>
  <c r="AE66" i="42" s="1"/>
  <c r="AE72" i="42" s="1"/>
  <c r="AE24" i="42"/>
  <c r="AE58" i="43"/>
  <c r="AE59" i="43"/>
  <c r="AE66" i="43" s="1"/>
  <c r="AE60" i="43"/>
  <c r="AE67" i="43" s="1"/>
  <c r="AD25" i="42"/>
  <c r="AD85" i="42"/>
  <c r="AD28" i="42"/>
  <c r="AD34" i="42" s="1"/>
  <c r="AD78" i="42" s="1"/>
  <c r="AC84" i="42"/>
  <c r="AC27" i="42"/>
  <c r="AC33" i="42" s="1"/>
  <c r="AD73" i="43" l="1"/>
  <c r="AD13" i="19" s="1"/>
  <c r="AF25" i="43"/>
  <c r="AF32" i="43" s="1"/>
  <c r="AF23" i="43"/>
  <c r="AF30" i="43" s="1"/>
  <c r="AF24" i="43"/>
  <c r="AF31" i="43" s="1"/>
  <c r="AE34" i="43"/>
  <c r="AE65" i="43"/>
  <c r="AE69" i="43" s="1"/>
  <c r="AF60" i="42"/>
  <c r="AF64" i="42" s="1"/>
  <c r="AF70" i="42" s="1"/>
  <c r="AF61" i="42"/>
  <c r="AF65" i="42" s="1"/>
  <c r="AF71" i="42" s="1"/>
  <c r="AF62" i="42"/>
  <c r="AF66" i="42" s="1"/>
  <c r="AF72" i="42" s="1"/>
  <c r="AF24" i="42"/>
  <c r="AF58" i="43"/>
  <c r="AF59" i="43"/>
  <c r="AF66" i="43" s="1"/>
  <c r="AF60" i="43"/>
  <c r="AF67" i="43" s="1"/>
  <c r="AE73" i="42"/>
  <c r="AD86" i="42"/>
  <c r="AD29" i="42"/>
  <c r="AD35" i="42" s="1"/>
  <c r="AD79" i="42" s="1"/>
  <c r="AC36" i="42"/>
  <c r="AC77" i="42"/>
  <c r="AC80" i="42" s="1"/>
  <c r="AC12" i="19" s="1"/>
  <c r="AE85" i="42"/>
  <c r="AE28" i="42"/>
  <c r="AE34" i="42" s="1"/>
  <c r="AE78" i="42" s="1"/>
  <c r="AE25" i="42"/>
  <c r="AE23" i="42"/>
  <c r="AD84" i="42"/>
  <c r="AD27" i="42"/>
  <c r="AD33" i="42" s="1"/>
  <c r="AG13" i="50" l="1"/>
  <c r="AG8" i="35" s="1"/>
  <c r="AH11" i="50"/>
  <c r="AH7" i="35" s="1"/>
  <c r="AH9" i="50"/>
  <c r="AH6" i="35" s="1"/>
  <c r="AH15" i="49"/>
  <c r="AH11" i="34" s="1"/>
  <c r="AH11" i="49"/>
  <c r="AH9" i="34" s="1"/>
  <c r="AH13" i="49"/>
  <c r="AH10" i="34" s="1"/>
  <c r="AH7" i="49"/>
  <c r="AH6" i="34" s="1"/>
  <c r="AH9" i="49"/>
  <c r="AH8" i="34" s="1"/>
  <c r="AH13" i="50"/>
  <c r="AH8" i="35" s="1"/>
  <c r="AG11" i="50"/>
  <c r="AG7" i="35" s="1"/>
  <c r="AG9" i="50"/>
  <c r="AG6" i="35" s="1"/>
  <c r="AG13" i="49"/>
  <c r="AG10" i="34" s="1"/>
  <c r="AG7" i="49"/>
  <c r="AG6" i="34" s="1"/>
  <c r="AG11" i="49"/>
  <c r="AG9" i="34" s="1"/>
  <c r="AG9" i="49"/>
  <c r="AG8" i="34" s="1"/>
  <c r="AG15" i="49"/>
  <c r="AG11" i="34" s="1"/>
  <c r="AF34" i="43"/>
  <c r="AG24" i="43"/>
  <c r="AG31" i="43" s="1"/>
  <c r="AG23" i="43"/>
  <c r="AG30" i="43" s="1"/>
  <c r="AE73" i="43"/>
  <c r="AE13" i="19" s="1"/>
  <c r="AG25" i="43"/>
  <c r="AG32" i="43" s="1"/>
  <c r="AF65" i="43"/>
  <c r="AF69" i="43" s="1"/>
  <c r="AG60" i="42"/>
  <c r="AG64" i="42" s="1"/>
  <c r="AG70" i="42" s="1"/>
  <c r="AG61" i="42"/>
  <c r="AG65" i="42" s="1"/>
  <c r="AG71" i="42" s="1"/>
  <c r="AG62" i="42"/>
  <c r="AG66" i="42" s="1"/>
  <c r="AG72" i="42" s="1"/>
  <c r="AG24" i="42"/>
  <c r="AG58" i="43"/>
  <c r="AG59" i="43"/>
  <c r="AG66" i="43" s="1"/>
  <c r="AG60" i="43"/>
  <c r="AG67" i="43" s="1"/>
  <c r="AF28" i="42"/>
  <c r="AF34" i="42" s="1"/>
  <c r="AF78" i="42" s="1"/>
  <c r="AF85" i="42"/>
  <c r="AD77" i="42"/>
  <c r="AD80" i="42" s="1"/>
  <c r="AD12" i="19" s="1"/>
  <c r="AD36" i="42"/>
  <c r="AF23" i="42"/>
  <c r="AF25" i="42"/>
  <c r="AE84" i="42"/>
  <c r="AE27" i="42"/>
  <c r="AE33" i="42" s="1"/>
  <c r="AE86" i="42"/>
  <c r="AE29" i="42"/>
  <c r="AE35" i="42" s="1"/>
  <c r="AE79" i="42" s="1"/>
  <c r="AF73" i="42"/>
  <c r="AF73" i="43" l="1"/>
  <c r="AF13" i="19" s="1"/>
  <c r="AG34" i="43"/>
  <c r="AI11" i="50"/>
  <c r="AI7" i="35" s="1"/>
  <c r="AI9" i="50"/>
  <c r="AI6" i="35" s="1"/>
  <c r="AI15" i="49"/>
  <c r="AI11" i="34" s="1"/>
  <c r="AI13" i="49"/>
  <c r="AI10" i="34" s="1"/>
  <c r="AI11" i="49"/>
  <c r="AI9" i="34" s="1"/>
  <c r="AI7" i="49"/>
  <c r="AI6" i="34" s="1"/>
  <c r="AI9" i="49"/>
  <c r="AI8" i="34" s="1"/>
  <c r="AI13" i="50"/>
  <c r="AI8" i="35" s="1"/>
  <c r="AH23" i="43"/>
  <c r="AH30" i="43" s="1"/>
  <c r="AH25" i="43"/>
  <c r="AH32" i="43" s="1"/>
  <c r="AH24" i="43"/>
  <c r="AH31" i="43" s="1"/>
  <c r="AG65" i="43"/>
  <c r="AG69" i="43" s="1"/>
  <c r="AF84" i="42"/>
  <c r="AF27" i="42"/>
  <c r="AF33" i="42" s="1"/>
  <c r="AG85" i="42"/>
  <c r="AG28" i="42"/>
  <c r="AG34" i="42" s="1"/>
  <c r="AG78" i="42" s="1"/>
  <c r="AH62" i="42"/>
  <c r="AH66" i="42" s="1"/>
  <c r="AH72" i="42" s="1"/>
  <c r="AH60" i="42"/>
  <c r="AH64" i="42" s="1"/>
  <c r="AH70" i="42" s="1"/>
  <c r="AH61" i="42"/>
  <c r="AH65" i="42" s="1"/>
  <c r="AH71" i="42" s="1"/>
  <c r="AH24" i="42"/>
  <c r="AH58" i="43"/>
  <c r="AH59" i="43"/>
  <c r="AH66" i="43" s="1"/>
  <c r="AH60" i="43"/>
  <c r="AH67" i="43" s="1"/>
  <c r="AG23" i="42"/>
  <c r="AF86" i="42"/>
  <c r="AF29" i="42"/>
  <c r="AF35" i="42" s="1"/>
  <c r="AF79" i="42" s="1"/>
  <c r="AG25" i="42"/>
  <c r="AE36" i="42"/>
  <c r="AE77" i="42"/>
  <c r="AE80" i="42" s="1"/>
  <c r="AE12" i="19" s="1"/>
  <c r="AG73" i="42"/>
  <c r="AG73" i="43" l="1"/>
  <c r="AG13" i="19" s="1"/>
  <c r="AH34" i="43"/>
  <c r="AJ13" i="50"/>
  <c r="AJ8" i="35" s="1"/>
  <c r="AJ9" i="50"/>
  <c r="AJ6" i="35" s="1"/>
  <c r="AJ15" i="49"/>
  <c r="AJ11" i="34" s="1"/>
  <c r="AJ11" i="50"/>
  <c r="AJ7" i="35" s="1"/>
  <c r="AJ13" i="49"/>
  <c r="AJ10" i="34" s="1"/>
  <c r="AJ11" i="49"/>
  <c r="AJ9" i="34" s="1"/>
  <c r="AJ7" i="49"/>
  <c r="AJ6" i="34" s="1"/>
  <c r="AJ9" i="49"/>
  <c r="AJ8" i="34" s="1"/>
  <c r="AI23" i="43"/>
  <c r="AI30" i="43" s="1"/>
  <c r="AI24" i="43"/>
  <c r="AI31" i="43" s="1"/>
  <c r="AI25" i="43"/>
  <c r="AI32" i="43" s="1"/>
  <c r="AH65" i="43"/>
  <c r="AH69" i="43" s="1"/>
  <c r="AG84" i="42"/>
  <c r="AG27" i="42"/>
  <c r="AG33" i="42" s="1"/>
  <c r="AH73" i="42"/>
  <c r="AH25" i="42"/>
  <c r="AI62" i="42"/>
  <c r="AI66" i="42" s="1"/>
  <c r="AI72" i="42" s="1"/>
  <c r="AI60" i="42"/>
  <c r="AI64" i="42" s="1"/>
  <c r="AI70" i="42" s="1"/>
  <c r="AI61" i="42"/>
  <c r="AI65" i="42" s="1"/>
  <c r="AI71" i="42" s="1"/>
  <c r="AI24" i="42"/>
  <c r="AI58" i="43"/>
  <c r="AI59" i="43"/>
  <c r="AI66" i="43" s="1"/>
  <c r="AI60" i="43"/>
  <c r="AI67" i="43" s="1"/>
  <c r="AG86" i="42"/>
  <c r="AG29" i="42"/>
  <c r="AG35" i="42" s="1"/>
  <c r="AG79" i="42" s="1"/>
  <c r="AH85" i="42"/>
  <c r="AH28" i="42"/>
  <c r="AH34" i="42" s="1"/>
  <c r="AH78" i="42" s="1"/>
  <c r="AF77" i="42"/>
  <c r="AF80" i="42" s="1"/>
  <c r="AF12" i="19" s="1"/>
  <c r="AF36" i="42"/>
  <c r="AH23" i="42"/>
  <c r="AH73" i="43" l="1"/>
  <c r="AH13" i="19" s="1"/>
  <c r="AK9" i="50"/>
  <c r="AK6" i="35" s="1"/>
  <c r="AK15" i="49"/>
  <c r="AK11" i="34" s="1"/>
  <c r="AK11" i="50"/>
  <c r="AK7" i="35" s="1"/>
  <c r="AK13" i="49"/>
  <c r="AK10" i="34" s="1"/>
  <c r="AK11" i="49"/>
  <c r="AK9" i="34" s="1"/>
  <c r="AK7" i="49"/>
  <c r="AK6" i="34" s="1"/>
  <c r="AK9" i="49"/>
  <c r="AK8" i="34" s="1"/>
  <c r="AK13" i="50"/>
  <c r="AK8" i="35" s="1"/>
  <c r="AJ25" i="43"/>
  <c r="AJ32" i="43" s="1"/>
  <c r="AJ23" i="43"/>
  <c r="AJ30" i="43" s="1"/>
  <c r="AI34" i="43"/>
  <c r="AJ24" i="43"/>
  <c r="AJ31" i="43" s="1"/>
  <c r="AI65" i="43"/>
  <c r="AI69" i="43" s="1"/>
  <c r="AJ62" i="42"/>
  <c r="AJ66" i="42" s="1"/>
  <c r="AJ72" i="42" s="1"/>
  <c r="AJ60" i="42"/>
  <c r="AJ64" i="42" s="1"/>
  <c r="AJ70" i="42" s="1"/>
  <c r="AJ61" i="42"/>
  <c r="AJ65" i="42" s="1"/>
  <c r="AJ71" i="42" s="1"/>
  <c r="AJ24" i="42"/>
  <c r="AJ58" i="43"/>
  <c r="AJ60" i="43"/>
  <c r="AJ67" i="43" s="1"/>
  <c r="AJ59" i="43"/>
  <c r="AJ66" i="43" s="1"/>
  <c r="AI73" i="42"/>
  <c r="AH84" i="42"/>
  <c r="AH27" i="42"/>
  <c r="AH33" i="42" s="1"/>
  <c r="AH86" i="42"/>
  <c r="AH29" i="42"/>
  <c r="AH35" i="42" s="1"/>
  <c r="AH79" i="42" s="1"/>
  <c r="AI23" i="42"/>
  <c r="AI25" i="42"/>
  <c r="AG77" i="42"/>
  <c r="AG80" i="42" s="1"/>
  <c r="AG12" i="19" s="1"/>
  <c r="AG36" i="42"/>
  <c r="AI85" i="42"/>
  <c r="AI28" i="42"/>
  <c r="AI34" i="42" s="1"/>
  <c r="AI78" i="42" s="1"/>
  <c r="AK23" i="43" l="1"/>
  <c r="AK30" i="43" s="1"/>
  <c r="AJ34" i="43"/>
  <c r="AL13" i="50"/>
  <c r="AL8" i="35" s="1"/>
  <c r="AL11" i="50"/>
  <c r="AL7" i="35" s="1"/>
  <c r="AL15" i="49"/>
  <c r="AL11" i="34" s="1"/>
  <c r="AL9" i="50"/>
  <c r="AL6" i="35" s="1"/>
  <c r="AL13" i="49"/>
  <c r="AL10" i="34" s="1"/>
  <c r="AL7" i="49"/>
  <c r="AL6" i="34" s="1"/>
  <c r="AL11" i="49"/>
  <c r="AL9" i="34" s="1"/>
  <c r="AL9" i="49"/>
  <c r="AL8" i="34" s="1"/>
  <c r="AI73" i="43"/>
  <c r="AI13" i="19" s="1"/>
  <c r="AK24" i="43"/>
  <c r="AK31" i="43" s="1"/>
  <c r="AK25" i="43"/>
  <c r="AK32" i="43" s="1"/>
  <c r="AJ65" i="43"/>
  <c r="AJ69" i="43" s="1"/>
  <c r="AJ73" i="43" s="1"/>
  <c r="AJ13" i="19" s="1"/>
  <c r="AI84" i="42"/>
  <c r="AI27" i="42"/>
  <c r="AI33" i="42" s="1"/>
  <c r="AJ23" i="42"/>
  <c r="AJ25" i="42"/>
  <c r="AH77" i="42"/>
  <c r="AH80" i="42" s="1"/>
  <c r="AH12" i="19" s="1"/>
  <c r="AH36" i="42"/>
  <c r="AJ85" i="42"/>
  <c r="AJ28" i="42"/>
  <c r="AJ34" i="42" s="1"/>
  <c r="AJ78" i="42" s="1"/>
  <c r="AK62" i="42"/>
  <c r="AK66" i="42" s="1"/>
  <c r="AK72" i="42" s="1"/>
  <c r="AK60" i="42"/>
  <c r="AK64" i="42" s="1"/>
  <c r="AK70" i="42" s="1"/>
  <c r="AK61" i="42"/>
  <c r="AK65" i="42" s="1"/>
  <c r="AK71" i="42" s="1"/>
  <c r="AK24" i="42"/>
  <c r="AK58" i="43"/>
  <c r="AK59" i="43"/>
  <c r="AK66" i="43" s="1"/>
  <c r="AK60" i="43"/>
  <c r="AK67" i="43" s="1"/>
  <c r="AJ73" i="42"/>
  <c r="AI86" i="42"/>
  <c r="AI29" i="42"/>
  <c r="AI35" i="42" s="1"/>
  <c r="AI79" i="42" s="1"/>
  <c r="AK34" i="43" l="1"/>
  <c r="AM9" i="50"/>
  <c r="AM6" i="35" s="1"/>
  <c r="AM11" i="50"/>
  <c r="AM7" i="35" s="1"/>
  <c r="AM15" i="49"/>
  <c r="AM11" i="34" s="1"/>
  <c r="AM9" i="49"/>
  <c r="AM8" i="34" s="1"/>
  <c r="AM7" i="49"/>
  <c r="AM6" i="34" s="1"/>
  <c r="AM13" i="49"/>
  <c r="AM10" i="34" s="1"/>
  <c r="AM11" i="49"/>
  <c r="AM9" i="34" s="1"/>
  <c r="AM13" i="50"/>
  <c r="AM8" i="35" s="1"/>
  <c r="AL23" i="43"/>
  <c r="AL30" i="43" s="1"/>
  <c r="AL24" i="43"/>
  <c r="AL31" i="43" s="1"/>
  <c r="AL25" i="43"/>
  <c r="AL32" i="43" s="1"/>
  <c r="AK65" i="43"/>
  <c r="AK69" i="43" s="1"/>
  <c r="AL61" i="42"/>
  <c r="AL65" i="42" s="1"/>
  <c r="AL71" i="42" s="1"/>
  <c r="AL62" i="42"/>
  <c r="AL66" i="42" s="1"/>
  <c r="AL72" i="42" s="1"/>
  <c r="AL60" i="42"/>
  <c r="AL64" i="42" s="1"/>
  <c r="AL70" i="42" s="1"/>
  <c r="AL24" i="42"/>
  <c r="AL58" i="43"/>
  <c r="AL59" i="43"/>
  <c r="AL66" i="43" s="1"/>
  <c r="AL60" i="43"/>
  <c r="AL67" i="43" s="1"/>
  <c r="AK23" i="42"/>
  <c r="AK28" i="42"/>
  <c r="AK34" i="42" s="1"/>
  <c r="AK78" i="42" s="1"/>
  <c r="AK85" i="42"/>
  <c r="AJ29" i="42"/>
  <c r="AJ35" i="42" s="1"/>
  <c r="AJ79" i="42" s="1"/>
  <c r="AJ86" i="42"/>
  <c r="AK73" i="42"/>
  <c r="AJ84" i="42"/>
  <c r="AJ27" i="42"/>
  <c r="AJ33" i="42" s="1"/>
  <c r="AK25" i="42"/>
  <c r="AI77" i="42"/>
  <c r="AI80" i="42" s="1"/>
  <c r="AI12" i="19" s="1"/>
  <c r="AI36" i="42"/>
  <c r="AM25" i="43" l="1"/>
  <c r="AM32" i="43" s="1"/>
  <c r="AK73" i="43"/>
  <c r="AK13" i="19" s="1"/>
  <c r="AN11" i="50"/>
  <c r="AN9" i="50"/>
  <c r="AN11" i="49"/>
  <c r="AN9" i="49"/>
  <c r="AN7" i="49"/>
  <c r="AN13" i="49"/>
  <c r="AN15" i="49"/>
  <c r="AN13" i="50"/>
  <c r="C7" i="47"/>
  <c r="AM24" i="43"/>
  <c r="AM31" i="43" s="1"/>
  <c r="AL34" i="43"/>
  <c r="AM23" i="43"/>
  <c r="AM30" i="43" s="1"/>
  <c r="AL65" i="43"/>
  <c r="AL69" i="43" s="1"/>
  <c r="AL25" i="42"/>
  <c r="AL85" i="42"/>
  <c r="AL28" i="42"/>
  <c r="AL34" i="42" s="1"/>
  <c r="AL78" i="42" s="1"/>
  <c r="AL23" i="42"/>
  <c r="AK29" i="42"/>
  <c r="AK35" i="42" s="1"/>
  <c r="AK79" i="42" s="1"/>
  <c r="AK86" i="42"/>
  <c r="AK84" i="42"/>
  <c r="AK27" i="42"/>
  <c r="AK33" i="42" s="1"/>
  <c r="AM61" i="42"/>
  <c r="AM65" i="42" s="1"/>
  <c r="AM71" i="42" s="1"/>
  <c r="AM60" i="42"/>
  <c r="AM64" i="42" s="1"/>
  <c r="AM70" i="42" s="1"/>
  <c r="AM62" i="42"/>
  <c r="AM66" i="42" s="1"/>
  <c r="AM72" i="42" s="1"/>
  <c r="AM24" i="42"/>
  <c r="AM58" i="43"/>
  <c r="AM59" i="43"/>
  <c r="AM66" i="43" s="1"/>
  <c r="AM60" i="43"/>
  <c r="AM67" i="43" s="1"/>
  <c r="AJ77" i="42"/>
  <c r="AJ80" i="42" s="1"/>
  <c r="AJ12" i="19" s="1"/>
  <c r="AJ36" i="42"/>
  <c r="AL73" i="42"/>
  <c r="AN6" i="34" l="1"/>
  <c r="C7" i="49"/>
  <c r="AN9" i="34"/>
  <c r="C11" i="49"/>
  <c r="AN8" i="35"/>
  <c r="C13" i="50"/>
  <c r="AN7" i="35"/>
  <c r="C11" i="50"/>
  <c r="AN11" i="34"/>
  <c r="C15" i="49"/>
  <c r="AN10" i="34"/>
  <c r="C13" i="49"/>
  <c r="AN8" i="34"/>
  <c r="C9" i="49"/>
  <c r="AN6" i="35"/>
  <c r="C9" i="50"/>
  <c r="AM34" i="43"/>
  <c r="AL73" i="43"/>
  <c r="AL13" i="19" s="1"/>
  <c r="AM65" i="43"/>
  <c r="AM69" i="43" s="1"/>
  <c r="AM73" i="43" s="1"/>
  <c r="AM13" i="19" s="1"/>
  <c r="AM25" i="42"/>
  <c r="AM23" i="42"/>
  <c r="AM28" i="42"/>
  <c r="AM34" i="42" s="1"/>
  <c r="AM78" i="42" s="1"/>
  <c r="AM85" i="42"/>
  <c r="AM73" i="42"/>
  <c r="AL29" i="42"/>
  <c r="AL35" i="42" s="1"/>
  <c r="AL79" i="42" s="1"/>
  <c r="AL86" i="42"/>
  <c r="AL84" i="42"/>
  <c r="AL27" i="42"/>
  <c r="AL33" i="42" s="1"/>
  <c r="AK36" i="42"/>
  <c r="AK77" i="42"/>
  <c r="AK80" i="42" s="1"/>
  <c r="AK12" i="19" s="1"/>
  <c r="AN25" i="42" l="1"/>
  <c r="C7" i="42"/>
  <c r="AM84" i="42"/>
  <c r="AM27" i="42"/>
  <c r="AM33" i="42" s="1"/>
  <c r="AN23" i="42"/>
  <c r="C5" i="42"/>
  <c r="AN58" i="43"/>
  <c r="AN65" i="43" s="1"/>
  <c r="C65" i="43" s="1"/>
  <c r="C40" i="43"/>
  <c r="AM86" i="42"/>
  <c r="AM29" i="42"/>
  <c r="AM35" i="42" s="1"/>
  <c r="AM79" i="42" s="1"/>
  <c r="AN62" i="42"/>
  <c r="C44" i="42"/>
  <c r="AN24" i="42"/>
  <c r="C6" i="42"/>
  <c r="AN61" i="42"/>
  <c r="C43" i="42"/>
  <c r="AN60" i="43"/>
  <c r="AN67" i="43" s="1"/>
  <c r="C67" i="43" s="1"/>
  <c r="C42" i="43"/>
  <c r="AN60" i="42"/>
  <c r="C42" i="42"/>
  <c r="AL77" i="42"/>
  <c r="AL80" i="42" s="1"/>
  <c r="AL12" i="19" s="1"/>
  <c r="AL36" i="42"/>
  <c r="AN59" i="43"/>
  <c r="AN66" i="43" s="1"/>
  <c r="C41" i="43"/>
  <c r="AN25" i="43" l="1"/>
  <c r="C7" i="43"/>
  <c r="AN23" i="43"/>
  <c r="C5" i="43"/>
  <c r="AN24" i="43"/>
  <c r="C6" i="43"/>
  <c r="AN69" i="43"/>
  <c r="C69" i="43" s="1"/>
  <c r="C66" i="43"/>
  <c r="C58" i="43"/>
  <c r="C59" i="43"/>
  <c r="AM77" i="42"/>
  <c r="AM80" i="42" s="1"/>
  <c r="AM12" i="19" s="1"/>
  <c r="AM36" i="42"/>
  <c r="AN28" i="42"/>
  <c r="AN85" i="42"/>
  <c r="C85" i="42" s="1"/>
  <c r="C24" i="42"/>
  <c r="AN64" i="42"/>
  <c r="C60" i="42"/>
  <c r="AN66" i="42"/>
  <c r="C62" i="42"/>
  <c r="AN65" i="42"/>
  <c r="C61" i="42"/>
  <c r="AN84" i="42"/>
  <c r="C84" i="42" s="1"/>
  <c r="AN27" i="42"/>
  <c r="C23" i="42"/>
  <c r="C60" i="43"/>
  <c r="AN86" i="42"/>
  <c r="C86" i="42" s="1"/>
  <c r="AN29" i="42"/>
  <c r="C25" i="42"/>
  <c r="AN31" i="43" l="1"/>
  <c r="C31" i="43" s="1"/>
  <c r="C24" i="43"/>
  <c r="AN30" i="43"/>
  <c r="C23" i="43"/>
  <c r="AN32" i="43"/>
  <c r="C32" i="43" s="1"/>
  <c r="C25" i="43"/>
  <c r="AN34" i="42"/>
  <c r="C28" i="42"/>
  <c r="AN35" i="42"/>
  <c r="C29" i="42"/>
  <c r="AN71" i="42"/>
  <c r="C71" i="42" s="1"/>
  <c r="C65" i="42"/>
  <c r="AN72" i="42"/>
  <c r="C72" i="42" s="1"/>
  <c r="C66" i="42"/>
  <c r="AN70" i="42"/>
  <c r="C64" i="42"/>
  <c r="AN33" i="42"/>
  <c r="C27" i="42"/>
  <c r="AN34" i="43" l="1"/>
  <c r="C30" i="43"/>
  <c r="AN36" i="42"/>
  <c r="C36" i="42" s="1"/>
  <c r="AN77" i="42"/>
  <c r="C33" i="42"/>
  <c r="AN79" i="42"/>
  <c r="C79" i="42" s="1"/>
  <c r="C35" i="42"/>
  <c r="AN73" i="42"/>
  <c r="C73" i="42" s="1"/>
  <c r="C70" i="42"/>
  <c r="AN78" i="42"/>
  <c r="C78" i="42" s="1"/>
  <c r="C34" i="42"/>
  <c r="C34" i="43" l="1"/>
  <c r="AN73" i="43"/>
  <c r="AN80" i="42"/>
  <c r="C77" i="42"/>
  <c r="E54" i="2"/>
  <c r="E58" i="2" s="1"/>
  <c r="AN13" i="19" l="1"/>
  <c r="C73" i="43"/>
  <c r="AN12" i="19"/>
  <c r="C80" i="42"/>
  <c r="C22" i="36" l="1"/>
  <c r="C21" i="36"/>
  <c r="C20" i="36"/>
  <c r="C19" i="36"/>
  <c r="C18" i="36"/>
  <c r="C17" i="36"/>
  <c r="C10" i="36"/>
  <c r="C9" i="36"/>
  <c r="C8" i="36"/>
  <c r="C7" i="36"/>
  <c r="C6" i="36"/>
  <c r="C5" i="36"/>
  <c r="D11" i="36"/>
  <c r="AH11" i="36"/>
  <c r="AI11" i="36"/>
  <c r="AJ11" i="36"/>
  <c r="AK11" i="36"/>
  <c r="AL11" i="36"/>
  <c r="AM11" i="36"/>
  <c r="AN11" i="36"/>
  <c r="AH23" i="36"/>
  <c r="AI23" i="36"/>
  <c r="AJ23" i="36"/>
  <c r="AK23" i="36"/>
  <c r="AL23" i="36"/>
  <c r="AM23" i="36"/>
  <c r="AN23" i="36"/>
  <c r="AH29" i="36"/>
  <c r="AI29" i="36"/>
  <c r="AJ29" i="36"/>
  <c r="AK29" i="36"/>
  <c r="AL29" i="36"/>
  <c r="AM29" i="36"/>
  <c r="AN29" i="36"/>
  <c r="AH30" i="36"/>
  <c r="AI30" i="36"/>
  <c r="AJ30" i="36"/>
  <c r="AK30" i="36"/>
  <c r="AL30" i="36"/>
  <c r="AM30" i="36"/>
  <c r="AN30" i="36"/>
  <c r="AH31" i="36"/>
  <c r="AI31" i="36"/>
  <c r="AJ31" i="36"/>
  <c r="AK31" i="36"/>
  <c r="AL31" i="36"/>
  <c r="AM31" i="36"/>
  <c r="AN31" i="36"/>
  <c r="AH32" i="36"/>
  <c r="AI32" i="36"/>
  <c r="AJ32" i="36"/>
  <c r="AK32" i="36"/>
  <c r="AL32" i="36"/>
  <c r="AM32" i="36"/>
  <c r="AN32" i="36"/>
  <c r="AH33" i="36"/>
  <c r="AI33" i="36"/>
  <c r="AJ33" i="36"/>
  <c r="AK33" i="36"/>
  <c r="AL33" i="36"/>
  <c r="AM33" i="36"/>
  <c r="AN33" i="36"/>
  <c r="AH34" i="36"/>
  <c r="AI34" i="36"/>
  <c r="AJ34" i="36"/>
  <c r="AK34" i="36"/>
  <c r="AL34" i="36"/>
  <c r="AM34" i="36"/>
  <c r="AN34" i="36"/>
  <c r="C7" i="24"/>
  <c r="C6" i="24"/>
  <c r="C5" i="24"/>
  <c r="AH8" i="24"/>
  <c r="AI8" i="24"/>
  <c r="AJ8" i="24"/>
  <c r="AK8" i="24"/>
  <c r="AL8" i="24"/>
  <c r="AM8" i="24"/>
  <c r="AN8" i="24"/>
  <c r="C18" i="35"/>
  <c r="C17" i="35"/>
  <c r="C16" i="35"/>
  <c r="C15" i="35"/>
  <c r="C8" i="35"/>
  <c r="C7" i="35"/>
  <c r="C6" i="35"/>
  <c r="C5" i="35"/>
  <c r="D9" i="35"/>
  <c r="AH4" i="35"/>
  <c r="AH24" i="35" s="1"/>
  <c r="AI4" i="35"/>
  <c r="AJ4" i="35"/>
  <c r="AJ34" i="35" s="1"/>
  <c r="AK4" i="35"/>
  <c r="AL4" i="35"/>
  <c r="AL14" i="35" s="1"/>
  <c r="AM4" i="35"/>
  <c r="AM14" i="35" s="1"/>
  <c r="AN4" i="35"/>
  <c r="AN24" i="35" s="1"/>
  <c r="AH9" i="35"/>
  <c r="AI9" i="35"/>
  <c r="AJ9" i="35"/>
  <c r="AK9" i="35"/>
  <c r="AL9" i="35"/>
  <c r="AM9" i="35"/>
  <c r="AN9" i="35"/>
  <c r="AH14" i="35"/>
  <c r="AI14" i="35"/>
  <c r="AH19" i="35"/>
  <c r="AI19" i="35"/>
  <c r="AJ19" i="35"/>
  <c r="AK19" i="35"/>
  <c r="AL19" i="35"/>
  <c r="AM19" i="35"/>
  <c r="AN19" i="35"/>
  <c r="AI24" i="35"/>
  <c r="AH25" i="35"/>
  <c r="AI25" i="35"/>
  <c r="AJ25" i="35"/>
  <c r="AK25" i="35"/>
  <c r="AL25" i="35"/>
  <c r="AM25" i="35"/>
  <c r="AN25" i="35"/>
  <c r="AH26" i="35"/>
  <c r="AI26" i="35"/>
  <c r="AJ26" i="35"/>
  <c r="AK26" i="35"/>
  <c r="AL26" i="35"/>
  <c r="AM26" i="35"/>
  <c r="AN26" i="35"/>
  <c r="AH27" i="35"/>
  <c r="AI27" i="35"/>
  <c r="AJ27" i="35"/>
  <c r="AK27" i="35"/>
  <c r="AL27" i="35"/>
  <c r="AM27" i="35"/>
  <c r="AN27" i="35"/>
  <c r="AH28" i="35"/>
  <c r="AI28" i="35"/>
  <c r="AJ28" i="35"/>
  <c r="AK28" i="35"/>
  <c r="AL28" i="35"/>
  <c r="AM28" i="35"/>
  <c r="AN28" i="35"/>
  <c r="AH34" i="35"/>
  <c r="AI34" i="35"/>
  <c r="AL34" i="35"/>
  <c r="C48" i="23"/>
  <c r="C47" i="23"/>
  <c r="C46" i="23"/>
  <c r="C45" i="23"/>
  <c r="C44" i="23"/>
  <c r="C37" i="23"/>
  <c r="C36" i="23"/>
  <c r="C35" i="23"/>
  <c r="C34" i="23"/>
  <c r="C33" i="23"/>
  <c r="C16" i="23"/>
  <c r="C15" i="23"/>
  <c r="C14" i="23"/>
  <c r="C7" i="23"/>
  <c r="C6" i="23"/>
  <c r="C5" i="23"/>
  <c r="AH8" i="23"/>
  <c r="AI8" i="23"/>
  <c r="AJ8" i="23"/>
  <c r="AK8" i="23"/>
  <c r="AL8" i="23"/>
  <c r="AM8" i="23"/>
  <c r="AN8" i="23"/>
  <c r="AH17" i="23"/>
  <c r="AI17" i="23"/>
  <c r="AJ17" i="23"/>
  <c r="AK17" i="23"/>
  <c r="AL17" i="23"/>
  <c r="AM17" i="23"/>
  <c r="AN17" i="23"/>
  <c r="AH23" i="23"/>
  <c r="AI23" i="23"/>
  <c r="AJ23" i="23"/>
  <c r="AK23" i="23"/>
  <c r="AL23" i="23"/>
  <c r="AM23" i="23"/>
  <c r="AN23" i="23"/>
  <c r="AH24" i="23"/>
  <c r="AI24" i="23"/>
  <c r="AJ24" i="23"/>
  <c r="AK24" i="23"/>
  <c r="AL24" i="23"/>
  <c r="AM24" i="23"/>
  <c r="AN24" i="23"/>
  <c r="AH25" i="23"/>
  <c r="AI25" i="23"/>
  <c r="AJ25" i="23"/>
  <c r="AK25" i="23"/>
  <c r="AL25" i="23"/>
  <c r="AM25" i="23"/>
  <c r="AN25" i="23"/>
  <c r="AH38" i="23"/>
  <c r="AI38" i="23"/>
  <c r="AJ38" i="23"/>
  <c r="AK38" i="23"/>
  <c r="AL38" i="23"/>
  <c r="AM38" i="23"/>
  <c r="AN38" i="23"/>
  <c r="AH49" i="23"/>
  <c r="AI49" i="23"/>
  <c r="AJ49" i="23"/>
  <c r="AK49" i="23"/>
  <c r="AL49" i="23"/>
  <c r="AM49" i="23"/>
  <c r="AN49" i="23"/>
  <c r="AH55" i="23"/>
  <c r="AI55" i="23"/>
  <c r="AJ55" i="23"/>
  <c r="AK55" i="23"/>
  <c r="AL55" i="23"/>
  <c r="AM55" i="23"/>
  <c r="AN55" i="23"/>
  <c r="AH56" i="23"/>
  <c r="AI56" i="23"/>
  <c r="AJ56" i="23"/>
  <c r="AK56" i="23"/>
  <c r="AL56" i="23"/>
  <c r="AM56" i="23"/>
  <c r="AN56" i="23"/>
  <c r="AH57" i="23"/>
  <c r="AI57" i="23"/>
  <c r="AJ57" i="23"/>
  <c r="AK57" i="23"/>
  <c r="AL57" i="23"/>
  <c r="AM57" i="23"/>
  <c r="AN57" i="23"/>
  <c r="AH58" i="23"/>
  <c r="AI58" i="23"/>
  <c r="AJ58" i="23"/>
  <c r="AK58" i="23"/>
  <c r="AL58" i="23"/>
  <c r="AM58" i="23"/>
  <c r="AN58" i="23"/>
  <c r="AH59" i="23"/>
  <c r="AI59" i="23"/>
  <c r="AJ59" i="23"/>
  <c r="AK59" i="23"/>
  <c r="AL59" i="23"/>
  <c r="AM59" i="23"/>
  <c r="AN59" i="23"/>
  <c r="C24" i="34"/>
  <c r="C23" i="34"/>
  <c r="C22" i="34"/>
  <c r="C21" i="34"/>
  <c r="C20" i="34"/>
  <c r="C19" i="34"/>
  <c r="C18" i="34"/>
  <c r="C11" i="34"/>
  <c r="C10" i="34"/>
  <c r="C9" i="34"/>
  <c r="C8" i="34"/>
  <c r="C7" i="34"/>
  <c r="C6" i="34"/>
  <c r="C5" i="34"/>
  <c r="D12" i="34"/>
  <c r="AH12" i="34"/>
  <c r="AI12" i="34"/>
  <c r="AJ12" i="34"/>
  <c r="AK12" i="34"/>
  <c r="AL12" i="34"/>
  <c r="AM12" i="34"/>
  <c r="AN12" i="34"/>
  <c r="AH25" i="34"/>
  <c r="AI25" i="34"/>
  <c r="AJ25" i="34"/>
  <c r="AK25" i="34"/>
  <c r="AL25" i="34"/>
  <c r="AM25" i="34"/>
  <c r="AN25" i="34"/>
  <c r="AH31" i="34"/>
  <c r="AI31" i="34"/>
  <c r="AJ31" i="34"/>
  <c r="AK31" i="34"/>
  <c r="AL31" i="34"/>
  <c r="AM31" i="34"/>
  <c r="AN31" i="34"/>
  <c r="AH32" i="34"/>
  <c r="AI32" i="34"/>
  <c r="AJ32" i="34"/>
  <c r="AK32" i="34"/>
  <c r="AL32" i="34"/>
  <c r="AM32" i="34"/>
  <c r="AN32" i="34"/>
  <c r="AH33" i="34"/>
  <c r="AI33" i="34"/>
  <c r="AJ33" i="34"/>
  <c r="AK33" i="34"/>
  <c r="AL33" i="34"/>
  <c r="AM33" i="34"/>
  <c r="AN33" i="34"/>
  <c r="AH34" i="34"/>
  <c r="AI34" i="34"/>
  <c r="AJ34" i="34"/>
  <c r="AK34" i="34"/>
  <c r="AL34" i="34"/>
  <c r="AM34" i="34"/>
  <c r="AN34" i="34"/>
  <c r="AH35" i="34"/>
  <c r="AI35" i="34"/>
  <c r="AJ35" i="34"/>
  <c r="AK35" i="34"/>
  <c r="AL35" i="34"/>
  <c r="AM35" i="34"/>
  <c r="AN35" i="34"/>
  <c r="AH36" i="34"/>
  <c r="AI36" i="34"/>
  <c r="AJ36" i="34"/>
  <c r="AK36" i="34"/>
  <c r="AL36" i="34"/>
  <c r="AM36" i="34"/>
  <c r="AN36" i="34"/>
  <c r="AH37" i="34"/>
  <c r="AI37" i="34"/>
  <c r="AJ37" i="34"/>
  <c r="AK37" i="34"/>
  <c r="AL37" i="34"/>
  <c r="AM37" i="34"/>
  <c r="AN37" i="34"/>
  <c r="C48" i="18"/>
  <c r="C47" i="18"/>
  <c r="C46" i="18"/>
  <c r="C45" i="18"/>
  <c r="C44" i="18"/>
  <c r="C43" i="18"/>
  <c r="C42" i="18"/>
  <c r="C35" i="18"/>
  <c r="C34" i="18"/>
  <c r="C33" i="18"/>
  <c r="C32" i="18"/>
  <c r="C31" i="18"/>
  <c r="C30" i="18"/>
  <c r="C29" i="18"/>
  <c r="C14" i="18"/>
  <c r="C13" i="18"/>
  <c r="C6" i="18"/>
  <c r="C5" i="18"/>
  <c r="AH7" i="18"/>
  <c r="AI7" i="18"/>
  <c r="AJ7" i="18"/>
  <c r="AK7" i="18"/>
  <c r="AL7" i="18"/>
  <c r="AM7" i="18"/>
  <c r="AN7" i="18"/>
  <c r="AH15" i="18"/>
  <c r="AI15" i="18"/>
  <c r="AJ15" i="18"/>
  <c r="AK15" i="18"/>
  <c r="AL15" i="18"/>
  <c r="AM15" i="18"/>
  <c r="AN15" i="18"/>
  <c r="AH21" i="18"/>
  <c r="AI21" i="18"/>
  <c r="AJ21" i="18"/>
  <c r="AK21" i="18"/>
  <c r="AL21" i="18"/>
  <c r="AM21" i="18"/>
  <c r="AN21" i="18"/>
  <c r="AH22" i="18"/>
  <c r="AH23" i="18" s="1"/>
  <c r="AI22" i="18"/>
  <c r="AI23" i="18" s="1"/>
  <c r="AJ22" i="18"/>
  <c r="AK22" i="18"/>
  <c r="AL22" i="18"/>
  <c r="AM22" i="18"/>
  <c r="AN22" i="18"/>
  <c r="AH36" i="18"/>
  <c r="AI36" i="18"/>
  <c r="AJ36" i="18"/>
  <c r="AK36" i="18"/>
  <c r="AL36" i="18"/>
  <c r="AM36" i="18"/>
  <c r="AN36" i="18"/>
  <c r="AH49" i="18"/>
  <c r="AI49" i="18"/>
  <c r="AJ49" i="18"/>
  <c r="AK49" i="18"/>
  <c r="AL49" i="18"/>
  <c r="AM49" i="18"/>
  <c r="AN49" i="18"/>
  <c r="AH55" i="18"/>
  <c r="AI55" i="18"/>
  <c r="AJ55" i="18"/>
  <c r="AK55" i="18"/>
  <c r="AL55" i="18"/>
  <c r="AM55" i="18"/>
  <c r="AN55" i="18"/>
  <c r="AH56" i="18"/>
  <c r="AI56" i="18"/>
  <c r="AJ56" i="18"/>
  <c r="AK56" i="18"/>
  <c r="AL56" i="18"/>
  <c r="AM56" i="18"/>
  <c r="AN56" i="18"/>
  <c r="AH57" i="18"/>
  <c r="AI57" i="18"/>
  <c r="AJ57" i="18"/>
  <c r="AK57" i="18"/>
  <c r="AL57" i="18"/>
  <c r="AM57" i="18"/>
  <c r="AN57" i="18"/>
  <c r="AH58" i="18"/>
  <c r="AI58" i="18"/>
  <c r="AJ58" i="18"/>
  <c r="AK58" i="18"/>
  <c r="AL58" i="18"/>
  <c r="AM58" i="18"/>
  <c r="AN58" i="18"/>
  <c r="AH59" i="18"/>
  <c r="AI59" i="18"/>
  <c r="AJ59" i="18"/>
  <c r="AK59" i="18"/>
  <c r="AL59" i="18"/>
  <c r="AM59" i="18"/>
  <c r="AN59" i="18"/>
  <c r="AH60" i="18"/>
  <c r="AI60" i="18"/>
  <c r="AJ60" i="18"/>
  <c r="AK60" i="18"/>
  <c r="AL60" i="18"/>
  <c r="AM60" i="18"/>
  <c r="AN60" i="18"/>
  <c r="AH61" i="18"/>
  <c r="AI61" i="18"/>
  <c r="AJ61" i="18"/>
  <c r="AK61" i="18"/>
  <c r="AL61" i="18"/>
  <c r="AM61" i="18"/>
  <c r="AN61" i="18"/>
  <c r="C40" i="10"/>
  <c r="C39" i="10"/>
  <c r="C23" i="10"/>
  <c r="C22" i="10"/>
  <c r="C6" i="10"/>
  <c r="C5" i="10"/>
  <c r="AH7" i="10"/>
  <c r="AH10" i="10" s="1"/>
  <c r="AI7" i="10"/>
  <c r="AI8" i="10" s="1"/>
  <c r="AJ7" i="10"/>
  <c r="AJ8" i="10" s="1"/>
  <c r="AK7" i="10"/>
  <c r="AK8" i="10" s="1"/>
  <c r="AL7" i="10"/>
  <c r="AL8" i="10" s="1"/>
  <c r="AM7" i="10"/>
  <c r="AM8" i="10" s="1"/>
  <c r="AN7" i="10"/>
  <c r="AN9" i="10" s="1"/>
  <c r="AH24" i="10"/>
  <c r="AH26" i="10" s="1"/>
  <c r="AI24" i="10"/>
  <c r="AI26" i="10" s="1"/>
  <c r="AJ24" i="10"/>
  <c r="AJ27" i="10" s="1"/>
  <c r="AK24" i="10"/>
  <c r="AK27" i="10" s="1"/>
  <c r="AL24" i="10"/>
  <c r="AM24" i="10"/>
  <c r="AM26" i="10" s="1"/>
  <c r="AN24" i="10"/>
  <c r="AN27" i="10" s="1"/>
  <c r="AH41" i="10"/>
  <c r="AH44" i="10" s="1"/>
  <c r="AI41" i="10"/>
  <c r="AI42" i="10" s="1"/>
  <c r="AJ41" i="10"/>
  <c r="AK41" i="10"/>
  <c r="AL41" i="10"/>
  <c r="AM41" i="10"/>
  <c r="AM42" i="10" s="1"/>
  <c r="AN41" i="10"/>
  <c r="AN43" i="10" s="1"/>
  <c r="AI43" i="10"/>
  <c r="AI44" i="10"/>
  <c r="AN44" i="10"/>
  <c r="C57" i="6"/>
  <c r="C41" i="6"/>
  <c r="C20" i="6"/>
  <c r="AL22" i="6"/>
  <c r="AM22" i="6"/>
  <c r="AH22" i="6"/>
  <c r="AI22" i="6"/>
  <c r="AJ22" i="6"/>
  <c r="AK22" i="6"/>
  <c r="AH37" i="6"/>
  <c r="AI37" i="6"/>
  <c r="AJ37" i="6"/>
  <c r="AK37" i="6"/>
  <c r="AL37" i="6"/>
  <c r="AM37" i="6"/>
  <c r="AN37" i="6"/>
  <c r="AH53" i="6"/>
  <c r="AI53" i="6"/>
  <c r="AJ53" i="6"/>
  <c r="AK53" i="6"/>
  <c r="AL53" i="6"/>
  <c r="AM53" i="6"/>
  <c r="AN53" i="6"/>
  <c r="C14" i="4"/>
  <c r="C13" i="4"/>
  <c r="C6" i="4"/>
  <c r="C5" i="4"/>
  <c r="AH7" i="4"/>
  <c r="AI7" i="4"/>
  <c r="AJ7" i="4"/>
  <c r="AK7" i="4"/>
  <c r="AL7" i="4"/>
  <c r="AM7" i="4"/>
  <c r="AN7" i="4"/>
  <c r="AH15" i="4"/>
  <c r="AH49" i="6" s="1"/>
  <c r="AH50" i="6" s="1"/>
  <c r="AI15" i="4"/>
  <c r="AI49" i="6" s="1"/>
  <c r="AI50" i="6" s="1"/>
  <c r="AJ15" i="4"/>
  <c r="AJ49" i="6" s="1"/>
  <c r="AJ50" i="6" s="1"/>
  <c r="AK15" i="4"/>
  <c r="AK49" i="6" s="1"/>
  <c r="AK50" i="6" s="1"/>
  <c r="AL15" i="4"/>
  <c r="AL49" i="6" s="1"/>
  <c r="AL50" i="6" s="1"/>
  <c r="AM15" i="4"/>
  <c r="AM49" i="6" s="1"/>
  <c r="AM50" i="6" s="1"/>
  <c r="AN15" i="4"/>
  <c r="AN49" i="6" s="1"/>
  <c r="AN50" i="6" s="1"/>
  <c r="AH21" i="4"/>
  <c r="AH23" i="4" s="1"/>
  <c r="AI21" i="4"/>
  <c r="AI23" i="4" s="1"/>
  <c r="AI21" i="6" s="1"/>
  <c r="AJ21" i="4"/>
  <c r="AK21" i="4"/>
  <c r="AL21" i="4"/>
  <c r="AL23" i="4" s="1"/>
  <c r="AM21" i="4"/>
  <c r="AN21" i="4"/>
  <c r="AH22" i="4"/>
  <c r="AI22" i="4"/>
  <c r="AJ22" i="4"/>
  <c r="AK22" i="4"/>
  <c r="AL22" i="4"/>
  <c r="AM22" i="4"/>
  <c r="AN22" i="4"/>
  <c r="C19" i="3"/>
  <c r="C17" i="3"/>
  <c r="AH20" i="3"/>
  <c r="AI20" i="3"/>
  <c r="AJ20" i="3"/>
  <c r="AK20" i="3"/>
  <c r="AL20" i="3"/>
  <c r="AM20" i="3"/>
  <c r="AN20" i="3"/>
  <c r="AH28" i="3"/>
  <c r="AH39" i="3" s="1"/>
  <c r="AI28" i="3"/>
  <c r="AI39" i="3" s="1"/>
  <c r="AJ28" i="3"/>
  <c r="AJ39" i="3" s="1"/>
  <c r="AK28" i="3"/>
  <c r="AK39" i="3" s="1"/>
  <c r="AL28" i="3"/>
  <c r="AL39" i="3" s="1"/>
  <c r="AM28" i="3"/>
  <c r="AM39" i="3" s="1"/>
  <c r="AN28" i="3"/>
  <c r="AN39" i="3" s="1"/>
  <c r="AH30" i="3"/>
  <c r="AH31" i="3" s="1"/>
  <c r="AI30" i="3"/>
  <c r="AI31" i="3" s="1"/>
  <c r="AJ30" i="3"/>
  <c r="AJ41" i="3" s="1"/>
  <c r="AJ42" i="3" s="1"/>
  <c r="AK30" i="3"/>
  <c r="AK31" i="3" s="1"/>
  <c r="AL30" i="3"/>
  <c r="AL31" i="3" s="1"/>
  <c r="AM30" i="3"/>
  <c r="AM31" i="3" s="1"/>
  <c r="AN30" i="3"/>
  <c r="C8" i="3"/>
  <c r="C6" i="3"/>
  <c r="C5" i="3"/>
  <c r="AH7" i="3"/>
  <c r="AI7" i="3"/>
  <c r="AJ7" i="3"/>
  <c r="AK7" i="3"/>
  <c r="AL7" i="3"/>
  <c r="AM7" i="3"/>
  <c r="AN7" i="3"/>
  <c r="AH9" i="3"/>
  <c r="AI9" i="3"/>
  <c r="AJ9" i="3"/>
  <c r="AK9" i="3"/>
  <c r="AL9" i="3"/>
  <c r="AM9" i="3"/>
  <c r="AN9" i="3"/>
  <c r="AM41" i="3" l="1"/>
  <c r="AM42" i="3" s="1"/>
  <c r="AL41" i="3"/>
  <c r="AL42" i="3" s="1"/>
  <c r="AN10" i="3"/>
  <c r="AM10" i="3"/>
  <c r="AL10" i="3"/>
  <c r="AK26" i="23"/>
  <c r="AH27" i="23"/>
  <c r="AJ27" i="23"/>
  <c r="AM23" i="18"/>
  <c r="AJ29" i="35"/>
  <c r="AL30" i="35"/>
  <c r="AJ26" i="23"/>
  <c r="AL27" i="23"/>
  <c r="AM27" i="23"/>
  <c r="AL23" i="18"/>
  <c r="AJ23" i="18"/>
  <c r="AN23" i="18"/>
  <c r="AJ60" i="23"/>
  <c r="AJ61" i="23" s="1"/>
  <c r="AH60" i="23"/>
  <c r="AH61" i="23" s="1"/>
  <c r="AL10" i="10"/>
  <c r="AI10" i="10"/>
  <c r="AL9" i="10"/>
  <c r="AH27" i="10"/>
  <c r="AK26" i="10"/>
  <c r="AJ9" i="10"/>
  <c r="AJ10" i="10"/>
  <c r="AI9" i="10"/>
  <c r="AK9" i="10"/>
  <c r="AK10" i="10"/>
  <c r="AK23" i="4"/>
  <c r="AK21" i="6" s="1"/>
  <c r="AI7" i="6"/>
  <c r="AI33" i="6" s="1"/>
  <c r="AI34" i="6" s="1"/>
  <c r="AL7" i="6"/>
  <c r="AL33" i="6" s="1"/>
  <c r="AL34" i="6" s="1"/>
  <c r="AL21" i="6"/>
  <c r="AL44" i="10"/>
  <c r="AL42" i="10"/>
  <c r="AL43" i="10"/>
  <c r="AI27" i="23"/>
  <c r="AI26" i="23"/>
  <c r="AK44" i="10"/>
  <c r="AK42" i="10"/>
  <c r="AK43" i="10"/>
  <c r="AJ44" i="10"/>
  <c r="AJ42" i="10"/>
  <c r="AJ43" i="10"/>
  <c r="AN31" i="3"/>
  <c r="AN41" i="3"/>
  <c r="AN42" i="3" s="1"/>
  <c r="AN10" i="10"/>
  <c r="AH21" i="6"/>
  <c r="AH7" i="6"/>
  <c r="AH33" i="6" s="1"/>
  <c r="AH34" i="6" s="1"/>
  <c r="AM27" i="10"/>
  <c r="AM25" i="10"/>
  <c r="AL27" i="10"/>
  <c r="AL25" i="10"/>
  <c r="AK62" i="18"/>
  <c r="AK27" i="23"/>
  <c r="AI10" i="3"/>
  <c r="AM10" i="10"/>
  <c r="AK10" i="3"/>
  <c r="AJ10" i="3"/>
  <c r="AH10" i="3"/>
  <c r="AJ23" i="4"/>
  <c r="AI38" i="34"/>
  <c r="AN34" i="35"/>
  <c r="AN14" i="35"/>
  <c r="AI60" i="23"/>
  <c r="AI61" i="23" s="1"/>
  <c r="AK24" i="35"/>
  <c r="AK34" i="35"/>
  <c r="AK14" i="35"/>
  <c r="AN23" i="4"/>
  <c r="AK25" i="10"/>
  <c r="AM23" i="4"/>
  <c r="AI25" i="10"/>
  <c r="AM62" i="18"/>
  <c r="AM30" i="35"/>
  <c r="AM29" i="35"/>
  <c r="AM38" i="34"/>
  <c r="AK60" i="23"/>
  <c r="AK61" i="23" s="1"/>
  <c r="AN29" i="35"/>
  <c r="AL35" i="36"/>
  <c r="AJ35" i="36"/>
  <c r="AH35" i="36"/>
  <c r="AH26" i="23"/>
  <c r="AJ38" i="34"/>
  <c r="AN27" i="23"/>
  <c r="AM26" i="23"/>
  <c r="AM34" i="35"/>
  <c r="AK38" i="34"/>
  <c r="AL29" i="35"/>
  <c r="AJ30" i="35"/>
  <c r="AH30" i="35"/>
  <c r="AN62" i="18"/>
  <c r="AN26" i="23"/>
  <c r="AL26" i="23"/>
  <c r="AM35" i="36"/>
  <c r="AK35" i="36"/>
  <c r="AL62" i="18"/>
  <c r="AL38" i="34"/>
  <c r="AH38" i="34"/>
  <c r="AK30" i="35"/>
  <c r="AI30" i="35"/>
  <c r="AM24" i="35"/>
  <c r="AK23" i="18"/>
  <c r="AM60" i="23"/>
  <c r="AM61" i="23" s="1"/>
  <c r="AL24" i="35"/>
  <c r="AN38" i="34"/>
  <c r="AN60" i="23"/>
  <c r="AN61" i="23" s="1"/>
  <c r="AL60" i="23"/>
  <c r="AL61" i="23" s="1"/>
  <c r="AI35" i="36"/>
  <c r="AN35" i="36"/>
  <c r="AN30" i="35"/>
  <c r="AJ14" i="35"/>
  <c r="AK29" i="35"/>
  <c r="AI29" i="35"/>
  <c r="AH29" i="35"/>
  <c r="AJ24" i="35"/>
  <c r="AJ62" i="18"/>
  <c r="AI62" i="18"/>
  <c r="AH62" i="18"/>
  <c r="AK11" i="19"/>
  <c r="AL11" i="19"/>
  <c r="AM43" i="10"/>
  <c r="AI27" i="10"/>
  <c r="AM9" i="10"/>
  <c r="AM44" i="10"/>
  <c r="AH42" i="10"/>
  <c r="AN25" i="10"/>
  <c r="AH8" i="10"/>
  <c r="AH43" i="10"/>
  <c r="AN26" i="10"/>
  <c r="AH9" i="10"/>
  <c r="AL26" i="10"/>
  <c r="AJ25" i="10"/>
  <c r="AN42" i="10"/>
  <c r="AJ26" i="10"/>
  <c r="AH25" i="10"/>
  <c r="AN8" i="10"/>
  <c r="AK41" i="3"/>
  <c r="AK42" i="3" s="1"/>
  <c r="AJ31" i="3"/>
  <c r="AI41" i="3"/>
  <c r="AI42" i="3" s="1"/>
  <c r="AH41" i="3"/>
  <c r="AH42" i="3" s="1"/>
  <c r="C15" i="9"/>
  <c r="C16" i="9"/>
  <c r="C17" i="9"/>
  <c r="C18" i="9"/>
  <c r="E27" i="2"/>
  <c r="F27" i="2"/>
  <c r="G27" i="2"/>
  <c r="H27" i="2"/>
  <c r="I27" i="2"/>
  <c r="J27" i="2"/>
  <c r="E28" i="2"/>
  <c r="F28" i="2"/>
  <c r="G28" i="2"/>
  <c r="H28" i="2"/>
  <c r="I28" i="2"/>
  <c r="J28" i="2"/>
  <c r="E29" i="2"/>
  <c r="F29" i="2"/>
  <c r="G29" i="2"/>
  <c r="H29" i="2"/>
  <c r="I29" i="2"/>
  <c r="J29" i="2"/>
  <c r="E30" i="2"/>
  <c r="F30" i="2"/>
  <c r="G30" i="2"/>
  <c r="H30" i="2"/>
  <c r="I30" i="2"/>
  <c r="J30" i="2"/>
  <c r="E31" i="2"/>
  <c r="F31" i="2"/>
  <c r="G31" i="2"/>
  <c r="H31" i="2"/>
  <c r="I31" i="2"/>
  <c r="J31" i="2"/>
  <c r="D28" i="2"/>
  <c r="D29" i="2"/>
  <c r="D30" i="2"/>
  <c r="D31" i="2"/>
  <c r="D27" i="2"/>
  <c r="E5" i="2"/>
  <c r="F5" i="2"/>
  <c r="G5" i="2"/>
  <c r="H5" i="2"/>
  <c r="I5" i="2"/>
  <c r="J5" i="2"/>
  <c r="D5" i="2"/>
  <c r="C9" i="2"/>
  <c r="L8" i="9" s="1"/>
  <c r="C10" i="2"/>
  <c r="D18" i="9" s="1"/>
  <c r="AJ66" i="23" l="1"/>
  <c r="AH66" i="23"/>
  <c r="AL66" i="23"/>
  <c r="AM66" i="23"/>
  <c r="AK66" i="23"/>
  <c r="AN66" i="23"/>
  <c r="AI66" i="23"/>
  <c r="AK7" i="6"/>
  <c r="AK33" i="6" s="1"/>
  <c r="AK34" i="6" s="1"/>
  <c r="AH11" i="19"/>
  <c r="AJ11" i="19"/>
  <c r="AM11" i="19"/>
  <c r="AJ21" i="6"/>
  <c r="AJ7" i="6"/>
  <c r="AJ33" i="6" s="1"/>
  <c r="AJ34" i="6" s="1"/>
  <c r="AM7" i="6"/>
  <c r="AM21" i="6"/>
  <c r="AN7" i="6"/>
  <c r="AN33" i="6" s="1"/>
  <c r="AN34" i="6" s="1"/>
  <c r="AN21" i="6"/>
  <c r="AN11" i="19"/>
  <c r="D17" i="9"/>
  <c r="C31" i="2"/>
  <c r="H26" i="2"/>
  <c r="F26" i="2"/>
  <c r="C30" i="2"/>
  <c r="G26" i="2"/>
  <c r="I26" i="2"/>
  <c r="E26" i="2"/>
  <c r="J26" i="2"/>
  <c r="D26" i="2"/>
  <c r="C5" i="2"/>
  <c r="AI11" i="19" l="1"/>
  <c r="AM33" i="6"/>
  <c r="AM34" i="6" s="1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AG23" i="36"/>
  <c r="AF23" i="36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E4" i="36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AG25" i="35"/>
  <c r="AF25" i="35"/>
  <c r="AE25" i="35"/>
  <c r="AD25" i="35"/>
  <c r="AC25" i="35"/>
  <c r="AB25" i="35"/>
  <c r="AA25" i="35"/>
  <c r="Z25" i="35"/>
  <c r="Y25" i="35"/>
  <c r="X25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R4" i="35"/>
  <c r="S30" i="35" l="1"/>
  <c r="AA30" i="35"/>
  <c r="K30" i="35"/>
  <c r="AB30" i="35"/>
  <c r="E30" i="35"/>
  <c r="E35" i="35" s="1"/>
  <c r="E20" i="19" s="1"/>
  <c r="AC30" i="35"/>
  <c r="N29" i="35"/>
  <c r="AD30" i="35"/>
  <c r="AD35" i="35" s="1"/>
  <c r="AD20" i="19" s="1"/>
  <c r="L30" i="35"/>
  <c r="W30" i="35"/>
  <c r="F30" i="35"/>
  <c r="AF30" i="35"/>
  <c r="X30" i="35"/>
  <c r="H30" i="35"/>
  <c r="G30" i="35"/>
  <c r="O30" i="35"/>
  <c r="O35" i="35" s="1"/>
  <c r="O20" i="19" s="1"/>
  <c r="AE30" i="35"/>
  <c r="I30" i="35"/>
  <c r="AG30" i="35"/>
  <c r="P30" i="35"/>
  <c r="J30" i="35"/>
  <c r="J35" i="35" s="1"/>
  <c r="J20" i="19" s="1"/>
  <c r="Q30" i="35"/>
  <c r="Y30" i="35"/>
  <c r="Y35" i="35" s="1"/>
  <c r="Y20" i="19" s="1"/>
  <c r="R30" i="35"/>
  <c r="Z29" i="35"/>
  <c r="T30" i="35"/>
  <c r="T35" i="35" s="1"/>
  <c r="T20" i="19" s="1"/>
  <c r="U30" i="35"/>
  <c r="V30" i="35"/>
  <c r="C23" i="36"/>
  <c r="O35" i="36"/>
  <c r="C9" i="35"/>
  <c r="AA35" i="36"/>
  <c r="C19" i="35"/>
  <c r="C28" i="35"/>
  <c r="C29" i="36"/>
  <c r="C31" i="36"/>
  <c r="C33" i="36"/>
  <c r="C25" i="35"/>
  <c r="C27" i="35"/>
  <c r="D30" i="35"/>
  <c r="C26" i="35"/>
  <c r="C11" i="36"/>
  <c r="X29" i="35"/>
  <c r="R29" i="35"/>
  <c r="Z30" i="35"/>
  <c r="C30" i="36"/>
  <c r="C32" i="36"/>
  <c r="C34" i="36"/>
  <c r="F29" i="35"/>
  <c r="AD29" i="35"/>
  <c r="N30" i="35"/>
  <c r="M29" i="35"/>
  <c r="G29" i="35"/>
  <c r="S29" i="35"/>
  <c r="AE29" i="35"/>
  <c r="M30" i="35"/>
  <c r="T4" i="35"/>
  <c r="T14" i="35" s="1"/>
  <c r="S4" i="35"/>
  <c r="S34" i="35" s="1"/>
  <c r="U4" i="35"/>
  <c r="U34" i="35" s="1"/>
  <c r="L35" i="36"/>
  <c r="X35" i="36"/>
  <c r="M35" i="36"/>
  <c r="Y35" i="36"/>
  <c r="N35" i="36"/>
  <c r="Z35" i="36"/>
  <c r="R35" i="36"/>
  <c r="K35" i="36"/>
  <c r="W35" i="36"/>
  <c r="E35" i="36"/>
  <c r="Q35" i="36"/>
  <c r="AC35" i="36"/>
  <c r="G35" i="36"/>
  <c r="S35" i="36"/>
  <c r="AE35" i="36"/>
  <c r="F35" i="36"/>
  <c r="AD35" i="36"/>
  <c r="E28" i="36"/>
  <c r="F4" i="36"/>
  <c r="E16" i="36"/>
  <c r="E40" i="36"/>
  <c r="D16" i="36"/>
  <c r="D28" i="36"/>
  <c r="H35" i="36"/>
  <c r="T35" i="36"/>
  <c r="AF35" i="36"/>
  <c r="D40" i="36"/>
  <c r="I35" i="36"/>
  <c r="U35" i="36"/>
  <c r="AG35" i="36"/>
  <c r="J35" i="36"/>
  <c r="V35" i="36"/>
  <c r="D35" i="36"/>
  <c r="P35" i="36"/>
  <c r="AB35" i="36"/>
  <c r="R34" i="35"/>
  <c r="R24" i="35"/>
  <c r="R14" i="35"/>
  <c r="O29" i="35"/>
  <c r="AA29" i="35"/>
  <c r="D29" i="35"/>
  <c r="AC4" i="35"/>
  <c r="E29" i="35"/>
  <c r="V4" i="35"/>
  <c r="V24" i="35" s="1"/>
  <c r="AE4" i="35"/>
  <c r="AE24" i="35" s="1"/>
  <c r="P29" i="35"/>
  <c r="E4" i="35"/>
  <c r="AD4" i="35"/>
  <c r="G4" i="35"/>
  <c r="G34" i="35" s="1"/>
  <c r="H4" i="35"/>
  <c r="H34" i="35" s="1"/>
  <c r="AF4" i="35"/>
  <c r="AF34" i="35" s="1"/>
  <c r="D14" i="35"/>
  <c r="Q29" i="35"/>
  <c r="H29" i="35"/>
  <c r="AB29" i="35"/>
  <c r="J4" i="35"/>
  <c r="J24" i="35" s="1"/>
  <c r="D24" i="35"/>
  <c r="I29" i="35"/>
  <c r="U29" i="35"/>
  <c r="AG29" i="35"/>
  <c r="AC29" i="35"/>
  <c r="F4" i="35"/>
  <c r="I4" i="35"/>
  <c r="I24" i="35" s="1"/>
  <c r="T29" i="35"/>
  <c r="AG4" i="35"/>
  <c r="AG24" i="35" s="1"/>
  <c r="AF29" i="35"/>
  <c r="Q4" i="35"/>
  <c r="K29" i="35"/>
  <c r="W29" i="35"/>
  <c r="M4" i="35"/>
  <c r="Y4" i="35"/>
  <c r="J29" i="35"/>
  <c r="V29" i="35"/>
  <c r="N4" i="35"/>
  <c r="Z4" i="35"/>
  <c r="O4" i="35"/>
  <c r="AA4" i="35"/>
  <c r="L29" i="35"/>
  <c r="P4" i="35"/>
  <c r="AB4" i="35"/>
  <c r="Y29" i="35"/>
  <c r="D34" i="35"/>
  <c r="AG14" i="35"/>
  <c r="W4" i="35"/>
  <c r="K4" i="35"/>
  <c r="L4" i="35"/>
  <c r="X4" i="35"/>
  <c r="AG37" i="34"/>
  <c r="AF37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G34" i="34"/>
  <c r="AF34" i="34"/>
  <c r="AE34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E4" i="34"/>
  <c r="D4" i="33"/>
  <c r="AM4" i="33" s="1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6" i="33"/>
  <c r="C15" i="33"/>
  <c r="C14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Z26" i="33" l="1"/>
  <c r="Z14" i="19" s="1"/>
  <c r="AA26" i="33"/>
  <c r="AA14" i="19" s="1"/>
  <c r="O26" i="33"/>
  <c r="O14" i="19" s="1"/>
  <c r="V26" i="33"/>
  <c r="V14" i="19" s="1"/>
  <c r="I26" i="33"/>
  <c r="I14" i="19" s="1"/>
  <c r="AB26" i="33"/>
  <c r="AB14" i="19" s="1"/>
  <c r="AC26" i="33"/>
  <c r="AC14" i="19" s="1"/>
  <c r="E26" i="33"/>
  <c r="E14" i="19" s="1"/>
  <c r="AM26" i="33"/>
  <c r="AM14" i="19" s="1"/>
  <c r="N26" i="33"/>
  <c r="N14" i="19" s="1"/>
  <c r="AL26" i="33"/>
  <c r="AL14" i="19" s="1"/>
  <c r="AG26" i="33"/>
  <c r="AG14" i="19" s="1"/>
  <c r="J26" i="33"/>
  <c r="J14" i="19" s="1"/>
  <c r="AH26" i="33"/>
  <c r="AH14" i="19" s="1"/>
  <c r="U26" i="33"/>
  <c r="U14" i="19" s="1"/>
  <c r="P26" i="33"/>
  <c r="P14" i="19" s="1"/>
  <c r="AN26" i="33"/>
  <c r="AN14" i="19" s="1"/>
  <c r="Q26" i="33"/>
  <c r="Q14" i="19" s="1"/>
  <c r="T24" i="35"/>
  <c r="I14" i="35"/>
  <c r="U14" i="35"/>
  <c r="I34" i="35"/>
  <c r="V14" i="35"/>
  <c r="G24" i="35"/>
  <c r="U24" i="35"/>
  <c r="P38" i="34"/>
  <c r="T34" i="35"/>
  <c r="S24" i="35"/>
  <c r="F26" i="33"/>
  <c r="F14" i="19" s="1"/>
  <c r="AD26" i="33"/>
  <c r="AD14" i="19" s="1"/>
  <c r="G26" i="33"/>
  <c r="G14" i="19" s="1"/>
  <c r="S26" i="33"/>
  <c r="S14" i="19" s="1"/>
  <c r="C29" i="35"/>
  <c r="D38" i="34"/>
  <c r="D44" i="34"/>
  <c r="C31" i="34"/>
  <c r="D50" i="34"/>
  <c r="C37" i="34"/>
  <c r="S14" i="35"/>
  <c r="C12" i="34"/>
  <c r="K26" i="33"/>
  <c r="K14" i="19" s="1"/>
  <c r="W26" i="33"/>
  <c r="W14" i="19" s="1"/>
  <c r="AI26" i="33"/>
  <c r="AI14" i="19" s="1"/>
  <c r="C35" i="36"/>
  <c r="AA38" i="34"/>
  <c r="R26" i="33"/>
  <c r="R14" i="19" s="1"/>
  <c r="AB38" i="34"/>
  <c r="D46" i="34"/>
  <c r="C33" i="34"/>
  <c r="D48" i="34"/>
  <c r="C35" i="34"/>
  <c r="AE26" i="33"/>
  <c r="AE14" i="19" s="1"/>
  <c r="C17" i="33"/>
  <c r="L26" i="33"/>
  <c r="L14" i="19" s="1"/>
  <c r="X26" i="33"/>
  <c r="X14" i="19" s="1"/>
  <c r="AJ26" i="33"/>
  <c r="AJ14" i="19" s="1"/>
  <c r="H26" i="33"/>
  <c r="H14" i="19" s="1"/>
  <c r="T26" i="33"/>
  <c r="T14" i="19" s="1"/>
  <c r="AF26" i="33"/>
  <c r="AF14" i="19" s="1"/>
  <c r="C25" i="34"/>
  <c r="D45" i="34"/>
  <c r="C32" i="34"/>
  <c r="D47" i="34"/>
  <c r="C34" i="34"/>
  <c r="D49" i="34"/>
  <c r="C36" i="34"/>
  <c r="D35" i="35"/>
  <c r="D20" i="19" s="1"/>
  <c r="C30" i="35"/>
  <c r="O38" i="34"/>
  <c r="M26" i="33"/>
  <c r="M14" i="19" s="1"/>
  <c r="Y26" i="33"/>
  <c r="Y14" i="19" s="1"/>
  <c r="AK26" i="33"/>
  <c r="AK14" i="19" s="1"/>
  <c r="J34" i="35"/>
  <c r="D43" i="34"/>
  <c r="AF14" i="35"/>
  <c r="H14" i="35"/>
  <c r="G14" i="35"/>
  <c r="J14" i="35"/>
  <c r="F16" i="36"/>
  <c r="G4" i="36"/>
  <c r="F40" i="36"/>
  <c r="F28" i="36"/>
  <c r="F34" i="35"/>
  <c r="F24" i="35"/>
  <c r="F14" i="35"/>
  <c r="Q14" i="35"/>
  <c r="Q24" i="35"/>
  <c r="AC14" i="35"/>
  <c r="AC24" i="35"/>
  <c r="AE34" i="35"/>
  <c r="AG34" i="35"/>
  <c r="AD34" i="35"/>
  <c r="AD14" i="35"/>
  <c r="AD24" i="35"/>
  <c r="E14" i="35"/>
  <c r="E24" i="35"/>
  <c r="AC34" i="35"/>
  <c r="V34" i="35"/>
  <c r="Q34" i="35"/>
  <c r="AE14" i="35"/>
  <c r="E34" i="35"/>
  <c r="AF24" i="35"/>
  <c r="H24" i="35"/>
  <c r="Y24" i="35"/>
  <c r="Y14" i="35"/>
  <c r="Y34" i="35"/>
  <c r="M24" i="35"/>
  <c r="M14" i="35"/>
  <c r="M34" i="35"/>
  <c r="N24" i="35"/>
  <c r="N14" i="35"/>
  <c r="N34" i="35"/>
  <c r="X34" i="35"/>
  <c r="X24" i="35"/>
  <c r="X14" i="35"/>
  <c r="L34" i="35"/>
  <c r="L24" i="35"/>
  <c r="L14" i="35"/>
  <c r="K14" i="35"/>
  <c r="K34" i="35"/>
  <c r="K24" i="35"/>
  <c r="AB24" i="35"/>
  <c r="AB14" i="35"/>
  <c r="AB34" i="35"/>
  <c r="P24" i="35"/>
  <c r="P14" i="35"/>
  <c r="P34" i="35"/>
  <c r="AA24" i="35"/>
  <c r="AA14" i="35"/>
  <c r="AA34" i="35"/>
  <c r="W14" i="35"/>
  <c r="W34" i="35"/>
  <c r="W24" i="35"/>
  <c r="O24" i="35"/>
  <c r="O14" i="35"/>
  <c r="O34" i="35"/>
  <c r="Z24" i="35"/>
  <c r="Z14" i="35"/>
  <c r="Z34" i="35"/>
  <c r="W38" i="34"/>
  <c r="N38" i="34"/>
  <c r="Z38" i="34"/>
  <c r="D17" i="34"/>
  <c r="D30" i="34"/>
  <c r="I38" i="34"/>
  <c r="U38" i="34"/>
  <c r="AG38" i="34"/>
  <c r="J38" i="34"/>
  <c r="V38" i="34"/>
  <c r="K38" i="34"/>
  <c r="E43" i="34"/>
  <c r="E17" i="34"/>
  <c r="F4" i="34"/>
  <c r="E30" i="34"/>
  <c r="X38" i="34"/>
  <c r="M38" i="34"/>
  <c r="L38" i="34"/>
  <c r="Y38" i="34"/>
  <c r="E38" i="34"/>
  <c r="Q38" i="34"/>
  <c r="AC38" i="34"/>
  <c r="F38" i="34"/>
  <c r="R38" i="34"/>
  <c r="AD38" i="34"/>
  <c r="S38" i="34"/>
  <c r="H38" i="34"/>
  <c r="AF38" i="34"/>
  <c r="G38" i="34"/>
  <c r="AE38" i="34"/>
  <c r="T38" i="34"/>
  <c r="AM22" i="33"/>
  <c r="AM13" i="33"/>
  <c r="AB4" i="33"/>
  <c r="AN4" i="33"/>
  <c r="D13" i="33"/>
  <c r="D22" i="33"/>
  <c r="S4" i="33"/>
  <c r="Q4" i="33"/>
  <c r="AE4" i="33"/>
  <c r="H4" i="33"/>
  <c r="E4" i="33"/>
  <c r="R4" i="33"/>
  <c r="T4" i="33"/>
  <c r="AF4" i="33"/>
  <c r="I4" i="33"/>
  <c r="AH4" i="33"/>
  <c r="K4" i="33"/>
  <c r="W4" i="33"/>
  <c r="AI4" i="33"/>
  <c r="F4" i="33"/>
  <c r="L4" i="33"/>
  <c r="AJ4" i="33"/>
  <c r="AK4" i="33"/>
  <c r="AG4" i="33"/>
  <c r="J4" i="33"/>
  <c r="M4" i="33"/>
  <c r="AL4" i="33"/>
  <c r="P4" i="33"/>
  <c r="AC4" i="33"/>
  <c r="AD4" i="33"/>
  <c r="G4" i="33"/>
  <c r="U4" i="33"/>
  <c r="V4" i="33"/>
  <c r="X4" i="33"/>
  <c r="Y4" i="33"/>
  <c r="N4" i="33"/>
  <c r="Z4" i="33"/>
  <c r="O4" i="33"/>
  <c r="AA4" i="33"/>
  <c r="C38" i="34" l="1"/>
  <c r="H4" i="36"/>
  <c r="G40" i="36"/>
  <c r="G28" i="36"/>
  <c r="G16" i="36"/>
  <c r="D51" i="34"/>
  <c r="D17" i="19" s="1"/>
  <c r="F30" i="34"/>
  <c r="F43" i="34"/>
  <c r="F17" i="34"/>
  <c r="G4" i="34"/>
  <c r="F13" i="33"/>
  <c r="F22" i="33"/>
  <c r="AC22" i="33"/>
  <c r="AC13" i="33"/>
  <c r="G13" i="33"/>
  <c r="G22" i="33"/>
  <c r="Q22" i="33"/>
  <c r="Q13" i="33"/>
  <c r="P22" i="33"/>
  <c r="P13" i="33"/>
  <c r="AL22" i="33"/>
  <c r="AL13" i="33"/>
  <c r="AH22" i="33"/>
  <c r="AH13" i="33"/>
  <c r="O22" i="33"/>
  <c r="O13" i="33"/>
  <c r="Z22" i="33"/>
  <c r="Z13" i="33"/>
  <c r="J22" i="33"/>
  <c r="J13" i="33"/>
  <c r="AF22" i="33"/>
  <c r="AF13" i="33"/>
  <c r="AE13" i="33"/>
  <c r="AE22" i="33"/>
  <c r="AI22" i="33"/>
  <c r="AI13" i="33"/>
  <c r="K22" i="33"/>
  <c r="K13" i="33"/>
  <c r="M22" i="33"/>
  <c r="M13" i="33"/>
  <c r="AG13" i="33"/>
  <c r="AG22" i="33"/>
  <c r="AN22" i="33"/>
  <c r="AN13" i="33"/>
  <c r="AK22" i="33"/>
  <c r="AK13" i="33"/>
  <c r="T22" i="33"/>
  <c r="T13" i="33"/>
  <c r="AB22" i="33"/>
  <c r="AB13" i="33"/>
  <c r="AJ22" i="33"/>
  <c r="AJ13" i="33"/>
  <c r="AD22" i="33"/>
  <c r="AD13" i="33"/>
  <c r="S22" i="33"/>
  <c r="S13" i="33"/>
  <c r="Y13" i="33"/>
  <c r="Y22" i="33"/>
  <c r="L13" i="33"/>
  <c r="L22" i="33"/>
  <c r="E22" i="33"/>
  <c r="E13" i="33"/>
  <c r="W22" i="33"/>
  <c r="W13" i="33"/>
  <c r="AA22" i="33"/>
  <c r="AA13" i="33"/>
  <c r="I13" i="33"/>
  <c r="I22" i="33"/>
  <c r="N22" i="33"/>
  <c r="N13" i="33"/>
  <c r="X22" i="33"/>
  <c r="X13" i="33"/>
  <c r="R13" i="33"/>
  <c r="R22" i="33"/>
  <c r="V13" i="33"/>
  <c r="V22" i="33"/>
  <c r="U13" i="33"/>
  <c r="U22" i="33"/>
  <c r="H22" i="33"/>
  <c r="H13" i="33"/>
  <c r="H28" i="36" l="1"/>
  <c r="I4" i="36"/>
  <c r="H16" i="36"/>
  <c r="H40" i="36"/>
  <c r="G30" i="34"/>
  <c r="G17" i="34"/>
  <c r="H4" i="34"/>
  <c r="G43" i="34"/>
  <c r="J4" i="36" l="1"/>
  <c r="I40" i="36"/>
  <c r="I28" i="36"/>
  <c r="I16" i="36"/>
  <c r="H43" i="34"/>
  <c r="H17" i="34"/>
  <c r="I4" i="34"/>
  <c r="H30" i="34"/>
  <c r="K4" i="36" l="1"/>
  <c r="J40" i="36"/>
  <c r="J28" i="36"/>
  <c r="J16" i="36"/>
  <c r="J4" i="34"/>
  <c r="I30" i="34"/>
  <c r="I43" i="34"/>
  <c r="I17" i="34"/>
  <c r="L4" i="36" l="1"/>
  <c r="K40" i="36"/>
  <c r="K28" i="36"/>
  <c r="K16" i="36"/>
  <c r="J17" i="34"/>
  <c r="K4" i="34"/>
  <c r="J43" i="34"/>
  <c r="J30" i="34"/>
  <c r="L28" i="36" l="1"/>
  <c r="M4" i="36"/>
  <c r="L16" i="36"/>
  <c r="L40" i="36"/>
  <c r="K43" i="34"/>
  <c r="K17" i="34"/>
  <c r="K30" i="34"/>
  <c r="L4" i="34"/>
  <c r="N4" i="36" l="1"/>
  <c r="M40" i="36"/>
  <c r="M28" i="36"/>
  <c r="M16" i="36"/>
  <c r="M4" i="34"/>
  <c r="L30" i="34"/>
  <c r="L17" i="34"/>
  <c r="L43" i="34"/>
  <c r="O4" i="36" l="1"/>
  <c r="N28" i="36"/>
  <c r="N16" i="36"/>
  <c r="N40" i="36"/>
  <c r="N4" i="34"/>
  <c r="M30" i="34"/>
  <c r="M43" i="34"/>
  <c r="M17" i="34"/>
  <c r="O40" i="36" l="1"/>
  <c r="O28" i="36"/>
  <c r="O16" i="36"/>
  <c r="P4" i="36"/>
  <c r="O4" i="34"/>
  <c r="N30" i="34"/>
  <c r="N43" i="34"/>
  <c r="N17" i="34"/>
  <c r="Q4" i="36" l="1"/>
  <c r="P40" i="36"/>
  <c r="P28" i="36"/>
  <c r="P16" i="36"/>
  <c r="O30" i="34"/>
  <c r="O43" i="34"/>
  <c r="O17" i="34"/>
  <c r="P4" i="34"/>
  <c r="R4" i="36" l="1"/>
  <c r="Q16" i="36"/>
  <c r="Q28" i="36"/>
  <c r="Q40" i="36"/>
  <c r="P17" i="34"/>
  <c r="P43" i="34"/>
  <c r="Q4" i="34"/>
  <c r="P30" i="34"/>
  <c r="R28" i="36" l="1"/>
  <c r="R16" i="36"/>
  <c r="S4" i="36"/>
  <c r="R40" i="36"/>
  <c r="Q30" i="34"/>
  <c r="Q43" i="34"/>
  <c r="Q17" i="34"/>
  <c r="R4" i="34"/>
  <c r="T4" i="36" l="1"/>
  <c r="S40" i="36"/>
  <c r="S28" i="36"/>
  <c r="S16" i="36"/>
  <c r="R30" i="34"/>
  <c r="R43" i="34"/>
  <c r="R17" i="34"/>
  <c r="S4" i="34"/>
  <c r="T28" i="36" l="1"/>
  <c r="T16" i="36"/>
  <c r="U4" i="36"/>
  <c r="T40" i="36"/>
  <c r="S30" i="34"/>
  <c r="T4" i="34"/>
  <c r="S17" i="34"/>
  <c r="S43" i="34"/>
  <c r="V4" i="36" l="1"/>
  <c r="U40" i="36"/>
  <c r="U28" i="36"/>
  <c r="U16" i="36"/>
  <c r="U4" i="34"/>
  <c r="T17" i="34"/>
  <c r="T30" i="34"/>
  <c r="T43" i="34"/>
  <c r="W4" i="36" l="1"/>
  <c r="V40" i="36"/>
  <c r="V28" i="36"/>
  <c r="V16" i="36"/>
  <c r="U43" i="34"/>
  <c r="U17" i="34"/>
  <c r="V4" i="34"/>
  <c r="U30" i="34"/>
  <c r="X4" i="36" l="1"/>
  <c r="W40" i="36"/>
  <c r="W28" i="36"/>
  <c r="W16" i="36"/>
  <c r="V17" i="34"/>
  <c r="V43" i="34"/>
  <c r="W4" i="34"/>
  <c r="V30" i="34"/>
  <c r="Y4" i="36" l="1"/>
  <c r="X28" i="36"/>
  <c r="X40" i="36"/>
  <c r="X16" i="36"/>
  <c r="W43" i="34"/>
  <c r="W17" i="34"/>
  <c r="X4" i="34"/>
  <c r="W30" i="34"/>
  <c r="Z4" i="36" l="1"/>
  <c r="Y40" i="36"/>
  <c r="Y28" i="36"/>
  <c r="Y16" i="36"/>
  <c r="X30" i="34"/>
  <c r="X17" i="34"/>
  <c r="X43" i="34"/>
  <c r="Y4" i="34"/>
  <c r="AA4" i="36" l="1"/>
  <c r="Z28" i="36"/>
  <c r="Z16" i="36"/>
  <c r="Z40" i="36"/>
  <c r="Z4" i="34"/>
  <c r="Y30" i="34"/>
  <c r="Y43" i="34"/>
  <c r="Y17" i="34"/>
  <c r="AA40" i="36" l="1"/>
  <c r="AA28" i="36"/>
  <c r="AA16" i="36"/>
  <c r="AB4" i="36"/>
  <c r="AA4" i="34"/>
  <c r="Z30" i="34"/>
  <c r="Z43" i="34"/>
  <c r="Z17" i="34"/>
  <c r="AC4" i="36" l="1"/>
  <c r="AB40" i="36"/>
  <c r="AB28" i="36"/>
  <c r="AB16" i="36"/>
  <c r="AA43" i="34"/>
  <c r="AA17" i="34"/>
  <c r="AA30" i="34"/>
  <c r="AB4" i="34"/>
  <c r="AD4" i="36" l="1"/>
  <c r="AC28" i="36"/>
  <c r="AC16" i="36"/>
  <c r="AC40" i="36"/>
  <c r="AB43" i="34"/>
  <c r="AB17" i="34"/>
  <c r="AB30" i="34"/>
  <c r="AC4" i="34"/>
  <c r="AE4" i="36" l="1"/>
  <c r="AD16" i="36"/>
  <c r="AD28" i="36"/>
  <c r="AD40" i="36"/>
  <c r="AC30" i="34"/>
  <c r="AC43" i="34"/>
  <c r="AC17" i="34"/>
  <c r="AD4" i="34"/>
  <c r="AF4" i="36" l="1"/>
  <c r="AE40" i="36"/>
  <c r="AE28" i="36"/>
  <c r="AE16" i="36"/>
  <c r="AD30" i="34"/>
  <c r="AD43" i="34"/>
  <c r="AD17" i="34"/>
  <c r="AE4" i="34"/>
  <c r="AG4" i="36" l="1"/>
  <c r="AH4" i="36" s="1"/>
  <c r="AF16" i="36"/>
  <c r="AF40" i="36"/>
  <c r="AF28" i="36"/>
  <c r="AE30" i="34"/>
  <c r="AE17" i="34"/>
  <c r="AF4" i="34"/>
  <c r="AE43" i="34"/>
  <c r="AI4" i="36" l="1"/>
  <c r="AH28" i="36"/>
  <c r="AH40" i="36"/>
  <c r="AH16" i="36"/>
  <c r="AG40" i="36"/>
  <c r="AG28" i="36"/>
  <c r="AG16" i="36"/>
  <c r="AF17" i="34"/>
  <c r="AF43" i="34"/>
  <c r="AG4" i="34"/>
  <c r="AH4" i="34" s="1"/>
  <c r="AF30" i="34"/>
  <c r="AJ4" i="36" l="1"/>
  <c r="AI28" i="36"/>
  <c r="AI16" i="36"/>
  <c r="AI40" i="36"/>
  <c r="AH43" i="34"/>
  <c r="AH17" i="34"/>
  <c r="AH30" i="34"/>
  <c r="AI4" i="34"/>
  <c r="AG43" i="34"/>
  <c r="AG17" i="34"/>
  <c r="AG30" i="34"/>
  <c r="AJ4" i="34" l="1"/>
  <c r="AI43" i="34"/>
  <c r="AI17" i="34"/>
  <c r="AI30" i="34"/>
  <c r="AJ40" i="36"/>
  <c r="AK4" i="36"/>
  <c r="AJ16" i="36"/>
  <c r="AJ28" i="36"/>
  <c r="AK40" i="36" l="1"/>
  <c r="AL4" i="36"/>
  <c r="AK28" i="36"/>
  <c r="AK16" i="36"/>
  <c r="AJ17" i="34"/>
  <c r="AJ43" i="34"/>
  <c r="AJ30" i="34"/>
  <c r="AK4" i="34"/>
  <c r="AK43" i="34" l="1"/>
  <c r="AK17" i="34"/>
  <c r="AL4" i="34"/>
  <c r="AK30" i="34"/>
  <c r="AL28" i="36"/>
  <c r="AL16" i="36"/>
  <c r="AL40" i="36"/>
  <c r="AM4" i="36"/>
  <c r="AN4" i="36" l="1"/>
  <c r="AM28" i="36"/>
  <c r="AM16" i="36"/>
  <c r="AM40" i="36"/>
  <c r="AL17" i="34"/>
  <c r="AM4" i="34"/>
  <c r="AL30" i="34"/>
  <c r="AL43" i="34"/>
  <c r="AM17" i="34" l="1"/>
  <c r="AM43" i="34"/>
  <c r="AM30" i="34"/>
  <c r="AN4" i="34"/>
  <c r="AN40" i="36"/>
  <c r="AN28" i="36"/>
  <c r="AN16" i="36"/>
  <c r="C13" i="19"/>
  <c r="D24" i="10"/>
  <c r="AG41" i="10"/>
  <c r="AG44" i="10" s="1"/>
  <c r="AF41" i="10"/>
  <c r="AF43" i="10" s="1"/>
  <c r="AE41" i="10"/>
  <c r="AE43" i="10" s="1"/>
  <c r="AD41" i="10"/>
  <c r="AD44" i="10" s="1"/>
  <c r="AC41" i="10"/>
  <c r="AC44" i="10" s="1"/>
  <c r="AB41" i="10"/>
  <c r="AB43" i="10" s="1"/>
  <c r="AA41" i="10"/>
  <c r="AA42" i="10" s="1"/>
  <c r="Z41" i="10"/>
  <c r="Z42" i="10" s="1"/>
  <c r="Y41" i="10"/>
  <c r="Y44" i="10" s="1"/>
  <c r="X41" i="10"/>
  <c r="X44" i="10" s="1"/>
  <c r="W41" i="10"/>
  <c r="W44" i="10" s="1"/>
  <c r="V41" i="10"/>
  <c r="V42" i="10" s="1"/>
  <c r="U41" i="10"/>
  <c r="U44" i="10" s="1"/>
  <c r="T41" i="10"/>
  <c r="T43" i="10" s="1"/>
  <c r="S41" i="10"/>
  <c r="S43" i="10" s="1"/>
  <c r="R41" i="10"/>
  <c r="R44" i="10" s="1"/>
  <c r="Q41" i="10"/>
  <c r="Q44" i="10" s="1"/>
  <c r="P41" i="10"/>
  <c r="P43" i="10" s="1"/>
  <c r="O41" i="10"/>
  <c r="O42" i="10" s="1"/>
  <c r="N41" i="10"/>
  <c r="N42" i="10" s="1"/>
  <c r="M41" i="10"/>
  <c r="M44" i="10" s="1"/>
  <c r="L41" i="10"/>
  <c r="L44" i="10" s="1"/>
  <c r="K41" i="10"/>
  <c r="K44" i="10" s="1"/>
  <c r="J41" i="10"/>
  <c r="J42" i="10" s="1"/>
  <c r="I41" i="10"/>
  <c r="I44" i="10" s="1"/>
  <c r="H41" i="10"/>
  <c r="H43" i="10" s="1"/>
  <c r="G41" i="10"/>
  <c r="G43" i="10" s="1"/>
  <c r="F41" i="10"/>
  <c r="F44" i="10" s="1"/>
  <c r="E41" i="10"/>
  <c r="E44" i="10" s="1"/>
  <c r="D41" i="10"/>
  <c r="AG24" i="10"/>
  <c r="AG27" i="10" s="1"/>
  <c r="AF24" i="10"/>
  <c r="AF26" i="10" s="1"/>
  <c r="AE24" i="10"/>
  <c r="AE26" i="10" s="1"/>
  <c r="AD24" i="10"/>
  <c r="AD26" i="10" s="1"/>
  <c r="AC24" i="10"/>
  <c r="AC26" i="10" s="1"/>
  <c r="AB24" i="10"/>
  <c r="AB26" i="10" s="1"/>
  <c r="AA24" i="10"/>
  <c r="AA25" i="10" s="1"/>
  <c r="Z24" i="10"/>
  <c r="Z25" i="10" s="1"/>
  <c r="Y24" i="10"/>
  <c r="Y27" i="10" s="1"/>
  <c r="X24" i="10"/>
  <c r="X27" i="10" s="1"/>
  <c r="W24" i="10"/>
  <c r="W27" i="10" s="1"/>
  <c r="V24" i="10"/>
  <c r="V25" i="10" s="1"/>
  <c r="U24" i="10"/>
  <c r="U27" i="10" s="1"/>
  <c r="T24" i="10"/>
  <c r="T26" i="10" s="1"/>
  <c r="S24" i="10"/>
  <c r="S26" i="10" s="1"/>
  <c r="R24" i="10"/>
  <c r="R26" i="10" s="1"/>
  <c r="Q24" i="10"/>
  <c r="Q26" i="10" s="1"/>
  <c r="P24" i="10"/>
  <c r="P26" i="10" s="1"/>
  <c r="O24" i="10"/>
  <c r="O25" i="10" s="1"/>
  <c r="N24" i="10"/>
  <c r="N25" i="10" s="1"/>
  <c r="M24" i="10"/>
  <c r="M27" i="10" s="1"/>
  <c r="L24" i="10"/>
  <c r="L27" i="10" s="1"/>
  <c r="K24" i="10"/>
  <c r="K27" i="10" s="1"/>
  <c r="J24" i="10"/>
  <c r="J25" i="10" s="1"/>
  <c r="I24" i="10"/>
  <c r="I27" i="10" s="1"/>
  <c r="H24" i="10"/>
  <c r="H26" i="10" s="1"/>
  <c r="G24" i="10"/>
  <c r="G26" i="10" s="1"/>
  <c r="F24" i="10"/>
  <c r="F26" i="10" s="1"/>
  <c r="E24" i="10"/>
  <c r="E26" i="10" s="1"/>
  <c r="D24" i="7"/>
  <c r="I24" i="7" s="1"/>
  <c r="C14" i="9"/>
  <c r="AN17" i="34" l="1"/>
  <c r="AN43" i="34"/>
  <c r="AN30" i="34"/>
  <c r="D43" i="10"/>
  <c r="D48" i="10" s="1"/>
  <c r="C41" i="10"/>
  <c r="D25" i="10"/>
  <c r="C24" i="10"/>
  <c r="D26" i="10"/>
  <c r="J44" i="10"/>
  <c r="Q42" i="10"/>
  <c r="AC25" i="10"/>
  <c r="P42" i="10"/>
  <c r="J26" i="10"/>
  <c r="U26" i="10"/>
  <c r="R42" i="10"/>
  <c r="E43" i="10"/>
  <c r="F43" i="10"/>
  <c r="R43" i="10"/>
  <c r="X42" i="10"/>
  <c r="L43" i="10"/>
  <c r="P25" i="10"/>
  <c r="Q43" i="10"/>
  <c r="AB27" i="10"/>
  <c r="X43" i="10"/>
  <c r="V26" i="10"/>
  <c r="L42" i="10"/>
  <c r="P27" i="10"/>
  <c r="N44" i="10"/>
  <c r="F27" i="10"/>
  <c r="U43" i="10"/>
  <c r="G25" i="10"/>
  <c r="H25" i="10"/>
  <c r="I25" i="10"/>
  <c r="O27" i="10"/>
  <c r="AC42" i="10"/>
  <c r="AC43" i="10"/>
  <c r="V44" i="10"/>
  <c r="P44" i="10"/>
  <c r="H27" i="10"/>
  <c r="V43" i="10"/>
  <c r="J27" i="10"/>
  <c r="AB42" i="10"/>
  <c r="AD42" i="10"/>
  <c r="AD43" i="10"/>
  <c r="R25" i="10"/>
  <c r="Z44" i="10"/>
  <c r="R27" i="10"/>
  <c r="D44" i="10"/>
  <c r="D42" i="10"/>
  <c r="AB44" i="10"/>
  <c r="AD25" i="10"/>
  <c r="AD27" i="10"/>
  <c r="E42" i="10"/>
  <c r="I43" i="10"/>
  <c r="AG43" i="10"/>
  <c r="AG25" i="10"/>
  <c r="F42" i="10"/>
  <c r="J43" i="10"/>
  <c r="Q25" i="10"/>
  <c r="I26" i="10"/>
  <c r="O44" i="10"/>
  <c r="AA44" i="10"/>
  <c r="K43" i="10"/>
  <c r="S25" i="10"/>
  <c r="S42" i="10"/>
  <c r="W43" i="10"/>
  <c r="H42" i="10"/>
  <c r="U25" i="10"/>
  <c r="AG26" i="10"/>
  <c r="V27" i="10"/>
  <c r="I42" i="10"/>
  <c r="U42" i="10"/>
  <c r="AG42" i="10"/>
  <c r="N43" i="10"/>
  <c r="Z43" i="10"/>
  <c r="G44" i="10"/>
  <c r="S44" i="10"/>
  <c r="AE44" i="10"/>
  <c r="Q27" i="10"/>
  <c r="T27" i="10"/>
  <c r="T42" i="10"/>
  <c r="AF42" i="10"/>
  <c r="Y43" i="10"/>
  <c r="E25" i="10"/>
  <c r="D27" i="10"/>
  <c r="Z27" i="10"/>
  <c r="O43" i="10"/>
  <c r="AA43" i="10"/>
  <c r="H44" i="10"/>
  <c r="T44" i="10"/>
  <c r="AF44" i="10"/>
  <c r="G42" i="10"/>
  <c r="AE42" i="10"/>
  <c r="T25" i="10"/>
  <c r="M43" i="10"/>
  <c r="F25" i="10"/>
  <c r="AB25" i="10"/>
  <c r="E27" i="10"/>
  <c r="AA27" i="10"/>
  <c r="K42" i="10"/>
  <c r="W42" i="10"/>
  <c r="AC27" i="10"/>
  <c r="M42" i="10"/>
  <c r="Y42" i="10"/>
  <c r="AE25" i="10"/>
  <c r="AF25" i="10"/>
  <c r="N27" i="10"/>
  <c r="AF27" i="10"/>
  <c r="W26" i="10"/>
  <c r="M26" i="10"/>
  <c r="N26" i="10"/>
  <c r="Z26" i="10"/>
  <c r="G27" i="10"/>
  <c r="S27" i="10"/>
  <c r="AE27" i="10"/>
  <c r="O26" i="10"/>
  <c r="AA26" i="10"/>
  <c r="L26" i="10"/>
  <c r="Y26" i="10"/>
  <c r="K25" i="10"/>
  <c r="W25" i="10"/>
  <c r="L25" i="10"/>
  <c r="K26" i="10"/>
  <c r="X26" i="10"/>
  <c r="X25" i="10"/>
  <c r="M25" i="10"/>
  <c r="Y25" i="10"/>
  <c r="C14" i="2"/>
  <c r="J25" i="2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D47" i="10" l="1"/>
  <c r="C42" i="10"/>
  <c r="D31" i="10"/>
  <c r="C26" i="10"/>
  <c r="D49" i="10"/>
  <c r="C44" i="10"/>
  <c r="C43" i="10"/>
  <c r="D32" i="10"/>
  <c r="C27" i="10"/>
  <c r="D30" i="10"/>
  <c r="C25" i="10"/>
  <c r="AB11" i="19"/>
  <c r="O11" i="19"/>
  <c r="Z11" i="19"/>
  <c r="AA11" i="19"/>
  <c r="N11" i="19"/>
  <c r="D50" i="10"/>
  <c r="C240" i="1"/>
  <c r="D46" i="36" s="1"/>
  <c r="C239" i="1"/>
  <c r="D45" i="36" s="1"/>
  <c r="C238" i="1"/>
  <c r="D44" i="36" s="1"/>
  <c r="C237" i="1"/>
  <c r="D43" i="36" s="1"/>
  <c r="C236" i="1"/>
  <c r="D42" i="36" s="1"/>
  <c r="C235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D121" i="1"/>
  <c r="Y121" i="1"/>
  <c r="T121" i="1"/>
  <c r="O121" i="1"/>
  <c r="J121" i="1"/>
  <c r="E121" i="1"/>
  <c r="AH127" i="1" l="1"/>
  <c r="AH125" i="1"/>
  <c r="D10" i="19"/>
  <c r="AH126" i="1"/>
  <c r="D235" i="1"/>
  <c r="D41" i="36"/>
  <c r="F121" i="1"/>
  <c r="F35" i="35"/>
  <c r="F20" i="19" s="1"/>
  <c r="U121" i="1"/>
  <c r="U35" i="35"/>
  <c r="U20" i="19" s="1"/>
  <c r="Z121" i="1"/>
  <c r="Z35" i="35"/>
  <c r="Z20" i="19" s="1"/>
  <c r="K121" i="1"/>
  <c r="K35" i="35"/>
  <c r="K20" i="19" s="1"/>
  <c r="P121" i="1"/>
  <c r="P35" i="35"/>
  <c r="P20" i="19" s="1"/>
  <c r="AE121" i="1"/>
  <c r="AE35" i="35"/>
  <c r="AE20" i="19" s="1"/>
  <c r="I11" i="19"/>
  <c r="T11" i="19"/>
  <c r="P11" i="19"/>
  <c r="H11" i="19"/>
  <c r="AG11" i="19"/>
  <c r="U11" i="19"/>
  <c r="AE11" i="19"/>
  <c r="J11" i="19"/>
  <c r="G11" i="19"/>
  <c r="R11" i="19"/>
  <c r="S11" i="19"/>
  <c r="M11" i="19"/>
  <c r="F11" i="19"/>
  <c r="V11" i="19"/>
  <c r="K11" i="19"/>
  <c r="AD11" i="19"/>
  <c r="W11" i="19"/>
  <c r="X11" i="19"/>
  <c r="AF11" i="19"/>
  <c r="Y11" i="19"/>
  <c r="L11" i="19"/>
  <c r="AC11" i="19"/>
  <c r="Q11" i="19"/>
  <c r="E11" i="19"/>
  <c r="D33" i="10"/>
  <c r="D238" i="1"/>
  <c r="D236" i="1"/>
  <c r="D239" i="1"/>
  <c r="D237" i="1"/>
  <c r="D240" i="1"/>
  <c r="D94" i="1"/>
  <c r="D93" i="1"/>
  <c r="D92" i="1"/>
  <c r="D91" i="1"/>
  <c r="E47" i="34" s="1"/>
  <c r="D90" i="1"/>
  <c r="E46" i="34" s="1"/>
  <c r="D89" i="1"/>
  <c r="E45" i="34" s="1"/>
  <c r="D88" i="1"/>
  <c r="E44" i="34" s="1"/>
  <c r="D60" i="1"/>
  <c r="D59" i="1"/>
  <c r="D58" i="1"/>
  <c r="C15" i="1"/>
  <c r="C16" i="1" s="1"/>
  <c r="E50" i="34" l="1"/>
  <c r="E49" i="34"/>
  <c r="AI127" i="1"/>
  <c r="D9" i="19"/>
  <c r="E48" i="34"/>
  <c r="AI125" i="1"/>
  <c r="AI126" i="1"/>
  <c r="E240" i="1"/>
  <c r="E46" i="36"/>
  <c r="E237" i="1"/>
  <c r="E43" i="36"/>
  <c r="E236" i="1"/>
  <c r="E42" i="36"/>
  <c r="D47" i="36"/>
  <c r="D23" i="19" s="1"/>
  <c r="E235" i="1"/>
  <c r="E41" i="36"/>
  <c r="E239" i="1"/>
  <c r="E45" i="36"/>
  <c r="E238" i="1"/>
  <c r="E44" i="36"/>
  <c r="AF121" i="1"/>
  <c r="AF35" i="35"/>
  <c r="AF20" i="19" s="1"/>
  <c r="Q121" i="1"/>
  <c r="Q35" i="35"/>
  <c r="Q20" i="19" s="1"/>
  <c r="L121" i="1"/>
  <c r="L35" i="35"/>
  <c r="L20" i="19" s="1"/>
  <c r="E89" i="1"/>
  <c r="F45" i="34" s="1"/>
  <c r="E88" i="1"/>
  <c r="F44" i="34" s="1"/>
  <c r="E90" i="1"/>
  <c r="F46" i="34" s="1"/>
  <c r="AA121" i="1"/>
  <c r="AA35" i="35"/>
  <c r="AA20" i="19" s="1"/>
  <c r="V121" i="1"/>
  <c r="V35" i="35"/>
  <c r="V20" i="19" s="1"/>
  <c r="E91" i="1"/>
  <c r="F47" i="34" s="1"/>
  <c r="G121" i="1"/>
  <c r="G35" i="35"/>
  <c r="G20" i="19" s="1"/>
  <c r="E60" i="1"/>
  <c r="E32" i="10"/>
  <c r="E59" i="1"/>
  <c r="E31" i="10"/>
  <c r="E58" i="1"/>
  <c r="E30" i="10"/>
  <c r="E93" i="1"/>
  <c r="E48" i="10"/>
  <c r="E92" i="1"/>
  <c r="E47" i="10"/>
  <c r="E94" i="1"/>
  <c r="E49" i="10"/>
  <c r="E51" i="34" l="1"/>
  <c r="E17" i="19" s="1"/>
  <c r="AJ125" i="1"/>
  <c r="F49" i="34"/>
  <c r="AJ127" i="1"/>
  <c r="F50" i="34"/>
  <c r="F48" i="34"/>
  <c r="AJ126" i="1"/>
  <c r="E47" i="36"/>
  <c r="E23" i="19" s="1"/>
  <c r="F235" i="1"/>
  <c r="F41" i="36"/>
  <c r="F236" i="1"/>
  <c r="F42" i="36"/>
  <c r="F239" i="1"/>
  <c r="F45" i="36"/>
  <c r="C12" i="19"/>
  <c r="F237" i="1"/>
  <c r="F43" i="36"/>
  <c r="F238" i="1"/>
  <c r="F44" i="36"/>
  <c r="F240" i="1"/>
  <c r="F46" i="36"/>
  <c r="F89" i="1"/>
  <c r="G45" i="34" s="1"/>
  <c r="F90" i="1"/>
  <c r="G46" i="34" s="1"/>
  <c r="H121" i="1"/>
  <c r="I35" i="35" s="1"/>
  <c r="I20" i="19" s="1"/>
  <c r="H35" i="35"/>
  <c r="H20" i="19" s="1"/>
  <c r="F91" i="1"/>
  <c r="G47" i="34" s="1"/>
  <c r="F88" i="1"/>
  <c r="G44" i="34" s="1"/>
  <c r="M121" i="1"/>
  <c r="N35" i="35" s="1"/>
  <c r="N20" i="19" s="1"/>
  <c r="M35" i="35"/>
  <c r="M20" i="19" s="1"/>
  <c r="W121" i="1"/>
  <c r="X35" i="35" s="1"/>
  <c r="X20" i="19" s="1"/>
  <c r="W35" i="35"/>
  <c r="W20" i="19" s="1"/>
  <c r="R121" i="1"/>
  <c r="S35" i="35" s="1"/>
  <c r="S20" i="19" s="1"/>
  <c r="R35" i="35"/>
  <c r="R20" i="19" s="1"/>
  <c r="AB121" i="1"/>
  <c r="AC35" i="35" s="1"/>
  <c r="AC20" i="19" s="1"/>
  <c r="AB35" i="35"/>
  <c r="AB20" i="19" s="1"/>
  <c r="AG121" i="1"/>
  <c r="AG35" i="35"/>
  <c r="AG20" i="19" s="1"/>
  <c r="E33" i="10"/>
  <c r="F58" i="1"/>
  <c r="F30" i="10"/>
  <c r="F59" i="1"/>
  <c r="F31" i="10"/>
  <c r="F60" i="1"/>
  <c r="F32" i="10"/>
  <c r="E50" i="10"/>
  <c r="F92" i="1"/>
  <c r="F47" i="10"/>
  <c r="F94" i="1"/>
  <c r="F49" i="10"/>
  <c r="F93" i="1"/>
  <c r="F48" i="10"/>
  <c r="E14" i="1"/>
  <c r="G48" i="34" l="1"/>
  <c r="E10" i="19"/>
  <c r="AK127" i="1"/>
  <c r="F51" i="34"/>
  <c r="F17" i="19" s="1"/>
  <c r="AK125" i="1"/>
  <c r="G50" i="34"/>
  <c r="AH121" i="1"/>
  <c r="AH72" i="23"/>
  <c r="AH19" i="19" s="1"/>
  <c r="AH35" i="35"/>
  <c r="AH20" i="19" s="1"/>
  <c r="AK126" i="1"/>
  <c r="G49" i="34"/>
  <c r="E9" i="19"/>
  <c r="G236" i="1"/>
  <c r="G42" i="36"/>
  <c r="G238" i="1"/>
  <c r="G44" i="36"/>
  <c r="G240" i="1"/>
  <c r="G46" i="36"/>
  <c r="G237" i="1"/>
  <c r="G43" i="36"/>
  <c r="F47" i="36"/>
  <c r="F23" i="19" s="1"/>
  <c r="G239" i="1"/>
  <c r="G45" i="36"/>
  <c r="D11" i="19"/>
  <c r="C11" i="19" s="1"/>
  <c r="G235" i="1"/>
  <c r="G41" i="36"/>
  <c r="G88" i="1"/>
  <c r="H44" i="34" s="1"/>
  <c r="G90" i="1"/>
  <c r="H46" i="34" s="1"/>
  <c r="G91" i="1"/>
  <c r="H47" i="34" s="1"/>
  <c r="G89" i="1"/>
  <c r="H45" i="34" s="1"/>
  <c r="G60" i="1"/>
  <c r="G32" i="10"/>
  <c r="G59" i="1"/>
  <c r="G31" i="10"/>
  <c r="F33" i="10"/>
  <c r="F9" i="19" s="1"/>
  <c r="G58" i="1"/>
  <c r="G30" i="10"/>
  <c r="F50" i="10"/>
  <c r="F10" i="19" s="1"/>
  <c r="G93" i="1"/>
  <c r="G48" i="10"/>
  <c r="G94" i="1"/>
  <c r="G49" i="10"/>
  <c r="G92" i="1"/>
  <c r="G47" i="10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D58" i="23"/>
  <c r="D55" i="18"/>
  <c r="D21" i="18"/>
  <c r="G51" i="34" l="1"/>
  <c r="G17" i="19" s="1"/>
  <c r="D68" i="18"/>
  <c r="H49" i="34"/>
  <c r="AH18" i="19"/>
  <c r="AI121" i="1"/>
  <c r="AI72" i="23"/>
  <c r="AI19" i="19" s="1"/>
  <c r="AI35" i="35"/>
  <c r="AI20" i="19" s="1"/>
  <c r="AL127" i="1"/>
  <c r="H48" i="34"/>
  <c r="H50" i="34"/>
  <c r="C58" i="23"/>
  <c r="AL126" i="1"/>
  <c r="AL125" i="1"/>
  <c r="H240" i="1"/>
  <c r="H46" i="36"/>
  <c r="H238" i="1"/>
  <c r="H44" i="36"/>
  <c r="H236" i="1"/>
  <c r="H42" i="36"/>
  <c r="H239" i="1"/>
  <c r="H45" i="36"/>
  <c r="H235" i="1"/>
  <c r="H41" i="36"/>
  <c r="G47" i="36"/>
  <c r="G23" i="19" s="1"/>
  <c r="H237" i="1"/>
  <c r="H43" i="36"/>
  <c r="H91" i="1"/>
  <c r="I47" i="34" s="1"/>
  <c r="H90" i="1"/>
  <c r="I46" i="34" s="1"/>
  <c r="H89" i="1"/>
  <c r="I45" i="34" s="1"/>
  <c r="H88" i="1"/>
  <c r="I44" i="34" s="1"/>
  <c r="G33" i="10"/>
  <c r="G9" i="19" s="1"/>
  <c r="H59" i="1"/>
  <c r="H31" i="10"/>
  <c r="H58" i="1"/>
  <c r="H30" i="10"/>
  <c r="H60" i="1"/>
  <c r="H32" i="10"/>
  <c r="G50" i="10"/>
  <c r="G10" i="19" s="1"/>
  <c r="H92" i="1"/>
  <c r="H47" i="10"/>
  <c r="H94" i="1"/>
  <c r="H49" i="10"/>
  <c r="H93" i="1"/>
  <c r="H48" i="10"/>
  <c r="H51" i="34" l="1"/>
  <c r="H17" i="19" s="1"/>
  <c r="AI18" i="19"/>
  <c r="I49" i="34"/>
  <c r="AM125" i="1"/>
  <c r="AJ121" i="1"/>
  <c r="AJ72" i="23"/>
  <c r="AJ19" i="19" s="1"/>
  <c r="AJ35" i="35"/>
  <c r="AJ20" i="19" s="1"/>
  <c r="I50" i="34"/>
  <c r="AM126" i="1"/>
  <c r="I48" i="34"/>
  <c r="AM127" i="1"/>
  <c r="I236" i="1"/>
  <c r="I42" i="36"/>
  <c r="I237" i="1"/>
  <c r="I43" i="36"/>
  <c r="I238" i="1"/>
  <c r="I44" i="36"/>
  <c r="I239" i="1"/>
  <c r="I45" i="36"/>
  <c r="I240" i="1"/>
  <c r="I46" i="36"/>
  <c r="H47" i="36"/>
  <c r="H23" i="19" s="1"/>
  <c r="I235" i="1"/>
  <c r="I41" i="36"/>
  <c r="I89" i="1"/>
  <c r="J45" i="34" s="1"/>
  <c r="I90" i="1"/>
  <c r="J46" i="34" s="1"/>
  <c r="I88" i="1"/>
  <c r="J44" i="34" s="1"/>
  <c r="I91" i="1"/>
  <c r="J47" i="34" s="1"/>
  <c r="I60" i="1"/>
  <c r="I32" i="10"/>
  <c r="H33" i="10"/>
  <c r="H9" i="19" s="1"/>
  <c r="I58" i="1"/>
  <c r="I30" i="10"/>
  <c r="I59" i="1"/>
  <c r="I31" i="10"/>
  <c r="I94" i="1"/>
  <c r="I49" i="10"/>
  <c r="I93" i="1"/>
  <c r="I48" i="10"/>
  <c r="H50" i="10"/>
  <c r="I92" i="1"/>
  <c r="I47" i="10"/>
  <c r="H55" i="23"/>
  <c r="L55" i="23"/>
  <c r="P55" i="23"/>
  <c r="T55" i="23"/>
  <c r="X55" i="23"/>
  <c r="AB55" i="23"/>
  <c r="AF55" i="23"/>
  <c r="G56" i="23"/>
  <c r="K56" i="23"/>
  <c r="O56" i="23"/>
  <c r="S56" i="23"/>
  <c r="W56" i="23"/>
  <c r="AA56" i="23"/>
  <c r="AE56" i="23"/>
  <c r="F57" i="23"/>
  <c r="J57" i="23"/>
  <c r="N57" i="23"/>
  <c r="R57" i="23"/>
  <c r="V57" i="23"/>
  <c r="Z57" i="23"/>
  <c r="AD57" i="23"/>
  <c r="E59" i="23"/>
  <c r="I59" i="23"/>
  <c r="M59" i="23"/>
  <c r="Q59" i="23"/>
  <c r="U59" i="23"/>
  <c r="Y59" i="23"/>
  <c r="AC59" i="23"/>
  <c r="AG59" i="23"/>
  <c r="D55" i="23"/>
  <c r="E55" i="18"/>
  <c r="F55" i="18"/>
  <c r="F68" i="18" s="1"/>
  <c r="G55" i="18"/>
  <c r="G68" i="18" s="1"/>
  <c r="H55" i="18"/>
  <c r="H68" i="18" s="1"/>
  <c r="I55" i="18"/>
  <c r="I68" i="18" s="1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E56" i="18"/>
  <c r="E69" i="18" s="1"/>
  <c r="F56" i="18"/>
  <c r="F69" i="18" s="1"/>
  <c r="G56" i="18"/>
  <c r="G69" i="18" s="1"/>
  <c r="H56" i="18"/>
  <c r="H69" i="18" s="1"/>
  <c r="I56" i="18"/>
  <c r="I69" i="18" s="1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E57" i="18"/>
  <c r="E70" i="18" s="1"/>
  <c r="F57" i="18"/>
  <c r="F70" i="18" s="1"/>
  <c r="G57" i="18"/>
  <c r="G70" i="18" s="1"/>
  <c r="H57" i="18"/>
  <c r="H70" i="18" s="1"/>
  <c r="I57" i="18"/>
  <c r="I70" i="18" s="1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E58" i="18"/>
  <c r="E71" i="18" s="1"/>
  <c r="F58" i="18"/>
  <c r="F71" i="18" s="1"/>
  <c r="G58" i="18"/>
  <c r="G71" i="18" s="1"/>
  <c r="H58" i="18"/>
  <c r="H71" i="18" s="1"/>
  <c r="I58" i="18"/>
  <c r="I71" i="18" s="1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D56" i="18"/>
  <c r="D57" i="18"/>
  <c r="D58" i="18"/>
  <c r="I51" i="34" l="1"/>
  <c r="I17" i="19" s="1"/>
  <c r="AJ18" i="19"/>
  <c r="H10" i="19"/>
  <c r="AN127" i="1"/>
  <c r="AK121" i="1"/>
  <c r="AK72" i="23"/>
  <c r="AK19" i="19" s="1"/>
  <c r="AK35" i="35"/>
  <c r="AK20" i="19" s="1"/>
  <c r="J48" i="34"/>
  <c r="C58" i="18"/>
  <c r="D71" i="18"/>
  <c r="AN125" i="1"/>
  <c r="J50" i="34"/>
  <c r="C56" i="18"/>
  <c r="D69" i="18"/>
  <c r="C57" i="18"/>
  <c r="D70" i="18"/>
  <c r="E68" i="18"/>
  <c r="C55" i="18"/>
  <c r="AN126" i="1"/>
  <c r="J49" i="34"/>
  <c r="J240" i="1"/>
  <c r="J46" i="36"/>
  <c r="J239" i="1"/>
  <c r="J45" i="36"/>
  <c r="J238" i="1"/>
  <c r="J44" i="36"/>
  <c r="J237" i="1"/>
  <c r="J43" i="36"/>
  <c r="I47" i="36"/>
  <c r="I23" i="19" s="1"/>
  <c r="J235" i="1"/>
  <c r="J41" i="36"/>
  <c r="J236" i="1"/>
  <c r="J42" i="36"/>
  <c r="J91" i="1"/>
  <c r="K47" i="34" s="1"/>
  <c r="J71" i="18"/>
  <c r="J88" i="1"/>
  <c r="K44" i="34" s="1"/>
  <c r="J68" i="18"/>
  <c r="J90" i="1"/>
  <c r="K46" i="34" s="1"/>
  <c r="J70" i="18"/>
  <c r="J89" i="1"/>
  <c r="K45" i="34" s="1"/>
  <c r="J69" i="18"/>
  <c r="J59" i="1"/>
  <c r="J31" i="10"/>
  <c r="I33" i="10"/>
  <c r="J58" i="1"/>
  <c r="J30" i="10"/>
  <c r="I50" i="10"/>
  <c r="I10" i="19" s="1"/>
  <c r="J60" i="1"/>
  <c r="J32" i="10"/>
  <c r="J92" i="1"/>
  <c r="J47" i="10"/>
  <c r="J93" i="1"/>
  <c r="J48" i="10"/>
  <c r="J94" i="1"/>
  <c r="J49" i="10"/>
  <c r="D56" i="23"/>
  <c r="AF59" i="23"/>
  <c r="AB59" i="23"/>
  <c r="X59" i="23"/>
  <c r="T59" i="23"/>
  <c r="P59" i="23"/>
  <c r="L59" i="23"/>
  <c r="H59" i="23"/>
  <c r="AG57" i="23"/>
  <c r="AC57" i="23"/>
  <c r="Y57" i="23"/>
  <c r="U57" i="23"/>
  <c r="Q57" i="23"/>
  <c r="M57" i="23"/>
  <c r="I57" i="23"/>
  <c r="E57" i="23"/>
  <c r="Z56" i="23"/>
  <c r="V56" i="23"/>
  <c r="R56" i="23"/>
  <c r="J56" i="23"/>
  <c r="F56" i="23"/>
  <c r="AE55" i="23"/>
  <c r="W55" i="23"/>
  <c r="S55" i="23"/>
  <c r="O55" i="23"/>
  <c r="G55" i="23"/>
  <c r="D57" i="23"/>
  <c r="AE59" i="23"/>
  <c r="AA59" i="23"/>
  <c r="W59" i="23"/>
  <c r="S59" i="23"/>
  <c r="O59" i="23"/>
  <c r="K59" i="23"/>
  <c r="G59" i="23"/>
  <c r="AF57" i="23"/>
  <c r="AB57" i="23"/>
  <c r="X57" i="23"/>
  <c r="T57" i="23"/>
  <c r="P57" i="23"/>
  <c r="L57" i="23"/>
  <c r="H57" i="23"/>
  <c r="AG56" i="23"/>
  <c r="AC56" i="23"/>
  <c r="Y56" i="23"/>
  <c r="U56" i="23"/>
  <c r="Q56" i="23"/>
  <c r="M56" i="23"/>
  <c r="I56" i="23"/>
  <c r="E56" i="23"/>
  <c r="AD55" i="23"/>
  <c r="Z55" i="23"/>
  <c r="V55" i="23"/>
  <c r="R55" i="23"/>
  <c r="N55" i="23"/>
  <c r="J55" i="23"/>
  <c r="F55" i="23"/>
  <c r="D59" i="23"/>
  <c r="AD59" i="23"/>
  <c r="Z59" i="23"/>
  <c r="V59" i="23"/>
  <c r="R59" i="23"/>
  <c r="N59" i="23"/>
  <c r="J59" i="23"/>
  <c r="F59" i="23"/>
  <c r="AE57" i="23"/>
  <c r="AA57" i="23"/>
  <c r="W57" i="23"/>
  <c r="S57" i="23"/>
  <c r="O57" i="23"/>
  <c r="K57" i="23"/>
  <c r="G57" i="23"/>
  <c r="AF56" i="23"/>
  <c r="AB56" i="23"/>
  <c r="X56" i="23"/>
  <c r="T56" i="23"/>
  <c r="P56" i="23"/>
  <c r="L56" i="23"/>
  <c r="H56" i="23"/>
  <c r="AG55" i="23"/>
  <c r="AC55" i="23"/>
  <c r="Y55" i="23"/>
  <c r="U55" i="23"/>
  <c r="Q55" i="23"/>
  <c r="M55" i="23"/>
  <c r="I55" i="23"/>
  <c r="E55" i="23"/>
  <c r="C55" i="23" s="1"/>
  <c r="AD22" i="18"/>
  <c r="Z22" i="18"/>
  <c r="R22" i="18"/>
  <c r="N22" i="18"/>
  <c r="J22" i="18"/>
  <c r="G15" i="18"/>
  <c r="AG21" i="18"/>
  <c r="AC21" i="18"/>
  <c r="Y21" i="18"/>
  <c r="U21" i="18"/>
  <c r="Q21" i="18"/>
  <c r="M21" i="18"/>
  <c r="I21" i="18"/>
  <c r="E21" i="18"/>
  <c r="S22" i="18"/>
  <c r="AE7" i="18"/>
  <c r="W21" i="18"/>
  <c r="S21" i="18"/>
  <c r="K7" i="18"/>
  <c r="G21" i="18"/>
  <c r="AA15" i="18"/>
  <c r="W15" i="18"/>
  <c r="K15" i="18"/>
  <c r="AA7" i="18"/>
  <c r="AA21" i="18"/>
  <c r="K21" i="18"/>
  <c r="Y22" i="18"/>
  <c r="AG15" i="18"/>
  <c r="AC15" i="18"/>
  <c r="Y15" i="18"/>
  <c r="U15" i="18"/>
  <c r="Q15" i="18"/>
  <c r="M15" i="18"/>
  <c r="I15" i="18"/>
  <c r="E15" i="18"/>
  <c r="AD56" i="23"/>
  <c r="N56" i="23"/>
  <c r="AA55" i="23"/>
  <c r="K55" i="23"/>
  <c r="AF21" i="18"/>
  <c r="AB21" i="18"/>
  <c r="X21" i="18"/>
  <c r="T21" i="18"/>
  <c r="P21" i="18"/>
  <c r="L21" i="18"/>
  <c r="H21" i="18"/>
  <c r="Z21" i="18"/>
  <c r="V7" i="18"/>
  <c r="J21" i="18"/>
  <c r="F7" i="18"/>
  <c r="Y7" i="18"/>
  <c r="I7" i="18"/>
  <c r="AE21" i="18"/>
  <c r="S15" i="18"/>
  <c r="O21" i="18"/>
  <c r="N21" i="18"/>
  <c r="N7" i="18"/>
  <c r="F21" i="18"/>
  <c r="V21" i="18"/>
  <c r="Z7" i="18"/>
  <c r="AF7" i="18"/>
  <c r="AB7" i="18"/>
  <c r="X7" i="18"/>
  <c r="T7" i="18"/>
  <c r="P7" i="18"/>
  <c r="L7" i="18"/>
  <c r="H7" i="18"/>
  <c r="AC22" i="18"/>
  <c r="M22" i="18"/>
  <c r="I22" i="18"/>
  <c r="O7" i="18"/>
  <c r="D15" i="18"/>
  <c r="AD15" i="18"/>
  <c r="Z15" i="18"/>
  <c r="V15" i="18"/>
  <c r="R15" i="18"/>
  <c r="N15" i="18"/>
  <c r="J15" i="18"/>
  <c r="AE15" i="18"/>
  <c r="O15" i="18"/>
  <c r="AD21" i="18"/>
  <c r="AD7" i="18"/>
  <c r="R7" i="18"/>
  <c r="R21" i="18"/>
  <c r="J7" i="18"/>
  <c r="W22" i="18"/>
  <c r="G22" i="18"/>
  <c r="W7" i="18"/>
  <c r="G7" i="18"/>
  <c r="AF22" i="18"/>
  <c r="AB22" i="18"/>
  <c r="X22" i="18"/>
  <c r="T22" i="18"/>
  <c r="P22" i="18"/>
  <c r="L22" i="18"/>
  <c r="H22" i="18"/>
  <c r="F15" i="18"/>
  <c r="D22" i="18"/>
  <c r="AG22" i="18"/>
  <c r="AA22" i="18"/>
  <c r="V22" i="18"/>
  <c r="Q22" i="18"/>
  <c r="K22" i="18"/>
  <c r="F22" i="18"/>
  <c r="AC7" i="18"/>
  <c r="M7" i="18"/>
  <c r="S7" i="18"/>
  <c r="AE22" i="18"/>
  <c r="U22" i="18"/>
  <c r="O22" i="18"/>
  <c r="E22" i="18"/>
  <c r="AF15" i="18"/>
  <c r="AB15" i="18"/>
  <c r="X15" i="18"/>
  <c r="T15" i="18"/>
  <c r="P15" i="18"/>
  <c r="L15" i="18"/>
  <c r="H15" i="18"/>
  <c r="U49" i="23"/>
  <c r="E49" i="23"/>
  <c r="AG49" i="23"/>
  <c r="AC49" i="23"/>
  <c r="Y49" i="23"/>
  <c r="Q49" i="23"/>
  <c r="M49" i="23"/>
  <c r="I49" i="23"/>
  <c r="AD49" i="23"/>
  <c r="Z49" i="23"/>
  <c r="V49" i="23"/>
  <c r="R49" i="23"/>
  <c r="N49" i="23"/>
  <c r="J49" i="23"/>
  <c r="AE49" i="23"/>
  <c r="AA49" i="23"/>
  <c r="W49" i="23"/>
  <c r="S49" i="23"/>
  <c r="O49" i="23"/>
  <c r="K49" i="23"/>
  <c r="G49" i="23"/>
  <c r="AF49" i="23"/>
  <c r="AB49" i="23"/>
  <c r="X49" i="23"/>
  <c r="T49" i="23"/>
  <c r="P49" i="23"/>
  <c r="L49" i="23"/>
  <c r="H49" i="23"/>
  <c r="AE38" i="23"/>
  <c r="AA38" i="23"/>
  <c r="W38" i="23"/>
  <c r="S38" i="23"/>
  <c r="O38" i="23"/>
  <c r="K38" i="23"/>
  <c r="G38" i="23"/>
  <c r="AB38" i="23"/>
  <c r="T38" i="23"/>
  <c r="L38" i="23"/>
  <c r="D49" i="23"/>
  <c r="F49" i="23"/>
  <c r="AG38" i="23"/>
  <c r="AC38" i="23"/>
  <c r="Y38" i="23"/>
  <c r="U38" i="23"/>
  <c r="Q38" i="23"/>
  <c r="M38" i="23"/>
  <c r="I38" i="23"/>
  <c r="E38" i="23"/>
  <c r="AF38" i="23"/>
  <c r="X38" i="23"/>
  <c r="P38" i="23"/>
  <c r="H38" i="23"/>
  <c r="AD38" i="23"/>
  <c r="Z38" i="23"/>
  <c r="V38" i="23"/>
  <c r="R38" i="23"/>
  <c r="N38" i="23"/>
  <c r="J38" i="23"/>
  <c r="F38" i="23"/>
  <c r="D38" i="23"/>
  <c r="AG7" i="18"/>
  <c r="Q7" i="18"/>
  <c r="U7" i="18"/>
  <c r="E7" i="18"/>
  <c r="D7" i="18"/>
  <c r="J51" i="34" l="1"/>
  <c r="J17" i="19" s="1"/>
  <c r="C22" i="18"/>
  <c r="C21" i="18"/>
  <c r="C56" i="23"/>
  <c r="AL121" i="1"/>
  <c r="AL35" i="35"/>
  <c r="AL20" i="19" s="1"/>
  <c r="AL72" i="23"/>
  <c r="AL19" i="19" s="1"/>
  <c r="C38" i="23"/>
  <c r="C57" i="23"/>
  <c r="K50" i="34"/>
  <c r="AO127" i="1"/>
  <c r="C7" i="18"/>
  <c r="I9" i="19"/>
  <c r="C59" i="23"/>
  <c r="K49" i="34"/>
  <c r="AO126" i="1"/>
  <c r="AO125" i="1"/>
  <c r="C49" i="23"/>
  <c r="C15" i="18"/>
  <c r="AK18" i="19"/>
  <c r="K48" i="34"/>
  <c r="K237" i="1"/>
  <c r="K43" i="36"/>
  <c r="K238" i="1"/>
  <c r="K44" i="36"/>
  <c r="K236" i="1"/>
  <c r="K42" i="36"/>
  <c r="K239" i="1"/>
  <c r="K45" i="36"/>
  <c r="J47" i="36"/>
  <c r="J23" i="19" s="1"/>
  <c r="K235" i="1"/>
  <c r="K41" i="36"/>
  <c r="K240" i="1"/>
  <c r="K46" i="36"/>
  <c r="K89" i="1"/>
  <c r="L45" i="34" s="1"/>
  <c r="K69" i="18"/>
  <c r="K90" i="1"/>
  <c r="L46" i="34" s="1"/>
  <c r="K70" i="18"/>
  <c r="K88" i="1"/>
  <c r="L44" i="34" s="1"/>
  <c r="K68" i="18"/>
  <c r="K91" i="1"/>
  <c r="L47" i="34" s="1"/>
  <c r="K71" i="18"/>
  <c r="K60" i="1"/>
  <c r="K32" i="10"/>
  <c r="J33" i="10"/>
  <c r="J9" i="19" s="1"/>
  <c r="K58" i="1"/>
  <c r="K30" i="10"/>
  <c r="K59" i="1"/>
  <c r="K31" i="10"/>
  <c r="K94" i="1"/>
  <c r="K49" i="10"/>
  <c r="K93" i="1"/>
  <c r="K48" i="10"/>
  <c r="J50" i="10"/>
  <c r="J10" i="19" s="1"/>
  <c r="K92" i="1"/>
  <c r="K47" i="10"/>
  <c r="AA60" i="23"/>
  <c r="AA61" i="23" s="1"/>
  <c r="AE60" i="23"/>
  <c r="AE61" i="23" s="1"/>
  <c r="J60" i="23"/>
  <c r="J61" i="23" s="1"/>
  <c r="O60" i="23"/>
  <c r="O61" i="23" s="1"/>
  <c r="Q60" i="23"/>
  <c r="Q61" i="23" s="1"/>
  <c r="AG60" i="23"/>
  <c r="AG61" i="23" s="1"/>
  <c r="T60" i="23"/>
  <c r="T61" i="23" s="1"/>
  <c r="D60" i="23"/>
  <c r="W60" i="23"/>
  <c r="W61" i="23" s="1"/>
  <c r="R60" i="23"/>
  <c r="R61" i="23" s="1"/>
  <c r="Z60" i="23"/>
  <c r="Z61" i="23" s="1"/>
  <c r="M60" i="23"/>
  <c r="M61" i="23" s="1"/>
  <c r="AC60" i="23"/>
  <c r="AC61" i="23" s="1"/>
  <c r="P60" i="23"/>
  <c r="P61" i="23" s="1"/>
  <c r="AF60" i="23"/>
  <c r="AF61" i="23" s="1"/>
  <c r="I60" i="23"/>
  <c r="I61" i="23" s="1"/>
  <c r="Y60" i="23"/>
  <c r="Y61" i="23" s="1"/>
  <c r="L60" i="23"/>
  <c r="L61" i="23" s="1"/>
  <c r="AB60" i="23"/>
  <c r="AB61" i="23" s="1"/>
  <c r="E60" i="23"/>
  <c r="E61" i="23" s="1"/>
  <c r="U60" i="23"/>
  <c r="U61" i="23" s="1"/>
  <c r="H60" i="23"/>
  <c r="H61" i="23" s="1"/>
  <c r="X60" i="23"/>
  <c r="X61" i="23" s="1"/>
  <c r="F60" i="23"/>
  <c r="F61" i="23" s="1"/>
  <c r="V60" i="23"/>
  <c r="V61" i="23" s="1"/>
  <c r="S60" i="23"/>
  <c r="S61" i="23" s="1"/>
  <c r="AD60" i="23"/>
  <c r="AD61" i="23" s="1"/>
  <c r="G60" i="23"/>
  <c r="G61" i="23" s="1"/>
  <c r="K60" i="23"/>
  <c r="K61" i="23" s="1"/>
  <c r="M60" i="18"/>
  <c r="R23" i="18"/>
  <c r="AG23" i="18"/>
  <c r="G59" i="18"/>
  <c r="G72" i="18" s="1"/>
  <c r="AA60" i="18"/>
  <c r="J60" i="18"/>
  <c r="J73" i="18" s="1"/>
  <c r="K60" i="18"/>
  <c r="K73" i="18" s="1"/>
  <c r="Q23" i="18"/>
  <c r="U23" i="18"/>
  <c r="O23" i="18"/>
  <c r="W61" i="18"/>
  <c r="J23" i="18"/>
  <c r="F23" i="18"/>
  <c r="AC23" i="18"/>
  <c r="Z23" i="18"/>
  <c r="T23" i="18"/>
  <c r="K23" i="18"/>
  <c r="AF61" i="18"/>
  <c r="AD23" i="18"/>
  <c r="S23" i="18"/>
  <c r="AA23" i="18"/>
  <c r="H23" i="18"/>
  <c r="N23" i="18"/>
  <c r="V61" i="18"/>
  <c r="V23" i="18"/>
  <c r="W23" i="18"/>
  <c r="P61" i="18"/>
  <c r="AB23" i="18"/>
  <c r="Y61" i="18"/>
  <c r="G23" i="18"/>
  <c r="E23" i="18"/>
  <c r="P23" i="18"/>
  <c r="Y23" i="18"/>
  <c r="N60" i="23"/>
  <c r="N61" i="23" s="1"/>
  <c r="AB61" i="18"/>
  <c r="M23" i="18"/>
  <c r="H60" i="18"/>
  <c r="H73" i="18" s="1"/>
  <c r="X23" i="18"/>
  <c r="U61" i="18"/>
  <c r="V59" i="18"/>
  <c r="AE23" i="18"/>
  <c r="AA61" i="18"/>
  <c r="AF23" i="18"/>
  <c r="R60" i="18"/>
  <c r="Z60" i="18"/>
  <c r="X60" i="18"/>
  <c r="S59" i="18"/>
  <c r="F59" i="18"/>
  <c r="F72" i="18" s="1"/>
  <c r="AC60" i="18"/>
  <c r="G61" i="18"/>
  <c r="G74" i="18" s="1"/>
  <c r="I23" i="18"/>
  <c r="L23" i="18"/>
  <c r="D23" i="18"/>
  <c r="K51" i="34" l="1"/>
  <c r="K17" i="19" s="1"/>
  <c r="AL18" i="19"/>
  <c r="AP126" i="1"/>
  <c r="AP127" i="1"/>
  <c r="L48" i="34"/>
  <c r="AM121" i="1"/>
  <c r="AM35" i="35"/>
  <c r="AM20" i="19" s="1"/>
  <c r="AM72" i="23"/>
  <c r="AM19" i="19" s="1"/>
  <c r="D61" i="23"/>
  <c r="C61" i="23" s="1"/>
  <c r="C60" i="23"/>
  <c r="L50" i="34"/>
  <c r="C23" i="18"/>
  <c r="L49" i="34"/>
  <c r="AP125" i="1"/>
  <c r="L235" i="1"/>
  <c r="L41" i="36"/>
  <c r="L239" i="1"/>
  <c r="L45" i="36"/>
  <c r="L236" i="1"/>
  <c r="L42" i="36"/>
  <c r="L238" i="1"/>
  <c r="L44" i="36"/>
  <c r="L237" i="1"/>
  <c r="L43" i="36"/>
  <c r="L240" i="1"/>
  <c r="L46" i="36"/>
  <c r="K47" i="36"/>
  <c r="K23" i="19" s="1"/>
  <c r="L91" i="1"/>
  <c r="M47" i="34" s="1"/>
  <c r="L71" i="18"/>
  <c r="L88" i="1"/>
  <c r="M44" i="34" s="1"/>
  <c r="L68" i="18"/>
  <c r="L90" i="1"/>
  <c r="M46" i="34" s="1"/>
  <c r="L70" i="18"/>
  <c r="L89" i="1"/>
  <c r="M45" i="34" s="1"/>
  <c r="L69" i="18"/>
  <c r="L59" i="1"/>
  <c r="L31" i="10"/>
  <c r="K33" i="10"/>
  <c r="K9" i="19" s="1"/>
  <c r="L58" i="1"/>
  <c r="L30" i="10"/>
  <c r="L60" i="1"/>
  <c r="L32" i="10"/>
  <c r="K50" i="10"/>
  <c r="K10" i="19" s="1"/>
  <c r="L92" i="1"/>
  <c r="L47" i="10"/>
  <c r="L93" i="1"/>
  <c r="L48" i="10"/>
  <c r="L94" i="1"/>
  <c r="L49" i="10"/>
  <c r="Y60" i="18"/>
  <c r="T60" i="18"/>
  <c r="L61" i="18"/>
  <c r="L74" i="18" s="1"/>
  <c r="Q61" i="18"/>
  <c r="AE59" i="18"/>
  <c r="AE36" i="18"/>
  <c r="AE61" i="18"/>
  <c r="AD61" i="18"/>
  <c r="V36" i="18"/>
  <c r="AG61" i="18"/>
  <c r="N60" i="18"/>
  <c r="E60" i="18"/>
  <c r="E73" i="18" s="1"/>
  <c r="F61" i="18"/>
  <c r="F74" i="18" s="1"/>
  <c r="G60" i="18"/>
  <c r="G73" i="18" s="1"/>
  <c r="Q60" i="18"/>
  <c r="U60" i="18"/>
  <c r="AB36" i="18"/>
  <c r="Y36" i="18"/>
  <c r="L36" i="18"/>
  <c r="AE60" i="18"/>
  <c r="I60" i="18"/>
  <c r="I73" i="18" s="1"/>
  <c r="AB60" i="18"/>
  <c r="H61" i="18"/>
  <c r="H74" i="18" s="1"/>
  <c r="F36" i="18"/>
  <c r="D61" i="18"/>
  <c r="P36" i="18"/>
  <c r="V60" i="18"/>
  <c r="AA59" i="18"/>
  <c r="W59" i="18"/>
  <c r="M61" i="18"/>
  <c r="K59" i="18"/>
  <c r="K72" i="18" s="1"/>
  <c r="X61" i="18"/>
  <c r="T61" i="18"/>
  <c r="K36" i="18"/>
  <c r="AG60" i="18"/>
  <c r="F60" i="18"/>
  <c r="F73" i="18" s="1"/>
  <c r="Z61" i="18"/>
  <c r="H36" i="18"/>
  <c r="AF59" i="18"/>
  <c r="AC61" i="18"/>
  <c r="AA36" i="18"/>
  <c r="K61" i="18"/>
  <c r="K74" i="18" s="1"/>
  <c r="L59" i="18"/>
  <c r="L72" i="18" s="1"/>
  <c r="W60" i="18"/>
  <c r="J61" i="18"/>
  <c r="J74" i="18" s="1"/>
  <c r="P60" i="18"/>
  <c r="I59" i="18"/>
  <c r="I72" i="18" s="1"/>
  <c r="H59" i="18"/>
  <c r="H72" i="18" s="1"/>
  <c r="T59" i="18"/>
  <c r="I61" i="18"/>
  <c r="I74" i="18" s="1"/>
  <c r="Y59" i="18"/>
  <c r="S61" i="18"/>
  <c r="X59" i="18"/>
  <c r="S60" i="18"/>
  <c r="L60" i="18"/>
  <c r="L73" i="18" s="1"/>
  <c r="I36" i="18"/>
  <c r="N59" i="18"/>
  <c r="N36" i="18"/>
  <c r="AD36" i="18"/>
  <c r="AD59" i="18"/>
  <c r="J36" i="18"/>
  <c r="E61" i="18"/>
  <c r="E74" i="18" s="1"/>
  <c r="X36" i="18"/>
  <c r="R61" i="18"/>
  <c r="D59" i="18"/>
  <c r="AF60" i="18"/>
  <c r="AF36" i="18"/>
  <c r="Z59" i="18"/>
  <c r="O60" i="18"/>
  <c r="Q36" i="18"/>
  <c r="Q59" i="18"/>
  <c r="AC36" i="18"/>
  <c r="AC59" i="18"/>
  <c r="W36" i="18"/>
  <c r="R36" i="18"/>
  <c r="R59" i="18"/>
  <c r="M36" i="18"/>
  <c r="M59" i="18"/>
  <c r="U36" i="18"/>
  <c r="U59" i="18"/>
  <c r="N61" i="18"/>
  <c r="P59" i="18"/>
  <c r="E36" i="18"/>
  <c r="E59" i="18"/>
  <c r="E72" i="18" s="1"/>
  <c r="AG36" i="18"/>
  <c r="AG59" i="18"/>
  <c r="O59" i="18"/>
  <c r="O36" i="18"/>
  <c r="O61" i="18"/>
  <c r="D36" i="18"/>
  <c r="D60" i="18"/>
  <c r="S36" i="18"/>
  <c r="T36" i="18"/>
  <c r="AB59" i="18"/>
  <c r="AD60" i="18"/>
  <c r="J59" i="18"/>
  <c r="J72" i="18" s="1"/>
  <c r="Z36" i="18"/>
  <c r="G36" i="18"/>
  <c r="D4" i="19"/>
  <c r="D4" i="24"/>
  <c r="D4" i="23"/>
  <c r="D4" i="18"/>
  <c r="D4" i="10"/>
  <c r="D4" i="6"/>
  <c r="D4" i="4"/>
  <c r="D4" i="3"/>
  <c r="D4" i="2"/>
  <c r="I4" i="2" s="1"/>
  <c r="I25" i="2" s="1"/>
  <c r="L51" i="34" l="1"/>
  <c r="L17" i="19" s="1"/>
  <c r="AM18" i="19"/>
  <c r="C61" i="18"/>
  <c r="D74" i="18"/>
  <c r="AQ125" i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D47" i="6"/>
  <c r="AK4" i="6"/>
  <c r="AL4" i="6"/>
  <c r="AM4" i="6"/>
  <c r="AN4" i="6"/>
  <c r="AH4" i="6"/>
  <c r="AI4" i="6"/>
  <c r="AJ4" i="6"/>
  <c r="M72" i="18"/>
  <c r="M48" i="34"/>
  <c r="AQ127" i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AN121" i="1"/>
  <c r="AN35" i="35"/>
  <c r="AN20" i="19" s="1"/>
  <c r="AN72" i="23"/>
  <c r="AN19" i="19" s="1"/>
  <c r="C60" i="18"/>
  <c r="D73" i="18"/>
  <c r="M74" i="18"/>
  <c r="M50" i="34"/>
  <c r="D26" i="3"/>
  <c r="AH15" i="3"/>
  <c r="AJ4" i="3"/>
  <c r="AL4" i="3"/>
  <c r="AI15" i="3"/>
  <c r="AK4" i="3"/>
  <c r="AJ15" i="3"/>
  <c r="AK15" i="3"/>
  <c r="AM4" i="3"/>
  <c r="AN4" i="3"/>
  <c r="AH4" i="3"/>
  <c r="AL15" i="3"/>
  <c r="AM15" i="3"/>
  <c r="AN15" i="3"/>
  <c r="AI4" i="3"/>
  <c r="C36" i="18"/>
  <c r="AQ126" i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D20" i="4"/>
  <c r="AH4" i="4"/>
  <c r="AJ4" i="4"/>
  <c r="AL4" i="4"/>
  <c r="AI4" i="4"/>
  <c r="AK4" i="4"/>
  <c r="AM4" i="4"/>
  <c r="AN4" i="4"/>
  <c r="M73" i="18"/>
  <c r="M49" i="34"/>
  <c r="E38" i="10"/>
  <c r="AN38" i="10"/>
  <c r="AH4" i="10"/>
  <c r="AI4" i="10"/>
  <c r="AJ4" i="10"/>
  <c r="AH21" i="10"/>
  <c r="AK4" i="10"/>
  <c r="AI21" i="10"/>
  <c r="AM21" i="10"/>
  <c r="AK38" i="10"/>
  <c r="AN21" i="10"/>
  <c r="AL38" i="10"/>
  <c r="AH38" i="10"/>
  <c r="AN4" i="10"/>
  <c r="AL4" i="10"/>
  <c r="AI38" i="10"/>
  <c r="AJ21" i="10"/>
  <c r="AJ38" i="10"/>
  <c r="AK21" i="10"/>
  <c r="AM38" i="10"/>
  <c r="AM4" i="10"/>
  <c r="AL21" i="10"/>
  <c r="AK4" i="23"/>
  <c r="AL4" i="23"/>
  <c r="AM4" i="23"/>
  <c r="AI4" i="23"/>
  <c r="AJ4" i="23"/>
  <c r="AH4" i="23"/>
  <c r="AN4" i="23"/>
  <c r="C59" i="18"/>
  <c r="D72" i="18"/>
  <c r="AG4" i="19"/>
  <c r="AH4" i="19"/>
  <c r="AI4" i="19"/>
  <c r="AJ4" i="19"/>
  <c r="AK4" i="19"/>
  <c r="AL4" i="19"/>
  <c r="AM4" i="19"/>
  <c r="AN4" i="19"/>
  <c r="M237" i="1"/>
  <c r="M43" i="36"/>
  <c r="M238" i="1"/>
  <c r="M44" i="36"/>
  <c r="M236" i="1"/>
  <c r="M42" i="36"/>
  <c r="M240" i="1"/>
  <c r="M46" i="36"/>
  <c r="M239" i="1"/>
  <c r="M45" i="36"/>
  <c r="L47" i="36"/>
  <c r="L23" i="19" s="1"/>
  <c r="M235" i="1"/>
  <c r="M41" i="36"/>
  <c r="M89" i="1"/>
  <c r="N45" i="34" s="1"/>
  <c r="M69" i="18"/>
  <c r="M90" i="1"/>
  <c r="N46" i="34" s="1"/>
  <c r="M70" i="18"/>
  <c r="M88" i="1"/>
  <c r="N44" i="34" s="1"/>
  <c r="M68" i="18"/>
  <c r="M91" i="1"/>
  <c r="N47" i="34" s="1"/>
  <c r="M71" i="18"/>
  <c r="D21" i="10"/>
  <c r="D38" i="10"/>
  <c r="M60" i="1"/>
  <c r="M32" i="10"/>
  <c r="L33" i="10"/>
  <c r="L9" i="19" s="1"/>
  <c r="M58" i="1"/>
  <c r="M30" i="10"/>
  <c r="M59" i="1"/>
  <c r="M31" i="10"/>
  <c r="AE38" i="10"/>
  <c r="S38" i="10"/>
  <c r="G38" i="10"/>
  <c r="R38" i="10"/>
  <c r="F38" i="10"/>
  <c r="AD38" i="10"/>
  <c r="AC38" i="10"/>
  <c r="Q38" i="10"/>
  <c r="AB38" i="10"/>
  <c r="P38" i="10"/>
  <c r="AA38" i="10"/>
  <c r="O38" i="10"/>
  <c r="L38" i="10"/>
  <c r="Z38" i="10"/>
  <c r="N38" i="10"/>
  <c r="K38" i="10"/>
  <c r="V38" i="10"/>
  <c r="AF38" i="10"/>
  <c r="H38" i="10"/>
  <c r="Y38" i="10"/>
  <c r="M38" i="10"/>
  <c r="X38" i="10"/>
  <c r="W38" i="10"/>
  <c r="J38" i="10"/>
  <c r="AG38" i="10"/>
  <c r="U38" i="10"/>
  <c r="I38" i="10"/>
  <c r="T38" i="10"/>
  <c r="M94" i="1"/>
  <c r="M49" i="10"/>
  <c r="M93" i="1"/>
  <c r="M48" i="10"/>
  <c r="L50" i="10"/>
  <c r="L10" i="19" s="1"/>
  <c r="M92" i="1"/>
  <c r="M47" i="10"/>
  <c r="AE21" i="10"/>
  <c r="S21" i="10"/>
  <c r="G21" i="10"/>
  <c r="Y21" i="10"/>
  <c r="X21" i="10"/>
  <c r="AD21" i="10"/>
  <c r="R21" i="10"/>
  <c r="F21" i="10"/>
  <c r="W21" i="10"/>
  <c r="I21" i="10"/>
  <c r="AC21" i="10"/>
  <c r="Q21" i="10"/>
  <c r="E21" i="10"/>
  <c r="AB21" i="10"/>
  <c r="P21" i="10"/>
  <c r="K21" i="10"/>
  <c r="V21" i="10"/>
  <c r="U21" i="10"/>
  <c r="H21" i="10"/>
  <c r="Z21" i="10"/>
  <c r="T21" i="10"/>
  <c r="AA21" i="10"/>
  <c r="O21" i="10"/>
  <c r="N21" i="10"/>
  <c r="M21" i="10"/>
  <c r="J21" i="10"/>
  <c r="AG21" i="10"/>
  <c r="L21" i="10"/>
  <c r="AF21" i="10"/>
  <c r="E4" i="2"/>
  <c r="H4" i="2"/>
  <c r="H25" i="2" s="1"/>
  <c r="D22" i="23"/>
  <c r="D32" i="23"/>
  <c r="D54" i="23"/>
  <c r="D43" i="23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AH28" i="18" s="1"/>
  <c r="AI28" i="18" s="1"/>
  <c r="AJ28" i="18" s="1"/>
  <c r="AK28" i="18" s="1"/>
  <c r="AL28" i="18" s="1"/>
  <c r="AM28" i="18" s="1"/>
  <c r="AN28" i="18" s="1"/>
  <c r="D12" i="18"/>
  <c r="D71" i="23"/>
  <c r="D37" i="3"/>
  <c r="E4" i="18"/>
  <c r="D67" i="18"/>
  <c r="D54" i="18"/>
  <c r="D41" i="18"/>
  <c r="E15" i="3"/>
  <c r="D13" i="24"/>
  <c r="E4" i="24"/>
  <c r="D31" i="6"/>
  <c r="D22" i="24"/>
  <c r="D31" i="24"/>
  <c r="D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E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M51" i="34" l="1"/>
  <c r="M17" i="19" s="1"/>
  <c r="AN18" i="19"/>
  <c r="AH71" i="23"/>
  <c r="AH54" i="23"/>
  <c r="AH13" i="23"/>
  <c r="AH32" i="23"/>
  <c r="AH43" i="23"/>
  <c r="AH22" i="23"/>
  <c r="AI20" i="4"/>
  <c r="AI12" i="4"/>
  <c r="AO121" i="1"/>
  <c r="AN17" i="6"/>
  <c r="AN31" i="6"/>
  <c r="AN47" i="6"/>
  <c r="C23" i="23"/>
  <c r="C25" i="23"/>
  <c r="AJ22" i="23"/>
  <c r="AJ54" i="23"/>
  <c r="AJ13" i="23"/>
  <c r="AJ43" i="23"/>
  <c r="AJ71" i="23"/>
  <c r="AJ32" i="23"/>
  <c r="AL12" i="4"/>
  <c r="AL20" i="4"/>
  <c r="AL26" i="3"/>
  <c r="AL37" i="3"/>
  <c r="AM47" i="6"/>
  <c r="AM17" i="6"/>
  <c r="AM31" i="6"/>
  <c r="AI71" i="23"/>
  <c r="AI32" i="23"/>
  <c r="AI43" i="23"/>
  <c r="AI22" i="23"/>
  <c r="AI54" i="23"/>
  <c r="AI13" i="23"/>
  <c r="AJ20" i="4"/>
  <c r="AJ12" i="4"/>
  <c r="AJ26" i="3"/>
  <c r="AJ37" i="3"/>
  <c r="AL47" i="6"/>
  <c r="AL17" i="6"/>
  <c r="AL31" i="6"/>
  <c r="AK47" i="6"/>
  <c r="AK31" i="6"/>
  <c r="AK17" i="6"/>
  <c r="AL13" i="23"/>
  <c r="AL43" i="23"/>
  <c r="AL54" i="23"/>
  <c r="AL32" i="23"/>
  <c r="AL22" i="23"/>
  <c r="AL71" i="23"/>
  <c r="AH26" i="3"/>
  <c r="AH37" i="3"/>
  <c r="N72" i="18"/>
  <c r="N48" i="34"/>
  <c r="C8" i="23"/>
  <c r="AK71" i="23"/>
  <c r="AK43" i="23"/>
  <c r="AK32" i="23"/>
  <c r="AK22" i="23"/>
  <c r="AK54" i="23"/>
  <c r="AK13" i="23"/>
  <c r="AN12" i="4"/>
  <c r="AN20" i="4"/>
  <c r="AJ17" i="6"/>
  <c r="AJ31" i="6"/>
  <c r="AJ47" i="6"/>
  <c r="AH20" i="4"/>
  <c r="AH12" i="4"/>
  <c r="C17" i="23"/>
  <c r="C8" i="24"/>
  <c r="N73" i="18"/>
  <c r="N49" i="34"/>
  <c r="AM12" i="4"/>
  <c r="AM20" i="4"/>
  <c r="AI26" i="3"/>
  <c r="AI37" i="3"/>
  <c r="AM26" i="3"/>
  <c r="AM37" i="3"/>
  <c r="AI47" i="6"/>
  <c r="AI31" i="6"/>
  <c r="AI17" i="6"/>
  <c r="AM13" i="23"/>
  <c r="AM71" i="23"/>
  <c r="AM32" i="23"/>
  <c r="AM22" i="23"/>
  <c r="AM43" i="23"/>
  <c r="AM54" i="23"/>
  <c r="AH47" i="6"/>
  <c r="AH31" i="6"/>
  <c r="AH17" i="6"/>
  <c r="AN26" i="3"/>
  <c r="AN37" i="3"/>
  <c r="C24" i="23"/>
  <c r="N74" i="18"/>
  <c r="N50" i="34"/>
  <c r="AN22" i="23"/>
  <c r="AN43" i="23"/>
  <c r="AN54" i="23"/>
  <c r="AN71" i="23"/>
  <c r="AN13" i="23"/>
  <c r="AN32" i="23"/>
  <c r="AK12" i="4"/>
  <c r="AK20" i="4"/>
  <c r="AK26" i="3"/>
  <c r="AK37" i="3"/>
  <c r="N235" i="1"/>
  <c r="N41" i="36"/>
  <c r="N239" i="1"/>
  <c r="N45" i="36"/>
  <c r="N240" i="1"/>
  <c r="N46" i="36"/>
  <c r="N236" i="1"/>
  <c r="N42" i="36"/>
  <c r="N238" i="1"/>
  <c r="N44" i="36"/>
  <c r="M47" i="36"/>
  <c r="M23" i="19" s="1"/>
  <c r="N237" i="1"/>
  <c r="N43" i="36"/>
  <c r="N91" i="1"/>
  <c r="O47" i="34" s="1"/>
  <c r="N71" i="18"/>
  <c r="N88" i="1"/>
  <c r="O44" i="34" s="1"/>
  <c r="N68" i="18"/>
  <c r="N90" i="1"/>
  <c r="O46" i="34" s="1"/>
  <c r="N70" i="18"/>
  <c r="N89" i="1"/>
  <c r="O45" i="34" s="1"/>
  <c r="N69" i="18"/>
  <c r="N59" i="1"/>
  <c r="N31" i="10"/>
  <c r="M33" i="10"/>
  <c r="M9" i="19" s="1"/>
  <c r="N58" i="1"/>
  <c r="N30" i="10"/>
  <c r="N60" i="1"/>
  <c r="N32" i="10"/>
  <c r="M50" i="10"/>
  <c r="M10" i="19" s="1"/>
  <c r="N93" i="1"/>
  <c r="N48" i="10"/>
  <c r="N94" i="1"/>
  <c r="N49" i="10"/>
  <c r="N92" i="1"/>
  <c r="N47" i="10"/>
  <c r="I43" i="23"/>
  <c r="I54" i="23"/>
  <c r="I32" i="23"/>
  <c r="M43" i="23"/>
  <c r="M32" i="23"/>
  <c r="M54" i="23"/>
  <c r="U43" i="23"/>
  <c r="U54" i="23"/>
  <c r="U32" i="23"/>
  <c r="Y43" i="23"/>
  <c r="Y54" i="23"/>
  <c r="Y32" i="23"/>
  <c r="AC43" i="23"/>
  <c r="AC32" i="23"/>
  <c r="AC54" i="23"/>
  <c r="F54" i="23"/>
  <c r="F32" i="23"/>
  <c r="F43" i="23"/>
  <c r="J54" i="23"/>
  <c r="J32" i="23"/>
  <c r="J43" i="23"/>
  <c r="N54" i="23"/>
  <c r="N43" i="23"/>
  <c r="N32" i="23"/>
  <c r="R54" i="23"/>
  <c r="R43" i="23"/>
  <c r="R32" i="23"/>
  <c r="V54" i="23"/>
  <c r="V32" i="23"/>
  <c r="V43" i="23"/>
  <c r="Z54" i="23"/>
  <c r="Z32" i="23"/>
  <c r="Z43" i="23"/>
  <c r="AD54" i="23"/>
  <c r="AD43" i="23"/>
  <c r="AD32" i="23"/>
  <c r="G43" i="23"/>
  <c r="G54" i="23"/>
  <c r="G32" i="23"/>
  <c r="K54" i="23"/>
  <c r="K32" i="23"/>
  <c r="K43" i="23"/>
  <c r="O54" i="23"/>
  <c r="O32" i="23"/>
  <c r="O43" i="23"/>
  <c r="S43" i="23"/>
  <c r="S54" i="23"/>
  <c r="S32" i="23"/>
  <c r="W43" i="23"/>
  <c r="W32" i="23"/>
  <c r="W54" i="23"/>
  <c r="AA54" i="23"/>
  <c r="AA32" i="23"/>
  <c r="AA43" i="23"/>
  <c r="AE54" i="23"/>
  <c r="AE43" i="23"/>
  <c r="AE32" i="23"/>
  <c r="H32" i="23"/>
  <c r="H43" i="23"/>
  <c r="H54" i="23"/>
  <c r="L32" i="23"/>
  <c r="L43" i="23"/>
  <c r="L54" i="23"/>
  <c r="P32" i="23"/>
  <c r="P54" i="23"/>
  <c r="P43" i="23"/>
  <c r="T54" i="23"/>
  <c r="T32" i="23"/>
  <c r="T43" i="23"/>
  <c r="X32" i="23"/>
  <c r="X43" i="23"/>
  <c r="X54" i="23"/>
  <c r="AB43" i="23"/>
  <c r="AB32" i="23"/>
  <c r="AB54" i="23"/>
  <c r="AF32" i="23"/>
  <c r="AF54" i="23"/>
  <c r="AF43" i="23"/>
  <c r="E43" i="23"/>
  <c r="E32" i="23"/>
  <c r="E54" i="23"/>
  <c r="Q43" i="23"/>
  <c r="Q32" i="23"/>
  <c r="Q54" i="23"/>
  <c r="AG43" i="23"/>
  <c r="AG32" i="23"/>
  <c r="AG54" i="23"/>
  <c r="E27" i="23"/>
  <c r="E66" i="23" s="1"/>
  <c r="I27" i="23"/>
  <c r="I66" i="23" s="1"/>
  <c r="M27" i="23"/>
  <c r="Q27" i="23"/>
  <c r="Q66" i="23" s="1"/>
  <c r="U27" i="23"/>
  <c r="U66" i="23" s="1"/>
  <c r="Y27" i="23"/>
  <c r="Y66" i="23" s="1"/>
  <c r="AC27" i="23"/>
  <c r="AC66" i="23" s="1"/>
  <c r="AG27" i="23"/>
  <c r="F27" i="23"/>
  <c r="F66" i="23" s="1"/>
  <c r="J27" i="23"/>
  <c r="J66" i="23" s="1"/>
  <c r="N27" i="23"/>
  <c r="N66" i="23" s="1"/>
  <c r="R27" i="23"/>
  <c r="V27" i="23"/>
  <c r="V66" i="23" s="1"/>
  <c r="Z27" i="23"/>
  <c r="Z66" i="23" s="1"/>
  <c r="AD27" i="23"/>
  <c r="AD66" i="23" s="1"/>
  <c r="G27" i="23"/>
  <c r="G66" i="23" s="1"/>
  <c r="K27" i="23"/>
  <c r="K66" i="23" s="1"/>
  <c r="O27" i="23"/>
  <c r="O66" i="23" s="1"/>
  <c r="S27" i="23"/>
  <c r="S66" i="23" s="1"/>
  <c r="W27" i="23"/>
  <c r="AA27" i="23"/>
  <c r="AA66" i="23" s="1"/>
  <c r="AE27" i="23"/>
  <c r="AE66" i="23" s="1"/>
  <c r="H27" i="23"/>
  <c r="L27" i="23"/>
  <c r="L66" i="23" s="1"/>
  <c r="P27" i="23"/>
  <c r="P66" i="23" s="1"/>
  <c r="T27" i="23"/>
  <c r="T66" i="23" s="1"/>
  <c r="X27" i="23"/>
  <c r="X66" i="23" s="1"/>
  <c r="AB27" i="23"/>
  <c r="AF27" i="23"/>
  <c r="AF66" i="23" s="1"/>
  <c r="D27" i="23"/>
  <c r="E12" i="18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AH12" i="18" s="1"/>
  <c r="AI12" i="18" s="1"/>
  <c r="AJ12" i="18" s="1"/>
  <c r="AK12" i="18" s="1"/>
  <c r="AL12" i="18" s="1"/>
  <c r="AM12" i="18" s="1"/>
  <c r="AN12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AH20" i="18" s="1"/>
  <c r="AI20" i="18" s="1"/>
  <c r="AJ20" i="18" s="1"/>
  <c r="AK20" i="18" s="1"/>
  <c r="AL20" i="18" s="1"/>
  <c r="AM20" i="18" s="1"/>
  <c r="AN20" i="18" s="1"/>
  <c r="H22" i="23"/>
  <c r="H71" i="23"/>
  <c r="H13" i="23"/>
  <c r="L13" i="23"/>
  <c r="L71" i="23"/>
  <c r="L22" i="23"/>
  <c r="P71" i="23"/>
  <c r="P22" i="23"/>
  <c r="P13" i="23"/>
  <c r="T13" i="23"/>
  <c r="T71" i="23"/>
  <c r="T22" i="23"/>
  <c r="X22" i="23"/>
  <c r="X71" i="23"/>
  <c r="X13" i="23"/>
  <c r="AB22" i="23"/>
  <c r="AB13" i="23"/>
  <c r="AB71" i="23"/>
  <c r="AF71" i="23"/>
  <c r="AF22" i="23"/>
  <c r="AF13" i="23"/>
  <c r="E71" i="23"/>
  <c r="E13" i="23"/>
  <c r="E22" i="23"/>
  <c r="I71" i="23"/>
  <c r="I13" i="23"/>
  <c r="I22" i="23"/>
  <c r="M71" i="23"/>
  <c r="M13" i="23"/>
  <c r="M22" i="23"/>
  <c r="Q71" i="23"/>
  <c r="Q13" i="23"/>
  <c r="Q22" i="23"/>
  <c r="U71" i="23"/>
  <c r="U13" i="23"/>
  <c r="U22" i="23"/>
  <c r="Y71" i="23"/>
  <c r="Y13" i="23"/>
  <c r="Y22" i="23"/>
  <c r="AC71" i="23"/>
  <c r="AC13" i="23"/>
  <c r="AC22" i="23"/>
  <c r="AG71" i="23"/>
  <c r="AG13" i="23"/>
  <c r="AG22" i="23"/>
  <c r="F71" i="23"/>
  <c r="F22" i="23"/>
  <c r="F13" i="23"/>
  <c r="J13" i="23"/>
  <c r="J71" i="23"/>
  <c r="J22" i="23"/>
  <c r="N22" i="23"/>
  <c r="N71" i="23"/>
  <c r="N13" i="23"/>
  <c r="R22" i="23"/>
  <c r="R13" i="23"/>
  <c r="R71" i="23"/>
  <c r="V71" i="23"/>
  <c r="V22" i="23"/>
  <c r="V13" i="23"/>
  <c r="Z13" i="23"/>
  <c r="Z71" i="23"/>
  <c r="Z22" i="23"/>
  <c r="AD71" i="23"/>
  <c r="AD22" i="23"/>
  <c r="AD13" i="23"/>
  <c r="E54" i="18"/>
  <c r="F4" i="18"/>
  <c r="E41" i="18"/>
  <c r="E67" i="18"/>
  <c r="G22" i="23"/>
  <c r="G13" i="23"/>
  <c r="G71" i="23"/>
  <c r="K22" i="23"/>
  <c r="K71" i="23"/>
  <c r="K13" i="23"/>
  <c r="O22" i="23"/>
  <c r="O13" i="23"/>
  <c r="O71" i="23"/>
  <c r="S22" i="23"/>
  <c r="S13" i="23"/>
  <c r="S71" i="23"/>
  <c r="W22" i="23"/>
  <c r="W71" i="23"/>
  <c r="W13" i="23"/>
  <c r="AA22" i="23"/>
  <c r="AA71" i="23"/>
  <c r="AA13" i="23"/>
  <c r="AE22" i="23"/>
  <c r="AE13" i="23"/>
  <c r="AE71" i="23"/>
  <c r="E22" i="24"/>
  <c r="F4" i="24"/>
  <c r="E31" i="24"/>
  <c r="E13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75" i="18"/>
  <c r="D16" i="19" s="1"/>
  <c r="N51" i="34" l="1"/>
  <c r="N17" i="19" s="1"/>
  <c r="AP121" i="1"/>
  <c r="O72" i="18"/>
  <c r="O48" i="34"/>
  <c r="O73" i="18"/>
  <c r="O49" i="34"/>
  <c r="D15" i="19"/>
  <c r="D66" i="23"/>
  <c r="C27" i="23"/>
  <c r="O74" i="18"/>
  <c r="O50" i="34"/>
  <c r="C26" i="23"/>
  <c r="O238" i="1"/>
  <c r="O44" i="36"/>
  <c r="O236" i="1"/>
  <c r="O42" i="36"/>
  <c r="O240" i="1"/>
  <c r="O46" i="36"/>
  <c r="O239" i="1"/>
  <c r="O45" i="36"/>
  <c r="N47" i="36"/>
  <c r="N23" i="19" s="1"/>
  <c r="O235" i="1"/>
  <c r="O41" i="36"/>
  <c r="O237" i="1"/>
  <c r="O43" i="36"/>
  <c r="O89" i="1"/>
  <c r="P45" i="34" s="1"/>
  <c r="O69" i="18"/>
  <c r="O90" i="1"/>
  <c r="P46" i="34" s="1"/>
  <c r="O70" i="18"/>
  <c r="O88" i="1"/>
  <c r="P44" i="34" s="1"/>
  <c r="O68" i="18"/>
  <c r="O91" i="1"/>
  <c r="P47" i="34" s="1"/>
  <c r="O71" i="18"/>
  <c r="O60" i="1"/>
  <c r="O32" i="10"/>
  <c r="N33" i="10"/>
  <c r="N9" i="19" s="1"/>
  <c r="O58" i="1"/>
  <c r="O30" i="10"/>
  <c r="O59" i="1"/>
  <c r="O31" i="10"/>
  <c r="N50" i="10"/>
  <c r="N10" i="19" s="1"/>
  <c r="O92" i="1"/>
  <c r="O47" i="10"/>
  <c r="O94" i="1"/>
  <c r="O49" i="10"/>
  <c r="O93" i="1"/>
  <c r="O48" i="10"/>
  <c r="AB66" i="23"/>
  <c r="AB72" i="23" s="1"/>
  <c r="W66" i="23"/>
  <c r="W72" i="23" s="1"/>
  <c r="R66" i="23"/>
  <c r="R72" i="23" s="1"/>
  <c r="AG66" i="23"/>
  <c r="AG72" i="23" s="1"/>
  <c r="H66" i="23"/>
  <c r="H72" i="23" s="1"/>
  <c r="M66" i="23"/>
  <c r="M72" i="23" s="1"/>
  <c r="F22" i="24"/>
  <c r="F13" i="24"/>
  <c r="G4" i="24"/>
  <c r="F31" i="24"/>
  <c r="F67" i="18"/>
  <c r="G4" i="18"/>
  <c r="F54" i="18"/>
  <c r="F41" i="18"/>
  <c r="AB19" i="19" l="1"/>
  <c r="AB18" i="19" s="1"/>
  <c r="M19" i="19"/>
  <c r="M18" i="19" s="1"/>
  <c r="H19" i="19"/>
  <c r="H18" i="19" s="1"/>
  <c r="W19" i="19"/>
  <c r="W18" i="19" s="1"/>
  <c r="AG19" i="19"/>
  <c r="AG18" i="19" s="1"/>
  <c r="R19" i="19"/>
  <c r="R18" i="19" s="1"/>
  <c r="O51" i="34"/>
  <c r="O17" i="19" s="1"/>
  <c r="C66" i="23"/>
  <c r="P74" i="18"/>
  <c r="P50" i="34"/>
  <c r="P72" i="18"/>
  <c r="P48" i="34"/>
  <c r="AQ121" i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P73" i="18"/>
  <c r="P49" i="34"/>
  <c r="P239" i="1"/>
  <c r="P45" i="36"/>
  <c r="P240" i="1"/>
  <c r="P46" i="36"/>
  <c r="P236" i="1"/>
  <c r="P42" i="36"/>
  <c r="P237" i="1"/>
  <c r="P43" i="36"/>
  <c r="P235" i="1"/>
  <c r="P41" i="36"/>
  <c r="O47" i="36"/>
  <c r="O23" i="19" s="1"/>
  <c r="P238" i="1"/>
  <c r="P44" i="36"/>
  <c r="P88" i="1"/>
  <c r="Q44" i="34" s="1"/>
  <c r="P68" i="18"/>
  <c r="P91" i="1"/>
  <c r="Q47" i="34" s="1"/>
  <c r="P71" i="18"/>
  <c r="P90" i="1"/>
  <c r="Q46" i="34" s="1"/>
  <c r="P70" i="18"/>
  <c r="P89" i="1"/>
  <c r="Q45" i="34" s="1"/>
  <c r="P69" i="18"/>
  <c r="P59" i="1"/>
  <c r="P31" i="10"/>
  <c r="O33" i="10"/>
  <c r="O9" i="19" s="1"/>
  <c r="P58" i="1"/>
  <c r="P30" i="10"/>
  <c r="P60" i="1"/>
  <c r="P32" i="10"/>
  <c r="P93" i="1"/>
  <c r="P48" i="10"/>
  <c r="P92" i="1"/>
  <c r="P47" i="10"/>
  <c r="P94" i="1"/>
  <c r="P49" i="10"/>
  <c r="O50" i="10"/>
  <c r="O10" i="19" s="1"/>
  <c r="H4" i="24"/>
  <c r="G31" i="24"/>
  <c r="G13" i="24"/>
  <c r="G22" i="24"/>
  <c r="H4" i="18"/>
  <c r="G67" i="18"/>
  <c r="G41" i="18"/>
  <c r="G54" i="18"/>
  <c r="D7" i="10"/>
  <c r="P51" i="34" l="1"/>
  <c r="P17" i="19" s="1"/>
  <c r="Q72" i="18"/>
  <c r="Q48" i="34"/>
  <c r="Q73" i="18"/>
  <c r="Q49" i="34"/>
  <c r="P47" i="36"/>
  <c r="P23" i="19" s="1"/>
  <c r="Q74" i="18"/>
  <c r="Q50" i="34"/>
  <c r="C20" i="19"/>
  <c r="C35" i="35"/>
  <c r="Q235" i="1"/>
  <c r="Q41" i="36"/>
  <c r="Q236" i="1"/>
  <c r="Q42" i="36"/>
  <c r="Q237" i="1"/>
  <c r="Q43" i="36"/>
  <c r="Q240" i="1"/>
  <c r="Q46" i="36"/>
  <c r="Q238" i="1"/>
  <c r="Q44" i="36"/>
  <c r="Q239" i="1"/>
  <c r="Q45" i="36"/>
  <c r="Q90" i="1"/>
  <c r="R46" i="34" s="1"/>
  <c r="Q70" i="18"/>
  <c r="Q89" i="1"/>
  <c r="R45" i="34" s="1"/>
  <c r="Q69" i="18"/>
  <c r="Q91" i="1"/>
  <c r="R47" i="34" s="1"/>
  <c r="Q71" i="18"/>
  <c r="Q88" i="1"/>
  <c r="R44" i="34" s="1"/>
  <c r="Q68" i="18"/>
  <c r="Q58" i="1"/>
  <c r="Q30" i="10"/>
  <c r="Q60" i="1"/>
  <c r="Q32" i="10"/>
  <c r="P33" i="10"/>
  <c r="P9" i="19" s="1"/>
  <c r="Q59" i="1"/>
  <c r="Q31" i="10"/>
  <c r="Q94" i="1"/>
  <c r="Q49" i="10"/>
  <c r="P50" i="10"/>
  <c r="P10" i="19" s="1"/>
  <c r="Q92" i="1"/>
  <c r="Q47" i="10"/>
  <c r="Q93" i="1"/>
  <c r="Q48" i="10"/>
  <c r="D8" i="10"/>
  <c r="D10" i="10"/>
  <c r="D9" i="10"/>
  <c r="I4" i="18"/>
  <c r="H54" i="18"/>
  <c r="H41" i="18"/>
  <c r="H67" i="18"/>
  <c r="I4" i="24"/>
  <c r="H13" i="24"/>
  <c r="H22" i="24"/>
  <c r="H31" i="24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C37" i="6" s="1"/>
  <c r="C26" i="7"/>
  <c r="H32" i="2"/>
  <c r="H33" i="2" s="1"/>
  <c r="H5" i="19" s="1"/>
  <c r="H12" i="2"/>
  <c r="H5" i="6" s="1"/>
  <c r="H51" i="6" s="1"/>
  <c r="Q51" i="34" l="1"/>
  <c r="Q17" i="19" s="1"/>
  <c r="R72" i="18"/>
  <c r="R48" i="34"/>
  <c r="R74" i="18"/>
  <c r="R50" i="34"/>
  <c r="C53" i="6"/>
  <c r="D14" i="10"/>
  <c r="R73" i="18"/>
  <c r="R49" i="34"/>
  <c r="D15" i="10"/>
  <c r="D13" i="10"/>
  <c r="R238" i="1"/>
  <c r="R44" i="36"/>
  <c r="R239" i="1"/>
  <c r="R45" i="36"/>
  <c r="R240" i="1"/>
  <c r="R46" i="36"/>
  <c r="R237" i="1"/>
  <c r="R43" i="36"/>
  <c r="R236" i="1"/>
  <c r="R42" i="36"/>
  <c r="Q47" i="36"/>
  <c r="Q23" i="19" s="1"/>
  <c r="R235" i="1"/>
  <c r="R41" i="36"/>
  <c r="R88" i="1"/>
  <c r="S44" i="34" s="1"/>
  <c r="R68" i="18"/>
  <c r="R91" i="1"/>
  <c r="S47" i="34" s="1"/>
  <c r="R71" i="18"/>
  <c r="R89" i="1"/>
  <c r="S45" i="34" s="1"/>
  <c r="R69" i="18"/>
  <c r="R90" i="1"/>
  <c r="S46" i="34" s="1"/>
  <c r="R70" i="18"/>
  <c r="R59" i="1"/>
  <c r="R31" i="10"/>
  <c r="R60" i="1"/>
  <c r="R32" i="10"/>
  <c r="Q33" i="10"/>
  <c r="Q9" i="19" s="1"/>
  <c r="R58" i="1"/>
  <c r="R30" i="10"/>
  <c r="R93" i="1"/>
  <c r="R48" i="10"/>
  <c r="Q50" i="10"/>
  <c r="Q10" i="19" s="1"/>
  <c r="R92" i="1"/>
  <c r="R47" i="10"/>
  <c r="R94" i="1"/>
  <c r="R49" i="10"/>
  <c r="H15" i="2"/>
  <c r="H17" i="2" s="1"/>
  <c r="J4" i="24"/>
  <c r="I22" i="24"/>
  <c r="I31" i="24"/>
  <c r="I13" i="24"/>
  <c r="J4" i="18"/>
  <c r="I54" i="18"/>
  <c r="I67" i="18"/>
  <c r="I41" i="18"/>
  <c r="R51" i="34" l="1"/>
  <c r="R17" i="19" s="1"/>
  <c r="S74" i="18"/>
  <c r="S50" i="34"/>
  <c r="S73" i="18"/>
  <c r="S49" i="34"/>
  <c r="S72" i="18"/>
  <c r="S48" i="34"/>
  <c r="S237" i="1"/>
  <c r="S43" i="36"/>
  <c r="S240" i="1"/>
  <c r="S46" i="36"/>
  <c r="S239" i="1"/>
  <c r="S45" i="36"/>
  <c r="R47" i="36"/>
  <c r="R23" i="19" s="1"/>
  <c r="S236" i="1"/>
  <c r="S42" i="36"/>
  <c r="S235" i="1"/>
  <c r="S41" i="36"/>
  <c r="S238" i="1"/>
  <c r="S44" i="36"/>
  <c r="S89" i="1"/>
  <c r="T45" i="34" s="1"/>
  <c r="S69" i="18"/>
  <c r="S91" i="1"/>
  <c r="T47" i="34" s="1"/>
  <c r="S71" i="18"/>
  <c r="S90" i="1"/>
  <c r="T46" i="34" s="1"/>
  <c r="S70" i="18"/>
  <c r="S88" i="1"/>
  <c r="T44" i="34" s="1"/>
  <c r="S68" i="18"/>
  <c r="R33" i="10"/>
  <c r="R9" i="19" s="1"/>
  <c r="S58" i="1"/>
  <c r="S30" i="10"/>
  <c r="S60" i="1"/>
  <c r="S32" i="10"/>
  <c r="S59" i="1"/>
  <c r="S31" i="10"/>
  <c r="R50" i="10"/>
  <c r="R10" i="19" s="1"/>
  <c r="S94" i="1"/>
  <c r="S49" i="10"/>
  <c r="S92" i="1"/>
  <c r="S47" i="10"/>
  <c r="S93" i="1"/>
  <c r="S48" i="10"/>
  <c r="H35" i="6"/>
  <c r="H20" i="2"/>
  <c r="H25" i="7"/>
  <c r="K4" i="18"/>
  <c r="J41" i="18"/>
  <c r="J67" i="18"/>
  <c r="J54" i="18"/>
  <c r="K4" i="24"/>
  <c r="J31" i="24"/>
  <c r="J22" i="24"/>
  <c r="J13" i="24"/>
  <c r="S51" i="34" l="1"/>
  <c r="S17" i="19" s="1"/>
  <c r="S47" i="36"/>
  <c r="S23" i="19" s="1"/>
  <c r="T73" i="18"/>
  <c r="T49" i="34"/>
  <c r="T72" i="18"/>
  <c r="T48" i="34"/>
  <c r="T74" i="18"/>
  <c r="T50" i="34"/>
  <c r="H48" i="6"/>
  <c r="H32" i="6"/>
  <c r="T238" i="1"/>
  <c r="T44" i="36"/>
  <c r="T235" i="1"/>
  <c r="T41" i="36"/>
  <c r="T239" i="1"/>
  <c r="T45" i="36"/>
  <c r="T240" i="1"/>
  <c r="T46" i="36"/>
  <c r="T236" i="1"/>
  <c r="T42" i="36"/>
  <c r="T237" i="1"/>
  <c r="T43" i="36"/>
  <c r="T90" i="1"/>
  <c r="U46" i="34" s="1"/>
  <c r="T70" i="18"/>
  <c r="T88" i="1"/>
  <c r="U44" i="34" s="1"/>
  <c r="T68" i="18"/>
  <c r="T91" i="1"/>
  <c r="U47" i="34" s="1"/>
  <c r="T71" i="18"/>
  <c r="T89" i="1"/>
  <c r="U45" i="34" s="1"/>
  <c r="T69" i="18"/>
  <c r="S33" i="10"/>
  <c r="S9" i="19" s="1"/>
  <c r="T59" i="1"/>
  <c r="T31" i="10"/>
  <c r="T60" i="1"/>
  <c r="T32" i="10"/>
  <c r="T58" i="1"/>
  <c r="T30" i="10"/>
  <c r="T92" i="1"/>
  <c r="T47" i="10"/>
  <c r="T93" i="1"/>
  <c r="T48" i="10"/>
  <c r="S50" i="10"/>
  <c r="S10" i="19" s="1"/>
  <c r="T94" i="1"/>
  <c r="T49" i="10"/>
  <c r="L4" i="24"/>
  <c r="K31" i="24"/>
  <c r="K13" i="24"/>
  <c r="K22" i="24"/>
  <c r="L4" i="18"/>
  <c r="K67" i="18"/>
  <c r="K41" i="18"/>
  <c r="K54" i="18"/>
  <c r="T51" i="34" l="1"/>
  <c r="T17" i="19" s="1"/>
  <c r="U74" i="18"/>
  <c r="U50" i="34"/>
  <c r="U73" i="18"/>
  <c r="U49" i="34"/>
  <c r="U72" i="18"/>
  <c r="U48" i="34"/>
  <c r="U237" i="1"/>
  <c r="U43" i="36"/>
  <c r="U240" i="1"/>
  <c r="U46" i="36"/>
  <c r="U239" i="1"/>
  <c r="U45" i="36"/>
  <c r="T47" i="36"/>
  <c r="T23" i="19" s="1"/>
  <c r="U235" i="1"/>
  <c r="U41" i="36"/>
  <c r="U236" i="1"/>
  <c r="U42" i="36"/>
  <c r="U238" i="1"/>
  <c r="U44" i="36"/>
  <c r="U91" i="1"/>
  <c r="V47" i="34" s="1"/>
  <c r="U71" i="18"/>
  <c r="U89" i="1"/>
  <c r="V45" i="34" s="1"/>
  <c r="U69" i="18"/>
  <c r="T33" i="10"/>
  <c r="T9" i="19" s="1"/>
  <c r="U88" i="1"/>
  <c r="V44" i="34" s="1"/>
  <c r="U68" i="18"/>
  <c r="U90" i="1"/>
  <c r="V46" i="34" s="1"/>
  <c r="U70" i="18"/>
  <c r="U58" i="1"/>
  <c r="U30" i="10"/>
  <c r="U59" i="1"/>
  <c r="U31" i="10"/>
  <c r="U60" i="1"/>
  <c r="U32" i="10"/>
  <c r="U94" i="1"/>
  <c r="U49" i="10"/>
  <c r="T50" i="10"/>
  <c r="T10" i="19" s="1"/>
  <c r="U93" i="1"/>
  <c r="U48" i="10"/>
  <c r="U92" i="1"/>
  <c r="U47" i="10"/>
  <c r="M4" i="18"/>
  <c r="L67" i="18"/>
  <c r="L54" i="18"/>
  <c r="L41" i="18"/>
  <c r="M4" i="24"/>
  <c r="L31" i="24"/>
  <c r="L22" i="24"/>
  <c r="L13" i="24"/>
  <c r="U51" i="34" l="1"/>
  <c r="U17" i="19" s="1"/>
  <c r="V74" i="18"/>
  <c r="V50" i="34"/>
  <c r="V72" i="18"/>
  <c r="V48" i="34"/>
  <c r="V73" i="18"/>
  <c r="V49" i="34"/>
  <c r="V238" i="1"/>
  <c r="V44" i="36"/>
  <c r="V235" i="1"/>
  <c r="V41" i="36"/>
  <c r="V236" i="1"/>
  <c r="V42" i="36"/>
  <c r="V239" i="1"/>
  <c r="V45" i="36"/>
  <c r="U47" i="36"/>
  <c r="U23" i="19" s="1"/>
  <c r="V240" i="1"/>
  <c r="V46" i="36"/>
  <c r="V237" i="1"/>
  <c r="V43" i="36"/>
  <c r="V88" i="1"/>
  <c r="W44" i="34" s="1"/>
  <c r="V68" i="18"/>
  <c r="V89" i="1"/>
  <c r="W45" i="34" s="1"/>
  <c r="V69" i="18"/>
  <c r="V90" i="1"/>
  <c r="W46" i="34" s="1"/>
  <c r="V70" i="18"/>
  <c r="V91" i="1"/>
  <c r="W47" i="34" s="1"/>
  <c r="V71" i="18"/>
  <c r="V60" i="1"/>
  <c r="V32" i="10"/>
  <c r="V59" i="1"/>
  <c r="V31" i="10"/>
  <c r="U33" i="10"/>
  <c r="U9" i="19" s="1"/>
  <c r="U50" i="10"/>
  <c r="U10" i="19" s="1"/>
  <c r="V58" i="1"/>
  <c r="V30" i="10"/>
  <c r="V92" i="1"/>
  <c r="V47" i="10"/>
  <c r="V93" i="1"/>
  <c r="V48" i="10"/>
  <c r="V94" i="1"/>
  <c r="V49" i="10"/>
  <c r="N4" i="24"/>
  <c r="M22" i="24"/>
  <c r="M13" i="24"/>
  <c r="M31" i="24"/>
  <c r="N4" i="18"/>
  <c r="M54" i="18"/>
  <c r="M41" i="18"/>
  <c r="M67" i="18"/>
  <c r="V51" i="34" l="1"/>
  <c r="V17" i="19" s="1"/>
  <c r="W74" i="18"/>
  <c r="W50" i="34"/>
  <c r="W73" i="18"/>
  <c r="W49" i="34"/>
  <c r="W72" i="18"/>
  <c r="W48" i="34"/>
  <c r="W237" i="1"/>
  <c r="W43" i="36"/>
  <c r="W239" i="1"/>
  <c r="W45" i="36"/>
  <c r="V47" i="36"/>
  <c r="V23" i="19" s="1"/>
  <c r="W240" i="1"/>
  <c r="W46" i="36"/>
  <c r="W235" i="1"/>
  <c r="W41" i="36"/>
  <c r="W236" i="1"/>
  <c r="W42" i="36"/>
  <c r="W238" i="1"/>
  <c r="W44" i="36"/>
  <c r="W91" i="1"/>
  <c r="X47" i="34" s="1"/>
  <c r="W71" i="18"/>
  <c r="W89" i="1"/>
  <c r="X45" i="34" s="1"/>
  <c r="W69" i="18"/>
  <c r="V33" i="10"/>
  <c r="V9" i="19" s="1"/>
  <c r="W90" i="1"/>
  <c r="X46" i="34" s="1"/>
  <c r="W70" i="18"/>
  <c r="W88" i="1"/>
  <c r="X44" i="34" s="1"/>
  <c r="W68" i="18"/>
  <c r="W58" i="1"/>
  <c r="W30" i="10"/>
  <c r="W59" i="1"/>
  <c r="W31" i="10"/>
  <c r="W60" i="1"/>
  <c r="W32" i="10"/>
  <c r="W94" i="1"/>
  <c r="W49" i="10"/>
  <c r="W93" i="1"/>
  <c r="W48" i="10"/>
  <c r="V50" i="10"/>
  <c r="V10" i="19" s="1"/>
  <c r="W92" i="1"/>
  <c r="W47" i="10"/>
  <c r="O4" i="18"/>
  <c r="N54" i="18"/>
  <c r="N41" i="18"/>
  <c r="N67" i="18"/>
  <c r="O4" i="24"/>
  <c r="N31" i="24"/>
  <c r="N13" i="24"/>
  <c r="N22" i="24"/>
  <c r="E32" i="2"/>
  <c r="E33" i="2" s="1"/>
  <c r="E5" i="19" s="1"/>
  <c r="F32" i="2"/>
  <c r="F33" i="2" s="1"/>
  <c r="F5" i="19" s="1"/>
  <c r="G32" i="2"/>
  <c r="G33" i="2" s="1"/>
  <c r="G5" i="19" s="1"/>
  <c r="I32" i="2"/>
  <c r="I33" i="2" s="1"/>
  <c r="I5" i="19" s="1"/>
  <c r="J32" i="2"/>
  <c r="J33" i="2" s="1"/>
  <c r="D32" i="2"/>
  <c r="W51" i="34" l="1"/>
  <c r="W17" i="19" s="1"/>
  <c r="X74" i="18"/>
  <c r="X50" i="34"/>
  <c r="X72" i="18"/>
  <c r="X48" i="34"/>
  <c r="X73" i="18"/>
  <c r="X49" i="34"/>
  <c r="W47" i="36"/>
  <c r="W23" i="19" s="1"/>
  <c r="X240" i="1"/>
  <c r="X46" i="36"/>
  <c r="X236" i="1"/>
  <c r="X42" i="36"/>
  <c r="X235" i="1"/>
  <c r="X41" i="36"/>
  <c r="X239" i="1"/>
  <c r="X45" i="36"/>
  <c r="X238" i="1"/>
  <c r="X44" i="36"/>
  <c r="X237" i="1"/>
  <c r="X43" i="36"/>
  <c r="C32" i="2"/>
  <c r="X90" i="1"/>
  <c r="Y46" i="34" s="1"/>
  <c r="X70" i="18"/>
  <c r="X88" i="1"/>
  <c r="Y44" i="34" s="1"/>
  <c r="X68" i="18"/>
  <c r="X89" i="1"/>
  <c r="Y45" i="34" s="1"/>
  <c r="X69" i="18"/>
  <c r="X91" i="1"/>
  <c r="Y47" i="34" s="1"/>
  <c r="X71" i="18"/>
  <c r="X60" i="1"/>
  <c r="X32" i="10"/>
  <c r="X59" i="1"/>
  <c r="X31" i="10"/>
  <c r="W33" i="10"/>
  <c r="W9" i="19" s="1"/>
  <c r="W50" i="10"/>
  <c r="W10" i="19" s="1"/>
  <c r="X58" i="1"/>
  <c r="X30" i="10"/>
  <c r="X92" i="1"/>
  <c r="X47" i="10"/>
  <c r="X93" i="1"/>
  <c r="X48" i="10"/>
  <c r="X94" i="1"/>
  <c r="X49" i="10"/>
  <c r="C26" i="2"/>
  <c r="D33" i="2"/>
  <c r="C33" i="2" s="1"/>
  <c r="P4" i="24"/>
  <c r="O31" i="24"/>
  <c r="O13" i="24"/>
  <c r="O22" i="24"/>
  <c r="P4" i="18"/>
  <c r="O67" i="18"/>
  <c r="O41" i="18"/>
  <c r="O54" i="18"/>
  <c r="C29" i="2"/>
  <c r="X51" i="34" l="1"/>
  <c r="X17" i="19" s="1"/>
  <c r="Y74" i="18"/>
  <c r="Y50" i="34"/>
  <c r="Y73" i="18"/>
  <c r="Y49" i="34"/>
  <c r="Y72" i="18"/>
  <c r="Y48" i="34"/>
  <c r="X47" i="36"/>
  <c r="X23" i="19" s="1"/>
  <c r="Y236" i="1"/>
  <c r="Y42" i="36"/>
  <c r="Y239" i="1"/>
  <c r="Y45" i="36"/>
  <c r="Y237" i="1"/>
  <c r="Y43" i="36"/>
  <c r="Y240" i="1"/>
  <c r="Y46" i="36"/>
  <c r="Y238" i="1"/>
  <c r="Y44" i="36"/>
  <c r="Y235" i="1"/>
  <c r="Y41" i="36"/>
  <c r="Y91" i="1"/>
  <c r="Z47" i="34" s="1"/>
  <c r="Y71" i="18"/>
  <c r="Y88" i="1"/>
  <c r="Z44" i="34" s="1"/>
  <c r="Y68" i="18"/>
  <c r="Y89" i="1"/>
  <c r="Z45" i="34" s="1"/>
  <c r="Y69" i="18"/>
  <c r="Y90" i="1"/>
  <c r="Z46" i="34" s="1"/>
  <c r="Y70" i="18"/>
  <c r="X33" i="10"/>
  <c r="X9" i="19" s="1"/>
  <c r="Y59" i="1"/>
  <c r="Y31" i="10"/>
  <c r="Y58" i="1"/>
  <c r="Y30" i="10"/>
  <c r="Y60" i="1"/>
  <c r="Y32" i="10"/>
  <c r="Y94" i="1"/>
  <c r="Y49" i="10"/>
  <c r="Y93" i="1"/>
  <c r="Y48" i="10"/>
  <c r="X50" i="10"/>
  <c r="X10" i="19" s="1"/>
  <c r="Y92" i="1"/>
  <c r="Y47" i="10"/>
  <c r="Q4" i="18"/>
  <c r="P41" i="18"/>
  <c r="P54" i="18"/>
  <c r="P67" i="18"/>
  <c r="Q4" i="24"/>
  <c r="P22" i="24"/>
  <c r="P13" i="24"/>
  <c r="P31" i="24"/>
  <c r="Y51" i="34" l="1"/>
  <c r="Y17" i="19" s="1"/>
  <c r="Z72" i="18"/>
  <c r="Z48" i="34"/>
  <c r="Z74" i="18"/>
  <c r="Z50" i="34"/>
  <c r="Z73" i="18"/>
  <c r="Z49" i="34"/>
  <c r="Y47" i="36"/>
  <c r="Y23" i="19" s="1"/>
  <c r="Z237" i="1"/>
  <c r="Z43" i="36"/>
  <c r="Z235" i="1"/>
  <c r="Z41" i="36"/>
  <c r="Z240" i="1"/>
  <c r="Z46" i="36"/>
  <c r="Z239" i="1"/>
  <c r="Z45" i="36"/>
  <c r="Z238" i="1"/>
  <c r="Z44" i="36"/>
  <c r="Z236" i="1"/>
  <c r="Z42" i="36"/>
  <c r="Z89" i="1"/>
  <c r="AA45" i="34" s="1"/>
  <c r="Z69" i="18"/>
  <c r="Z88" i="1"/>
  <c r="AA44" i="34" s="1"/>
  <c r="Z68" i="18"/>
  <c r="Z90" i="1"/>
  <c r="AA46" i="34" s="1"/>
  <c r="Z70" i="18"/>
  <c r="Z91" i="1"/>
  <c r="AA47" i="34" s="1"/>
  <c r="Z71" i="18"/>
  <c r="Z60" i="1"/>
  <c r="Z32" i="10"/>
  <c r="Z58" i="1"/>
  <c r="Z30" i="10"/>
  <c r="Y33" i="10"/>
  <c r="Y9" i="19" s="1"/>
  <c r="Y50" i="10"/>
  <c r="Y10" i="19" s="1"/>
  <c r="Z59" i="1"/>
  <c r="Z31" i="10"/>
  <c r="Z92" i="1"/>
  <c r="Z47" i="10"/>
  <c r="Z93" i="1"/>
  <c r="Z48" i="10"/>
  <c r="Z94" i="1"/>
  <c r="Z49" i="10"/>
  <c r="R4" i="24"/>
  <c r="Q22" i="24"/>
  <c r="Q31" i="24"/>
  <c r="Q13" i="24"/>
  <c r="R4" i="18"/>
  <c r="Q54" i="18"/>
  <c r="Q67" i="18"/>
  <c r="Q41" i="18"/>
  <c r="AC72" i="23"/>
  <c r="X72" i="23"/>
  <c r="S72" i="23"/>
  <c r="N72" i="23"/>
  <c r="I72" i="23"/>
  <c r="D72" i="23"/>
  <c r="D19" i="19" s="1"/>
  <c r="Z51" i="34" l="1"/>
  <c r="Z17" i="19" s="1"/>
  <c r="I19" i="19"/>
  <c r="I18" i="19" s="1"/>
  <c r="S19" i="19"/>
  <c r="S18" i="19" s="1"/>
  <c r="N19" i="19"/>
  <c r="N18" i="19" s="1"/>
  <c r="X19" i="19"/>
  <c r="X18" i="19" s="1"/>
  <c r="AC19" i="19"/>
  <c r="AC18" i="19" s="1"/>
  <c r="AA74" i="18"/>
  <c r="AA50" i="34"/>
  <c r="AA73" i="18"/>
  <c r="AA49" i="34"/>
  <c r="AA72" i="18"/>
  <c r="AA48" i="34"/>
  <c r="AA238" i="1"/>
  <c r="AA44" i="36"/>
  <c r="AA239" i="1"/>
  <c r="AA45" i="36"/>
  <c r="AA240" i="1"/>
  <c r="AA46" i="36"/>
  <c r="AA236" i="1"/>
  <c r="AA42" i="36"/>
  <c r="Z47" i="36"/>
  <c r="Z23" i="19" s="1"/>
  <c r="AA235" i="1"/>
  <c r="AA41" i="36"/>
  <c r="AA237" i="1"/>
  <c r="AA43" i="36"/>
  <c r="AA91" i="1"/>
  <c r="AB47" i="34" s="1"/>
  <c r="AA71" i="18"/>
  <c r="AA90" i="1"/>
  <c r="AB46" i="34" s="1"/>
  <c r="AA70" i="18"/>
  <c r="AA88" i="1"/>
  <c r="AB44" i="34" s="1"/>
  <c r="AA68" i="18"/>
  <c r="AA89" i="1"/>
  <c r="AB45" i="34" s="1"/>
  <c r="AA69" i="18"/>
  <c r="AA58" i="1"/>
  <c r="AA30" i="10"/>
  <c r="AA59" i="1"/>
  <c r="AA31" i="10"/>
  <c r="Z33" i="10"/>
  <c r="Z9" i="19" s="1"/>
  <c r="AA60" i="1"/>
  <c r="AA32" i="10"/>
  <c r="AA93" i="1"/>
  <c r="AA48" i="10"/>
  <c r="Z50" i="10"/>
  <c r="Z10" i="19" s="1"/>
  <c r="AA94" i="1"/>
  <c r="AA49" i="10"/>
  <c r="AA92" i="1"/>
  <c r="AA47" i="10"/>
  <c r="S4" i="18"/>
  <c r="R67" i="18"/>
  <c r="R54" i="18"/>
  <c r="R41" i="18"/>
  <c r="S4" i="24"/>
  <c r="R13" i="24"/>
  <c r="R31" i="24"/>
  <c r="R22" i="24"/>
  <c r="J72" i="23"/>
  <c r="AD72" i="23"/>
  <c r="O72" i="23"/>
  <c r="T72" i="23"/>
  <c r="Y72" i="23"/>
  <c r="E72" i="23"/>
  <c r="AA51" i="34" l="1"/>
  <c r="AA17" i="19" s="1"/>
  <c r="Y19" i="19"/>
  <c r="Y18" i="19" s="1"/>
  <c r="T19" i="19"/>
  <c r="T18" i="19" s="1"/>
  <c r="AD19" i="19"/>
  <c r="AD18" i="19" s="1"/>
  <c r="O19" i="19"/>
  <c r="O18" i="19" s="1"/>
  <c r="J19" i="19"/>
  <c r="J18" i="19" s="1"/>
  <c r="E19" i="19"/>
  <c r="E18" i="19" s="1"/>
  <c r="AB73" i="18"/>
  <c r="AB49" i="34"/>
  <c r="AB72" i="18"/>
  <c r="AB48" i="34"/>
  <c r="AB74" i="18"/>
  <c r="AB50" i="34"/>
  <c r="D18" i="19"/>
  <c r="AB236" i="1"/>
  <c r="AB42" i="36"/>
  <c r="AB240" i="1"/>
  <c r="AB46" i="36"/>
  <c r="AB235" i="1"/>
  <c r="AB41" i="36"/>
  <c r="AB239" i="1"/>
  <c r="AB45" i="36"/>
  <c r="AB237" i="1"/>
  <c r="AB43" i="36"/>
  <c r="AA47" i="36"/>
  <c r="AA23" i="19" s="1"/>
  <c r="AB238" i="1"/>
  <c r="AB44" i="36"/>
  <c r="AB88" i="1"/>
  <c r="AC44" i="34" s="1"/>
  <c r="AB68" i="18"/>
  <c r="AB90" i="1"/>
  <c r="AC46" i="34" s="1"/>
  <c r="AB70" i="18"/>
  <c r="AB89" i="1"/>
  <c r="AC45" i="34" s="1"/>
  <c r="AB69" i="18"/>
  <c r="AB91" i="1"/>
  <c r="AC47" i="34" s="1"/>
  <c r="AB71" i="18"/>
  <c r="AB60" i="1"/>
  <c r="AB32" i="10"/>
  <c r="AA33" i="10"/>
  <c r="AA9" i="19" s="1"/>
  <c r="AB59" i="1"/>
  <c r="AB31" i="10"/>
  <c r="AB58" i="1"/>
  <c r="AB30" i="10"/>
  <c r="AA50" i="10"/>
  <c r="AA10" i="19" s="1"/>
  <c r="AB92" i="1"/>
  <c r="AB47" i="10"/>
  <c r="AB94" i="1"/>
  <c r="AB49" i="10"/>
  <c r="AB93" i="1"/>
  <c r="AB48" i="10"/>
  <c r="T4" i="24"/>
  <c r="S31" i="24"/>
  <c r="S13" i="24"/>
  <c r="S22" i="24"/>
  <c r="T4" i="18"/>
  <c r="S67" i="18"/>
  <c r="S41" i="18"/>
  <c r="S54" i="18"/>
  <c r="F72" i="23"/>
  <c r="F19" i="19" s="1"/>
  <c r="Z72" i="23"/>
  <c r="AE72" i="23"/>
  <c r="U72" i="23"/>
  <c r="E75" i="18"/>
  <c r="E16" i="19" s="1"/>
  <c r="K72" i="23"/>
  <c r="P72" i="23"/>
  <c r="F52" i="1"/>
  <c r="F53" i="1"/>
  <c r="F54" i="1"/>
  <c r="F51" i="1"/>
  <c r="Z19" i="19" l="1"/>
  <c r="Z18" i="19" s="1"/>
  <c r="P19" i="19"/>
  <c r="P18" i="19" s="1"/>
  <c r="K19" i="19"/>
  <c r="K18" i="19" s="1"/>
  <c r="U19" i="19"/>
  <c r="U18" i="19" s="1"/>
  <c r="AE19" i="19"/>
  <c r="AE18" i="19" s="1"/>
  <c r="AB51" i="34"/>
  <c r="AB17" i="19" s="1"/>
  <c r="AC73" i="18"/>
  <c r="AC49" i="34"/>
  <c r="AC74" i="18"/>
  <c r="AC50" i="34"/>
  <c r="AC72" i="18"/>
  <c r="AC48" i="34"/>
  <c r="E15" i="19"/>
  <c r="AC237" i="1"/>
  <c r="AC43" i="36"/>
  <c r="AC239" i="1"/>
  <c r="AC45" i="36"/>
  <c r="AB47" i="36"/>
  <c r="AB23" i="19" s="1"/>
  <c r="AC235" i="1"/>
  <c r="AC41" i="36"/>
  <c r="AC240" i="1"/>
  <c r="AC46" i="36"/>
  <c r="AC238" i="1"/>
  <c r="AC44" i="36"/>
  <c r="AC236" i="1"/>
  <c r="AC42" i="36"/>
  <c r="AC91" i="1"/>
  <c r="AD47" i="34" s="1"/>
  <c r="AC71" i="18"/>
  <c r="AC89" i="1"/>
  <c r="AD45" i="34" s="1"/>
  <c r="AC69" i="18"/>
  <c r="AC90" i="1"/>
  <c r="AD46" i="34" s="1"/>
  <c r="AC70" i="18"/>
  <c r="AC88" i="1"/>
  <c r="AD44" i="34" s="1"/>
  <c r="AC68" i="18"/>
  <c r="AB33" i="10"/>
  <c r="AB9" i="19" s="1"/>
  <c r="AC58" i="1"/>
  <c r="AC30" i="10"/>
  <c r="AC59" i="1"/>
  <c r="AC31" i="10"/>
  <c r="AC60" i="1"/>
  <c r="AC32" i="10"/>
  <c r="AC93" i="1"/>
  <c r="AC48" i="10"/>
  <c r="AC94" i="1"/>
  <c r="AC49" i="10"/>
  <c r="AB50" i="10"/>
  <c r="AB10" i="19" s="1"/>
  <c r="AC92" i="1"/>
  <c r="AC47" i="10"/>
  <c r="U4" i="18"/>
  <c r="T41" i="18"/>
  <c r="T67" i="18"/>
  <c r="T54" i="18"/>
  <c r="U4" i="24"/>
  <c r="T31" i="24"/>
  <c r="T22" i="24"/>
  <c r="T13" i="24"/>
  <c r="F75" i="18"/>
  <c r="G72" i="23"/>
  <c r="AC51" i="34" l="1"/>
  <c r="AC17" i="19" s="1"/>
  <c r="F16" i="19"/>
  <c r="F15" i="19" s="1"/>
  <c r="G19" i="19"/>
  <c r="G18" i="19" s="1"/>
  <c r="AD72" i="18"/>
  <c r="AD48" i="34"/>
  <c r="F18" i="19"/>
  <c r="AD74" i="18"/>
  <c r="AD50" i="34"/>
  <c r="AD73" i="18"/>
  <c r="AD49" i="34"/>
  <c r="AD240" i="1"/>
  <c r="AD46" i="36"/>
  <c r="AD238" i="1"/>
  <c r="AD44" i="36"/>
  <c r="AD235" i="1"/>
  <c r="AD41" i="36"/>
  <c r="AC47" i="36"/>
  <c r="AC23" i="19" s="1"/>
  <c r="AD236" i="1"/>
  <c r="AD42" i="36"/>
  <c r="AD239" i="1"/>
  <c r="AD45" i="36"/>
  <c r="AD237" i="1"/>
  <c r="AD43" i="36"/>
  <c r="AD88" i="1"/>
  <c r="AE44" i="34" s="1"/>
  <c r="AD68" i="18"/>
  <c r="AD90" i="1"/>
  <c r="AE46" i="34" s="1"/>
  <c r="AD70" i="18"/>
  <c r="AD89" i="1"/>
  <c r="AE45" i="34" s="1"/>
  <c r="AD69" i="18"/>
  <c r="AD91" i="1"/>
  <c r="AE47" i="34" s="1"/>
  <c r="AD71" i="18"/>
  <c r="AD60" i="1"/>
  <c r="AD32" i="10"/>
  <c r="AC33" i="10"/>
  <c r="AC9" i="19" s="1"/>
  <c r="AD59" i="1"/>
  <c r="AD31" i="10"/>
  <c r="AC50" i="10"/>
  <c r="AC10" i="19" s="1"/>
  <c r="AD58" i="1"/>
  <c r="AD30" i="10"/>
  <c r="AD92" i="1"/>
  <c r="AD47" i="10"/>
  <c r="AD94" i="1"/>
  <c r="AD49" i="10"/>
  <c r="AD93" i="1"/>
  <c r="AD48" i="10"/>
  <c r="V72" i="23"/>
  <c r="AA72" i="23"/>
  <c r="AF72" i="23"/>
  <c r="Q72" i="23"/>
  <c r="L72" i="23"/>
  <c r="L19" i="19" s="1"/>
  <c r="V4" i="24"/>
  <c r="U22" i="24"/>
  <c r="U13" i="24"/>
  <c r="U31" i="24"/>
  <c r="V4" i="18"/>
  <c r="U54" i="18"/>
  <c r="U41" i="18"/>
  <c r="U67" i="18"/>
  <c r="G75" i="18"/>
  <c r="G16" i="19" s="1"/>
  <c r="D15" i="3"/>
  <c r="E4" i="4"/>
  <c r="F15" i="3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62" i="18"/>
  <c r="AC62" i="18"/>
  <c r="Y62" i="18"/>
  <c r="U62" i="18"/>
  <c r="Q62" i="18"/>
  <c r="M62" i="18"/>
  <c r="I62" i="18"/>
  <c r="E62" i="18"/>
  <c r="D16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H15" i="4"/>
  <c r="H49" i="6" s="1"/>
  <c r="G15" i="4"/>
  <c r="G49" i="6" s="1"/>
  <c r="F15" i="4"/>
  <c r="F49" i="6" s="1"/>
  <c r="E15" i="4"/>
  <c r="E49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D5" i="19"/>
  <c r="C5" i="19" s="1"/>
  <c r="B20" i="82" s="1"/>
  <c r="C28" i="2"/>
  <c r="C27" i="2"/>
  <c r="J12" i="2"/>
  <c r="I12" i="2"/>
  <c r="G12" i="2"/>
  <c r="G5" i="6" s="1"/>
  <c r="G51" i="6" s="1"/>
  <c r="F12" i="2"/>
  <c r="F5" i="6" s="1"/>
  <c r="E12" i="2"/>
  <c r="E5" i="6" s="1"/>
  <c r="E51" i="6" s="1"/>
  <c r="D12" i="2"/>
  <c r="C13" i="2"/>
  <c r="C11" i="2"/>
  <c r="C8" i="2"/>
  <c r="C7" i="2"/>
  <c r="C6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G27" i="3"/>
  <c r="G38" i="3" s="1"/>
  <c r="F27" i="3"/>
  <c r="F38" i="3" s="1"/>
  <c r="E27" i="3"/>
  <c r="D27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G18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5" i="2" s="1"/>
  <c r="G24" i="7"/>
  <c r="F4" i="4"/>
  <c r="F4" i="3"/>
  <c r="F4" i="19"/>
  <c r="E4" i="3"/>
  <c r="G15" i="3"/>
  <c r="G4" i="2"/>
  <c r="G25" i="2" s="1"/>
  <c r="D25" i="2"/>
  <c r="E25" i="2"/>
  <c r="H24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24" i="7"/>
  <c r="E24" i="7"/>
  <c r="F4" i="10"/>
  <c r="E4" i="10"/>
  <c r="D12" i="4"/>
  <c r="P20" i="82" l="1"/>
  <c r="S20" i="82"/>
  <c r="R20" i="82"/>
  <c r="Q20" i="82"/>
  <c r="N20" i="82"/>
  <c r="M36" i="82"/>
  <c r="C20" i="82"/>
  <c r="G20" i="82"/>
  <c r="H20" i="82"/>
  <c r="D20" i="82"/>
  <c r="F20" i="82"/>
  <c r="E20" i="82"/>
  <c r="R36" i="82"/>
  <c r="M20" i="82"/>
  <c r="O20" i="82"/>
  <c r="J20" i="82"/>
  <c r="T36" i="82"/>
  <c r="N36" i="82"/>
  <c r="I20" i="82"/>
  <c r="T20" i="82"/>
  <c r="Q36" i="82"/>
  <c r="L20" i="82"/>
  <c r="P36" i="82"/>
  <c r="K20" i="82"/>
  <c r="S36" i="82"/>
  <c r="O36" i="82"/>
  <c r="V19" i="19"/>
  <c r="V18" i="19" s="1"/>
  <c r="AA19" i="19"/>
  <c r="AA18" i="19" s="1"/>
  <c r="Q19" i="19"/>
  <c r="Q18" i="19" s="1"/>
  <c r="AF19" i="19"/>
  <c r="AF18" i="19" s="1"/>
  <c r="AD51" i="34"/>
  <c r="AD17" i="19" s="1"/>
  <c r="AE74" i="18"/>
  <c r="AE50" i="34"/>
  <c r="D38" i="3"/>
  <c r="AE72" i="18"/>
  <c r="AE48" i="34"/>
  <c r="AE73" i="18"/>
  <c r="AE49" i="34"/>
  <c r="C7" i="3"/>
  <c r="D41" i="3"/>
  <c r="C30" i="3"/>
  <c r="C7" i="10"/>
  <c r="F35" i="6"/>
  <c r="F51" i="6"/>
  <c r="C72" i="23"/>
  <c r="C7" i="4"/>
  <c r="C21" i="4"/>
  <c r="D49" i="6"/>
  <c r="C49" i="6" s="1"/>
  <c r="C15" i="4"/>
  <c r="C22" i="4"/>
  <c r="C49" i="18"/>
  <c r="D8" i="19"/>
  <c r="C20" i="3"/>
  <c r="C9" i="3"/>
  <c r="C28" i="3"/>
  <c r="L6" i="9"/>
  <c r="D15" i="9"/>
  <c r="L7" i="9"/>
  <c r="D16" i="9"/>
  <c r="L5" i="9"/>
  <c r="D14" i="9"/>
  <c r="AE239" i="1"/>
  <c r="AE45" i="36"/>
  <c r="AE236" i="1"/>
  <c r="AE42" i="36"/>
  <c r="G15" i="19"/>
  <c r="AD47" i="36"/>
  <c r="AD23" i="19" s="1"/>
  <c r="AE235" i="1"/>
  <c r="AE41" i="36"/>
  <c r="AE237" i="1"/>
  <c r="AE43" i="36"/>
  <c r="AE238" i="1"/>
  <c r="AE44" i="36"/>
  <c r="AE240" i="1"/>
  <c r="AE46" i="36"/>
  <c r="AE91" i="1"/>
  <c r="AF47" i="34" s="1"/>
  <c r="AE71" i="18"/>
  <c r="AE89" i="1"/>
  <c r="AF45" i="34" s="1"/>
  <c r="AE69" i="18"/>
  <c r="AE90" i="1"/>
  <c r="AF46" i="34" s="1"/>
  <c r="AE70" i="18"/>
  <c r="AE88" i="1"/>
  <c r="AF44" i="34" s="1"/>
  <c r="AE68" i="18"/>
  <c r="AD33" i="10"/>
  <c r="AD9" i="19" s="1"/>
  <c r="AE58" i="1"/>
  <c r="AE30" i="10"/>
  <c r="AE59" i="1"/>
  <c r="AE31" i="10"/>
  <c r="AE60" i="1"/>
  <c r="AE32" i="10"/>
  <c r="G23" i="4"/>
  <c r="G7" i="6" s="1"/>
  <c r="G33" i="6" s="1"/>
  <c r="S23" i="4"/>
  <c r="S7" i="6" s="1"/>
  <c r="S33" i="6" s="1"/>
  <c r="S34" i="6" s="1"/>
  <c r="AE23" i="4"/>
  <c r="AE21" i="6" s="1"/>
  <c r="AE93" i="1"/>
  <c r="AE48" i="10"/>
  <c r="AE94" i="1"/>
  <c r="AE49" i="10"/>
  <c r="AD50" i="10"/>
  <c r="AD10" i="19" s="1"/>
  <c r="AE92" i="1"/>
  <c r="AE47" i="10"/>
  <c r="I5" i="6"/>
  <c r="H23" i="4"/>
  <c r="H21" i="6" s="1"/>
  <c r="T23" i="4"/>
  <c r="T7" i="6" s="1"/>
  <c r="T33" i="6" s="1"/>
  <c r="T34" i="6" s="1"/>
  <c r="AF23" i="4"/>
  <c r="AF21" i="6" s="1"/>
  <c r="E23" i="4"/>
  <c r="E7" i="6" s="1"/>
  <c r="E33" i="6" s="1"/>
  <c r="Q23" i="4"/>
  <c r="Q7" i="6" s="1"/>
  <c r="Q33" i="6" s="1"/>
  <c r="Q34" i="6" s="1"/>
  <c r="AC23" i="4"/>
  <c r="AC7" i="6" s="1"/>
  <c r="AC33" i="6" s="1"/>
  <c r="AC34" i="6" s="1"/>
  <c r="P23" i="4"/>
  <c r="P21" i="6" s="1"/>
  <c r="AB23" i="4"/>
  <c r="AB7" i="6" s="1"/>
  <c r="AB33" i="6" s="1"/>
  <c r="AB34" i="6" s="1"/>
  <c r="I23" i="4"/>
  <c r="I21" i="6" s="1"/>
  <c r="U23" i="4"/>
  <c r="U7" i="6" s="1"/>
  <c r="U33" i="6" s="1"/>
  <c r="U34" i="6" s="1"/>
  <c r="AG23" i="4"/>
  <c r="AG7" i="6" s="1"/>
  <c r="AG33" i="6" s="1"/>
  <c r="AG34" i="6" s="1"/>
  <c r="X9" i="10"/>
  <c r="X10" i="10"/>
  <c r="X8" i="10"/>
  <c r="M9" i="10"/>
  <c r="M10" i="10"/>
  <c r="M8" i="10"/>
  <c r="Y9" i="10"/>
  <c r="Y10" i="10"/>
  <c r="Y8" i="10"/>
  <c r="N9" i="10"/>
  <c r="N8" i="10"/>
  <c r="N10" i="10"/>
  <c r="Z9" i="10"/>
  <c r="Z10" i="10"/>
  <c r="Z8" i="10"/>
  <c r="O9" i="10"/>
  <c r="O10" i="10"/>
  <c r="O8" i="10"/>
  <c r="AA8" i="10"/>
  <c r="AA9" i="10"/>
  <c r="AA10" i="10"/>
  <c r="P9" i="10"/>
  <c r="P10" i="10"/>
  <c r="P8" i="10"/>
  <c r="AB10" i="10"/>
  <c r="AB9" i="10"/>
  <c r="AB8" i="10"/>
  <c r="E8" i="10"/>
  <c r="E9" i="10"/>
  <c r="E10" i="10"/>
  <c r="Q8" i="10"/>
  <c r="Q9" i="10"/>
  <c r="Q10" i="10"/>
  <c r="AC8" i="10"/>
  <c r="AC10" i="10"/>
  <c r="AC9" i="10"/>
  <c r="F9" i="10"/>
  <c r="F8" i="10"/>
  <c r="F13" i="10" s="1"/>
  <c r="F10" i="10"/>
  <c r="R8" i="10"/>
  <c r="R9" i="10"/>
  <c r="R10" i="10"/>
  <c r="AD10" i="10"/>
  <c r="AD8" i="10"/>
  <c r="AD9" i="10"/>
  <c r="K23" i="4"/>
  <c r="W23" i="4"/>
  <c r="G10" i="10"/>
  <c r="G8" i="10"/>
  <c r="G13" i="10" s="1"/>
  <c r="G9" i="10"/>
  <c r="S10" i="10"/>
  <c r="S8" i="10"/>
  <c r="S9" i="10"/>
  <c r="AE10" i="10"/>
  <c r="AE8" i="10"/>
  <c r="AE9" i="10"/>
  <c r="L23" i="4"/>
  <c r="X23" i="4"/>
  <c r="H10" i="10"/>
  <c r="H9" i="10"/>
  <c r="H8" i="10"/>
  <c r="T10" i="10"/>
  <c r="T8" i="10"/>
  <c r="T9" i="10"/>
  <c r="AF9" i="10"/>
  <c r="AF10" i="10"/>
  <c r="AF8" i="10"/>
  <c r="L9" i="10"/>
  <c r="L8" i="10"/>
  <c r="L10" i="10"/>
  <c r="M23" i="4"/>
  <c r="Y23" i="4"/>
  <c r="I9" i="10"/>
  <c r="I10" i="10"/>
  <c r="I8" i="10"/>
  <c r="U10" i="10"/>
  <c r="U8" i="10"/>
  <c r="U9" i="10"/>
  <c r="AG10" i="10"/>
  <c r="AG8" i="10"/>
  <c r="AG9" i="10"/>
  <c r="J10" i="10"/>
  <c r="J8" i="10"/>
  <c r="J9" i="10"/>
  <c r="V9" i="10"/>
  <c r="V10" i="10"/>
  <c r="V8" i="10"/>
  <c r="O23" i="4"/>
  <c r="AA23" i="4"/>
  <c r="K9" i="10"/>
  <c r="K10" i="10"/>
  <c r="K8" i="10"/>
  <c r="W10" i="10"/>
  <c r="W8" i="10"/>
  <c r="W9" i="10"/>
  <c r="F40" i="3"/>
  <c r="F43" i="3" s="1"/>
  <c r="F6" i="19" s="1"/>
  <c r="E21" i="3"/>
  <c r="E52" i="6" s="1"/>
  <c r="D10" i="3"/>
  <c r="E10" i="3"/>
  <c r="D39" i="3"/>
  <c r="C39" i="3" s="1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E31" i="3"/>
  <c r="E42" i="3"/>
  <c r="I31" i="3"/>
  <c r="I42" i="3"/>
  <c r="U31" i="3"/>
  <c r="U42" i="3"/>
  <c r="Y31" i="3"/>
  <c r="Y42" i="3"/>
  <c r="F21" i="3"/>
  <c r="F52" i="6" s="1"/>
  <c r="H10" i="3"/>
  <c r="L10" i="3"/>
  <c r="P10" i="3"/>
  <c r="T10" i="3"/>
  <c r="X10" i="3"/>
  <c r="AB10" i="3"/>
  <c r="AF10" i="3"/>
  <c r="G10" i="3"/>
  <c r="K10" i="3"/>
  <c r="O10" i="3"/>
  <c r="S10" i="3"/>
  <c r="W10" i="3"/>
  <c r="AA10" i="3"/>
  <c r="AE10" i="3"/>
  <c r="G40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5" i="2"/>
  <c r="I17" i="2" s="1"/>
  <c r="J15" i="2"/>
  <c r="J17" i="2" s="1"/>
  <c r="J20" i="2" s="1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67" i="18"/>
  <c r="V41" i="18"/>
  <c r="V54" i="18"/>
  <c r="W4" i="24"/>
  <c r="V22" i="24"/>
  <c r="V13" i="24"/>
  <c r="V31" i="24"/>
  <c r="E15" i="2"/>
  <c r="E17" i="2" s="1"/>
  <c r="E25" i="7" s="1"/>
  <c r="D5" i="6"/>
  <c r="D15" i="2"/>
  <c r="H50" i="6"/>
  <c r="H75" i="18"/>
  <c r="D62" i="18"/>
  <c r="H62" i="18"/>
  <c r="L62" i="18"/>
  <c r="P62" i="18"/>
  <c r="T62" i="18"/>
  <c r="X62" i="18"/>
  <c r="AB62" i="18"/>
  <c r="AF62" i="18"/>
  <c r="G62" i="18"/>
  <c r="K62" i="18"/>
  <c r="O62" i="18"/>
  <c r="S62" i="18"/>
  <c r="W62" i="18"/>
  <c r="AA62" i="18"/>
  <c r="AE62" i="18"/>
  <c r="D31" i="3"/>
  <c r="G21" i="3"/>
  <c r="G52" i="6" s="1"/>
  <c r="I10" i="3"/>
  <c r="M10" i="3"/>
  <c r="Q10" i="3"/>
  <c r="U10" i="3"/>
  <c r="Y10" i="3"/>
  <c r="AC10" i="3"/>
  <c r="AG10" i="3"/>
  <c r="G29" i="3"/>
  <c r="F31" i="3"/>
  <c r="J31" i="3"/>
  <c r="N31" i="3"/>
  <c r="R31" i="3"/>
  <c r="V31" i="3"/>
  <c r="Z31" i="3"/>
  <c r="AD31" i="3"/>
  <c r="F10" i="3"/>
  <c r="J10" i="3"/>
  <c r="N10" i="3"/>
  <c r="R10" i="3"/>
  <c r="V10" i="3"/>
  <c r="Z10" i="3"/>
  <c r="AD10" i="3"/>
  <c r="F29" i="3"/>
  <c r="D29" i="3"/>
  <c r="D23" i="4"/>
  <c r="D21" i="3"/>
  <c r="F23" i="4"/>
  <c r="J23" i="4"/>
  <c r="N23" i="4"/>
  <c r="R23" i="4"/>
  <c r="V23" i="4"/>
  <c r="Z23" i="4"/>
  <c r="AD23" i="4"/>
  <c r="F62" i="18"/>
  <c r="J62" i="18"/>
  <c r="N62" i="18"/>
  <c r="R62" i="18"/>
  <c r="V62" i="18"/>
  <c r="Z62" i="18"/>
  <c r="AD62" i="18"/>
  <c r="C41" i="3" l="1"/>
  <c r="C31" i="3"/>
  <c r="AE51" i="34"/>
  <c r="AE17" i="19" s="1"/>
  <c r="H16" i="19"/>
  <c r="H15" i="19" s="1"/>
  <c r="E32" i="6"/>
  <c r="E48" i="6"/>
  <c r="D51" i="6"/>
  <c r="D35" i="6"/>
  <c r="I35" i="6"/>
  <c r="I51" i="6"/>
  <c r="C62" i="18"/>
  <c r="C10" i="3"/>
  <c r="AF74" i="18"/>
  <c r="AF50" i="34"/>
  <c r="D19" i="9"/>
  <c r="E18" i="9" s="1"/>
  <c r="D7" i="19"/>
  <c r="L18" i="19"/>
  <c r="C18" i="19" s="1"/>
  <c r="C19" i="19"/>
  <c r="AF72" i="18"/>
  <c r="AF48" i="34"/>
  <c r="E15" i="10"/>
  <c r="C10" i="10"/>
  <c r="C23" i="4"/>
  <c r="C5" i="7" s="1"/>
  <c r="E14" i="10"/>
  <c r="C9" i="10"/>
  <c r="AF73" i="18"/>
  <c r="AF49" i="34"/>
  <c r="D52" i="6"/>
  <c r="C8" i="10"/>
  <c r="G21" i="6"/>
  <c r="C5" i="6"/>
  <c r="B3" i="82" s="1"/>
  <c r="AE47" i="36"/>
  <c r="AE23" i="19" s="1"/>
  <c r="AF235" i="1"/>
  <c r="AF41" i="36"/>
  <c r="AF240" i="1"/>
  <c r="AF46" i="36"/>
  <c r="AF238" i="1"/>
  <c r="AF44" i="36"/>
  <c r="AF236" i="1"/>
  <c r="AF42" i="36"/>
  <c r="AF237" i="1"/>
  <c r="AF43" i="36"/>
  <c r="AF239" i="1"/>
  <c r="AF45" i="36"/>
  <c r="AF88" i="1"/>
  <c r="AG44" i="34" s="1"/>
  <c r="AF68" i="18"/>
  <c r="AF90" i="1"/>
  <c r="AG46" i="34" s="1"/>
  <c r="AF70" i="18"/>
  <c r="AF89" i="1"/>
  <c r="AG45" i="34" s="1"/>
  <c r="AF69" i="18"/>
  <c r="AF91" i="1"/>
  <c r="AG47" i="34" s="1"/>
  <c r="AF71" i="18"/>
  <c r="AE7" i="6"/>
  <c r="AE33" i="6" s="1"/>
  <c r="AE34" i="6" s="1"/>
  <c r="AF60" i="1"/>
  <c r="AG15" i="10" s="1"/>
  <c r="AF32" i="10"/>
  <c r="AE50" i="10"/>
  <c r="AE10" i="19" s="1"/>
  <c r="AF59" i="1"/>
  <c r="AG14" i="10" s="1"/>
  <c r="AF31" i="10"/>
  <c r="S21" i="6"/>
  <c r="AE33" i="10"/>
  <c r="AE9" i="19" s="1"/>
  <c r="AF58" i="1"/>
  <c r="AG13" i="10" s="1"/>
  <c r="AF30" i="10"/>
  <c r="AF7" i="6"/>
  <c r="AF33" i="6" s="1"/>
  <c r="AF34" i="6" s="1"/>
  <c r="AF92" i="1"/>
  <c r="AF47" i="10"/>
  <c r="H7" i="6"/>
  <c r="H33" i="6" s="1"/>
  <c r="H34" i="6" s="1"/>
  <c r="T21" i="6"/>
  <c r="AF94" i="1"/>
  <c r="AF49" i="10"/>
  <c r="AF93" i="1"/>
  <c r="AF48" i="10"/>
  <c r="I20" i="2"/>
  <c r="I25" i="7"/>
  <c r="Q21" i="6"/>
  <c r="AC21" i="6"/>
  <c r="E21" i="6"/>
  <c r="P7" i="6"/>
  <c r="P33" i="6" s="1"/>
  <c r="P34" i="6" s="1"/>
  <c r="AG21" i="6"/>
  <c r="I7" i="6"/>
  <c r="I33" i="6" s="1"/>
  <c r="AB21" i="6"/>
  <c r="U21" i="6"/>
  <c r="Z21" i="6"/>
  <c r="Z7" i="6"/>
  <c r="Z33" i="6" s="1"/>
  <c r="Z34" i="6" s="1"/>
  <c r="V7" i="6"/>
  <c r="V33" i="6" s="1"/>
  <c r="V34" i="6" s="1"/>
  <c r="V21" i="6"/>
  <c r="R7" i="6"/>
  <c r="R33" i="6" s="1"/>
  <c r="R34" i="6" s="1"/>
  <c r="R21" i="6"/>
  <c r="X21" i="6"/>
  <c r="X7" i="6"/>
  <c r="X33" i="6" s="1"/>
  <c r="X34" i="6" s="1"/>
  <c r="L21" i="6"/>
  <c r="L7" i="6"/>
  <c r="L33" i="6" s="1"/>
  <c r="L34" i="6" s="1"/>
  <c r="N21" i="6"/>
  <c r="N7" i="6"/>
  <c r="N33" i="6" s="1"/>
  <c r="N34" i="6" s="1"/>
  <c r="J21" i="6"/>
  <c r="J7" i="6"/>
  <c r="J33" i="6" s="1"/>
  <c r="J34" i="6" s="1"/>
  <c r="AA21" i="6"/>
  <c r="AA7" i="6"/>
  <c r="AA33" i="6" s="1"/>
  <c r="AA34" i="6" s="1"/>
  <c r="F7" i="6"/>
  <c r="F33" i="6" s="1"/>
  <c r="F21" i="6"/>
  <c r="O21" i="6"/>
  <c r="O7" i="6"/>
  <c r="O33" i="6" s="1"/>
  <c r="O34" i="6" s="1"/>
  <c r="W7" i="6"/>
  <c r="W33" i="6" s="1"/>
  <c r="W34" i="6" s="1"/>
  <c r="W21" i="6"/>
  <c r="AD7" i="6"/>
  <c r="AD33" i="6" s="1"/>
  <c r="AD34" i="6" s="1"/>
  <c r="AD21" i="6"/>
  <c r="K7" i="6"/>
  <c r="K33" i="6" s="1"/>
  <c r="K34" i="6" s="1"/>
  <c r="K21" i="6"/>
  <c r="M21" i="6"/>
  <c r="M7" i="6"/>
  <c r="M33" i="6" s="1"/>
  <c r="M34" i="6" s="1"/>
  <c r="D7" i="6"/>
  <c r="D21" i="6"/>
  <c r="Y21" i="6"/>
  <c r="Y7" i="6"/>
  <c r="Y33" i="6" s="1"/>
  <c r="Y34" i="6" s="1"/>
  <c r="G43" i="3"/>
  <c r="G6" i="19" s="1"/>
  <c r="E43" i="3"/>
  <c r="E6" i="19" s="1"/>
  <c r="G32" i="3"/>
  <c r="G6" i="6" s="1"/>
  <c r="D42" i="3"/>
  <c r="C42" i="3" s="1"/>
  <c r="E32" i="3"/>
  <c r="D40" i="3"/>
  <c r="F15" i="2"/>
  <c r="G15" i="2"/>
  <c r="U14" i="10"/>
  <c r="L14" i="10"/>
  <c r="AD14" i="10"/>
  <c r="N14" i="10"/>
  <c r="Y14" i="10"/>
  <c r="I14" i="10"/>
  <c r="AF14" i="10"/>
  <c r="P14" i="10"/>
  <c r="AA14" i="10"/>
  <c r="K14" i="10"/>
  <c r="Z14" i="10"/>
  <c r="J14" i="10"/>
  <c r="AB14" i="10"/>
  <c r="W14" i="10"/>
  <c r="G14" i="10"/>
  <c r="N15" i="10"/>
  <c r="Y15" i="10"/>
  <c r="I15" i="10"/>
  <c r="T15" i="10"/>
  <c r="AE15" i="10"/>
  <c r="O15" i="10"/>
  <c r="X4" i="24"/>
  <c r="W31" i="24"/>
  <c r="W13" i="24"/>
  <c r="W22" i="24"/>
  <c r="X4" i="18"/>
  <c r="W67" i="18"/>
  <c r="W41" i="18"/>
  <c r="W54" i="18"/>
  <c r="V15" i="10"/>
  <c r="R15" i="10"/>
  <c r="AC15" i="10"/>
  <c r="M15" i="10"/>
  <c r="X15" i="10"/>
  <c r="H15" i="10"/>
  <c r="S15" i="10"/>
  <c r="E20" i="2"/>
  <c r="E54" i="6"/>
  <c r="E35" i="6"/>
  <c r="M13" i="10"/>
  <c r="S13" i="10"/>
  <c r="AB13" i="10"/>
  <c r="W13" i="10"/>
  <c r="Z13" i="10"/>
  <c r="V13" i="10"/>
  <c r="R14" i="10"/>
  <c r="J13" i="10"/>
  <c r="F15" i="10"/>
  <c r="AC14" i="10"/>
  <c r="U13" i="10"/>
  <c r="Q15" i="10"/>
  <c r="M14" i="10"/>
  <c r="AF13" i="10"/>
  <c r="AB15" i="10"/>
  <c r="T14" i="10"/>
  <c r="P13" i="10"/>
  <c r="L15" i="10"/>
  <c r="AE14" i="10"/>
  <c r="AA13" i="10"/>
  <c r="W15" i="10"/>
  <c r="O14" i="10"/>
  <c r="K13" i="10"/>
  <c r="G15" i="10"/>
  <c r="AD13" i="10"/>
  <c r="R13" i="10"/>
  <c r="AC13" i="10"/>
  <c r="X13" i="10"/>
  <c r="H13" i="10"/>
  <c r="Q13" i="10"/>
  <c r="L13" i="10"/>
  <c r="AD15" i="10"/>
  <c r="Z15" i="10"/>
  <c r="V14" i="10"/>
  <c r="N13" i="10"/>
  <c r="J15" i="10"/>
  <c r="F14" i="10"/>
  <c r="Y13" i="10"/>
  <c r="U15" i="10"/>
  <c r="Q14" i="10"/>
  <c r="I13" i="10"/>
  <c r="AF15" i="10"/>
  <c r="X14" i="10"/>
  <c r="T13" i="10"/>
  <c r="P15" i="10"/>
  <c r="H14" i="10"/>
  <c r="AE13" i="10"/>
  <c r="AA15" i="10"/>
  <c r="S14" i="10"/>
  <c r="O13" i="10"/>
  <c r="K15" i="10"/>
  <c r="I75" i="18"/>
  <c r="E13" i="10"/>
  <c r="F32" i="3"/>
  <c r="D17" i="2"/>
  <c r="D20" i="2" s="1"/>
  <c r="D32" i="3"/>
  <c r="C12" i="2"/>
  <c r="C3" i="7" s="1"/>
  <c r="G3" i="82" l="1"/>
  <c r="F3" i="82"/>
  <c r="O12" i="82"/>
  <c r="H3" i="82"/>
  <c r="C3" i="82"/>
  <c r="E3" i="82"/>
  <c r="D3" i="82"/>
  <c r="N12" i="82"/>
  <c r="G16" i="2"/>
  <c r="G17" i="2" s="1"/>
  <c r="G19" i="2"/>
  <c r="F16" i="2"/>
  <c r="C16" i="2" s="1"/>
  <c r="F19" i="2"/>
  <c r="C19" i="2" s="1"/>
  <c r="C13" i="7" s="1"/>
  <c r="C15" i="7" s="1"/>
  <c r="I16" i="19"/>
  <c r="I15" i="19" s="1"/>
  <c r="AF51" i="34"/>
  <c r="AF17" i="19" s="1"/>
  <c r="E15" i="9"/>
  <c r="E17" i="9"/>
  <c r="E16" i="9"/>
  <c r="E14" i="9"/>
  <c r="E20" i="9" s="1"/>
  <c r="AG73" i="18"/>
  <c r="AG49" i="34"/>
  <c r="C21" i="6"/>
  <c r="AG72" i="18"/>
  <c r="AG48" i="34"/>
  <c r="AG74" i="18"/>
  <c r="AG50" i="34"/>
  <c r="C7" i="6"/>
  <c r="D5" i="7" s="1"/>
  <c r="I32" i="6"/>
  <c r="I34" i="6" s="1"/>
  <c r="I48" i="6"/>
  <c r="I50" i="6" s="1"/>
  <c r="AG236" i="1"/>
  <c r="AG42" i="36"/>
  <c r="AG238" i="1"/>
  <c r="AG44" i="36"/>
  <c r="AG240" i="1"/>
  <c r="AG46" i="36"/>
  <c r="AG239" i="1"/>
  <c r="AG45" i="36"/>
  <c r="AF47" i="36"/>
  <c r="AF23" i="19" s="1"/>
  <c r="AG235" i="1"/>
  <c r="AG41" i="36"/>
  <c r="AG237" i="1"/>
  <c r="AG43" i="36"/>
  <c r="AG91" i="1"/>
  <c r="AG71" i="18"/>
  <c r="AG89" i="1"/>
  <c r="AG69" i="18"/>
  <c r="AG90" i="1"/>
  <c r="AG70" i="18"/>
  <c r="AG88" i="1"/>
  <c r="AG68" i="18"/>
  <c r="AF33" i="10"/>
  <c r="AF9" i="19" s="1"/>
  <c r="AG58" i="1"/>
  <c r="AG30" i="10"/>
  <c r="AG59" i="1"/>
  <c r="AG31" i="10"/>
  <c r="AG60" i="1"/>
  <c r="AG32" i="10"/>
  <c r="AG93" i="1"/>
  <c r="AG48" i="10"/>
  <c r="AG94" i="1"/>
  <c r="AG49" i="10"/>
  <c r="AF50" i="10"/>
  <c r="AF10" i="19" s="1"/>
  <c r="AG92" i="1"/>
  <c r="AG47" i="10"/>
  <c r="D3" i="7"/>
  <c r="D33" i="6"/>
  <c r="C33" i="6" s="1"/>
  <c r="D25" i="7"/>
  <c r="G16" i="10"/>
  <c r="G8" i="19" s="1"/>
  <c r="G7" i="19" s="1"/>
  <c r="C15" i="2"/>
  <c r="G19" i="6"/>
  <c r="D19" i="6"/>
  <c r="D6" i="6"/>
  <c r="D43" i="3"/>
  <c r="F19" i="6"/>
  <c r="F6" i="6"/>
  <c r="F36" i="6" s="1"/>
  <c r="E19" i="6"/>
  <c r="E6" i="6"/>
  <c r="F54" i="6"/>
  <c r="F17" i="2"/>
  <c r="G54" i="6"/>
  <c r="G35" i="6"/>
  <c r="C35" i="6" s="1"/>
  <c r="I16" i="10"/>
  <c r="I8" i="19" s="1"/>
  <c r="I7" i="19" s="1"/>
  <c r="AD16" i="10"/>
  <c r="AD8" i="19" s="1"/>
  <c r="AD7" i="19" s="1"/>
  <c r="N16" i="10"/>
  <c r="N8" i="19" s="1"/>
  <c r="N7" i="19" s="1"/>
  <c r="V16" i="10"/>
  <c r="V8" i="19" s="1"/>
  <c r="V7" i="19" s="1"/>
  <c r="R16" i="10"/>
  <c r="R8" i="19" s="1"/>
  <c r="R7" i="19" s="1"/>
  <c r="Y16" i="10"/>
  <c r="Y8" i="19" s="1"/>
  <c r="Y7" i="19" s="1"/>
  <c r="L16" i="10"/>
  <c r="L8" i="19" s="1"/>
  <c r="L7" i="19" s="1"/>
  <c r="AF16" i="10"/>
  <c r="AF8" i="19" s="1"/>
  <c r="AC16" i="10"/>
  <c r="AC8" i="19" s="1"/>
  <c r="AC7" i="19" s="1"/>
  <c r="S16" i="10"/>
  <c r="S8" i="19" s="1"/>
  <c r="S7" i="19" s="1"/>
  <c r="Q16" i="10"/>
  <c r="Q8" i="19" s="1"/>
  <c r="Q7" i="19" s="1"/>
  <c r="K16" i="10"/>
  <c r="K8" i="19" s="1"/>
  <c r="K7" i="19" s="1"/>
  <c r="J16" i="10"/>
  <c r="J8" i="19" s="1"/>
  <c r="J7" i="19" s="1"/>
  <c r="O16" i="10"/>
  <c r="O8" i="19" s="1"/>
  <c r="O7" i="19" s="1"/>
  <c r="Y4" i="18"/>
  <c r="X54" i="18"/>
  <c r="X67" i="18"/>
  <c r="X41" i="18"/>
  <c r="Y4" i="24"/>
  <c r="X13" i="24"/>
  <c r="X31" i="24"/>
  <c r="X22" i="24"/>
  <c r="AA16" i="10"/>
  <c r="AA8" i="19" s="1"/>
  <c r="AA7" i="19" s="1"/>
  <c r="T16" i="10"/>
  <c r="T8" i="19" s="1"/>
  <c r="T7" i="19" s="1"/>
  <c r="F16" i="10"/>
  <c r="F8" i="19" s="1"/>
  <c r="F7" i="19" s="1"/>
  <c r="Z16" i="10"/>
  <c r="Z8" i="19" s="1"/>
  <c r="Z7" i="19" s="1"/>
  <c r="AB16" i="10"/>
  <c r="AB8" i="19" s="1"/>
  <c r="X16" i="10"/>
  <c r="X8" i="19" s="1"/>
  <c r="X7" i="19" s="1"/>
  <c r="W16" i="10"/>
  <c r="W8" i="19" s="1"/>
  <c r="W7" i="19" s="1"/>
  <c r="P16" i="10"/>
  <c r="P8" i="19" s="1"/>
  <c r="P7" i="19" s="1"/>
  <c r="AG16" i="10"/>
  <c r="AG8" i="19" s="1"/>
  <c r="E50" i="6"/>
  <c r="E55" i="6" s="1"/>
  <c r="E34" i="6"/>
  <c r="G9" i="6"/>
  <c r="D54" i="6"/>
  <c r="G36" i="6"/>
  <c r="AE16" i="10"/>
  <c r="AE8" i="19" s="1"/>
  <c r="AE7" i="19" s="1"/>
  <c r="U16" i="10"/>
  <c r="U8" i="19" s="1"/>
  <c r="U7" i="19" s="1"/>
  <c r="H16" i="10"/>
  <c r="H8" i="19" s="1"/>
  <c r="H7" i="19" s="1"/>
  <c r="M16" i="10"/>
  <c r="M8" i="19" s="1"/>
  <c r="M7" i="19" s="1"/>
  <c r="J75" i="18"/>
  <c r="J16" i="19" s="1"/>
  <c r="E16" i="10"/>
  <c r="G25" i="7" l="1"/>
  <c r="G20" i="2"/>
  <c r="AG51" i="34"/>
  <c r="AG17" i="19" s="1"/>
  <c r="AH238" i="1"/>
  <c r="AH44" i="36"/>
  <c r="AH59" i="1"/>
  <c r="AH31" i="10"/>
  <c r="AH14" i="10"/>
  <c r="AH91" i="1"/>
  <c r="AH47" i="34"/>
  <c r="AH71" i="18"/>
  <c r="AH89" i="1"/>
  <c r="AH45" i="34"/>
  <c r="AH69" i="18"/>
  <c r="D32" i="6"/>
  <c r="D34" i="6" s="1"/>
  <c r="D48" i="6"/>
  <c r="AH235" i="1"/>
  <c r="AH41" i="36"/>
  <c r="AH60" i="1"/>
  <c r="AH15" i="10"/>
  <c r="AH32" i="10"/>
  <c r="AH237" i="1"/>
  <c r="AH43" i="36"/>
  <c r="E8" i="19"/>
  <c r="AH94" i="1"/>
  <c r="AH50" i="34"/>
  <c r="AH74" i="18"/>
  <c r="AH49" i="10"/>
  <c r="AH88" i="1"/>
  <c r="AH68" i="18"/>
  <c r="AH44" i="34"/>
  <c r="AH239" i="1"/>
  <c r="AH45" i="36"/>
  <c r="AH236" i="1"/>
  <c r="AH42" i="36"/>
  <c r="AH58" i="1"/>
  <c r="AH13" i="10"/>
  <c r="AH30" i="10"/>
  <c r="AH93" i="1"/>
  <c r="AH73" i="18"/>
  <c r="AH49" i="34"/>
  <c r="AH48" i="10"/>
  <c r="AH90" i="1"/>
  <c r="AH70" i="18"/>
  <c r="AH46" i="34"/>
  <c r="J15" i="19"/>
  <c r="AH92" i="1"/>
  <c r="AH72" i="18"/>
  <c r="AH48" i="34"/>
  <c r="AH47" i="10"/>
  <c r="AH240" i="1"/>
  <c r="AH46" i="36"/>
  <c r="C51" i="6"/>
  <c r="AF7" i="19"/>
  <c r="AG47" i="36"/>
  <c r="AG23" i="19" s="1"/>
  <c r="AB7" i="19"/>
  <c r="E21" i="9"/>
  <c r="AG33" i="10"/>
  <c r="AG9" i="19" s="1"/>
  <c r="AG7" i="19" s="1"/>
  <c r="AG50" i="10"/>
  <c r="AG10" i="19" s="1"/>
  <c r="C17" i="2"/>
  <c r="F25" i="7"/>
  <c r="F38" i="6"/>
  <c r="F9" i="6"/>
  <c r="D36" i="6"/>
  <c r="D9" i="6"/>
  <c r="D6" i="19"/>
  <c r="E36" i="6"/>
  <c r="E38" i="6" s="1"/>
  <c r="E39" i="6" s="1"/>
  <c r="E9" i="6"/>
  <c r="F20" i="2"/>
  <c r="Z4" i="24"/>
  <c r="Y22" i="24"/>
  <c r="Y31" i="24"/>
  <c r="Y13" i="24"/>
  <c r="Z4" i="18"/>
  <c r="Y54" i="18"/>
  <c r="Y67" i="18"/>
  <c r="Y41" i="18"/>
  <c r="G38" i="6"/>
  <c r="K75" i="18"/>
  <c r="C20" i="2" l="1"/>
  <c r="G32" i="6"/>
  <c r="G34" i="6" s="1"/>
  <c r="G48" i="6"/>
  <c r="G50" i="6" s="1"/>
  <c r="G55" i="6" s="1"/>
  <c r="K16" i="19"/>
  <c r="K15" i="19" s="1"/>
  <c r="AI89" i="1"/>
  <c r="AI45" i="34"/>
  <c r="AI69" i="18"/>
  <c r="AI236" i="1"/>
  <c r="AI42" i="36"/>
  <c r="AH47" i="36"/>
  <c r="AI58" i="1"/>
  <c r="AI13" i="10"/>
  <c r="AI30" i="10"/>
  <c r="AI239" i="1"/>
  <c r="AI45" i="36"/>
  <c r="AI240" i="1"/>
  <c r="AI46" i="36"/>
  <c r="AH75" i="18"/>
  <c r="AH16" i="19" s="1"/>
  <c r="AI60" i="1"/>
  <c r="AI15" i="10"/>
  <c r="AI32" i="10"/>
  <c r="AI59" i="1"/>
  <c r="AI31" i="10"/>
  <c r="AI14" i="10"/>
  <c r="AI91" i="1"/>
  <c r="AI71" i="18"/>
  <c r="AI47" i="34"/>
  <c r="D38" i="6"/>
  <c r="AI88" i="1"/>
  <c r="AI68" i="18"/>
  <c r="AI44" i="34"/>
  <c r="AH50" i="10"/>
  <c r="AH10" i="19" s="1"/>
  <c r="AI235" i="1"/>
  <c r="AI41" i="36"/>
  <c r="E7" i="19"/>
  <c r="AH51" i="34"/>
  <c r="AH17" i="19" s="1"/>
  <c r="AI93" i="1"/>
  <c r="AI73" i="18"/>
  <c r="AI49" i="34"/>
  <c r="AI48" i="10"/>
  <c r="D50" i="6"/>
  <c r="D55" i="6" s="1"/>
  <c r="D56" i="6" s="1"/>
  <c r="E56" i="6" s="1"/>
  <c r="AI238" i="1"/>
  <c r="AI44" i="36"/>
  <c r="AI90" i="1"/>
  <c r="AI70" i="18"/>
  <c r="AI46" i="34"/>
  <c r="AH33" i="10"/>
  <c r="AH9" i="19" s="1"/>
  <c r="AI237" i="1"/>
  <c r="AI43" i="36"/>
  <c r="F48" i="6"/>
  <c r="C48" i="6" s="1"/>
  <c r="F32" i="6"/>
  <c r="C32" i="6" s="1"/>
  <c r="AI92" i="1"/>
  <c r="AI47" i="10"/>
  <c r="AI50" i="10" s="1"/>
  <c r="AI10" i="19" s="1"/>
  <c r="AI72" i="18"/>
  <c r="AI48" i="34"/>
  <c r="AH16" i="10"/>
  <c r="AI94" i="1"/>
  <c r="AI74" i="18"/>
  <c r="AI50" i="34"/>
  <c r="AI49" i="10"/>
  <c r="C12" i="1"/>
  <c r="C17" i="1" s="1"/>
  <c r="D7" i="9"/>
  <c r="D8" i="9"/>
  <c r="D6" i="9"/>
  <c r="D4" i="9"/>
  <c r="D5" i="9"/>
  <c r="G39" i="6"/>
  <c r="C25" i="7"/>
  <c r="AA4" i="18"/>
  <c r="Z41" i="18"/>
  <c r="Z67" i="18"/>
  <c r="Z54" i="18"/>
  <c r="AA4" i="24"/>
  <c r="Z31" i="24"/>
  <c r="Z22" i="24"/>
  <c r="Z13" i="24"/>
  <c r="L75" i="18"/>
  <c r="L16" i="19" l="1"/>
  <c r="L15" i="19" s="1"/>
  <c r="AH15" i="19"/>
  <c r="AH23" i="19"/>
  <c r="AI16" i="10"/>
  <c r="AI8" i="19" s="1"/>
  <c r="D39" i="6"/>
  <c r="D42" i="6" s="1"/>
  <c r="E42" i="6" s="1"/>
  <c r="AJ90" i="1"/>
  <c r="AJ46" i="34"/>
  <c r="AJ70" i="18"/>
  <c r="AJ91" i="1"/>
  <c r="AJ71" i="18"/>
  <c r="AJ47" i="34"/>
  <c r="AJ239" i="1"/>
  <c r="AJ45" i="36"/>
  <c r="AH8" i="19"/>
  <c r="AI51" i="34"/>
  <c r="AI17" i="19" s="1"/>
  <c r="AJ92" i="1"/>
  <c r="AJ48" i="34"/>
  <c r="AJ72" i="18"/>
  <c r="AJ47" i="10"/>
  <c r="AI75" i="18"/>
  <c r="AI16" i="19" s="1"/>
  <c r="AI33" i="10"/>
  <c r="AI9" i="19" s="1"/>
  <c r="AJ240" i="1"/>
  <c r="AJ46" i="36"/>
  <c r="AJ58" i="1"/>
  <c r="AJ13" i="10"/>
  <c r="AJ30" i="10"/>
  <c r="AI47" i="36"/>
  <c r="AJ88" i="1"/>
  <c r="AJ68" i="18"/>
  <c r="AJ44" i="34"/>
  <c r="AJ236" i="1"/>
  <c r="AJ42" i="36"/>
  <c r="AJ238" i="1"/>
  <c r="AJ44" i="36"/>
  <c r="AJ59" i="1"/>
  <c r="AJ14" i="10"/>
  <c r="AJ31" i="10"/>
  <c r="AJ237" i="1"/>
  <c r="AJ43" i="36"/>
  <c r="AJ60" i="1"/>
  <c r="AJ15" i="10"/>
  <c r="AJ32" i="10"/>
  <c r="AJ235" i="1"/>
  <c r="AJ41" i="36"/>
  <c r="D58" i="6"/>
  <c r="E58" i="6" s="1"/>
  <c r="AJ93" i="1"/>
  <c r="AJ73" i="18"/>
  <c r="AJ49" i="34"/>
  <c r="AJ48" i="10"/>
  <c r="AJ94" i="1"/>
  <c r="AJ74" i="18"/>
  <c r="AJ50" i="34"/>
  <c r="AJ49" i="10"/>
  <c r="AJ89" i="1"/>
  <c r="AJ69" i="18"/>
  <c r="AJ45" i="34"/>
  <c r="E7" i="9"/>
  <c r="E8" i="9"/>
  <c r="E6" i="9"/>
  <c r="E5" i="9"/>
  <c r="E4" i="9"/>
  <c r="F4" i="9" s="1"/>
  <c r="G4" i="9" s="1"/>
  <c r="H4" i="9" s="1"/>
  <c r="I4" i="9" s="1"/>
  <c r="F50" i="6"/>
  <c r="C50" i="6" s="1"/>
  <c r="F34" i="6"/>
  <c r="C34" i="6" s="1"/>
  <c r="AB4" i="24"/>
  <c r="AA31" i="24"/>
  <c r="AA13" i="24"/>
  <c r="AA22" i="24"/>
  <c r="AB4" i="18"/>
  <c r="AA67" i="18"/>
  <c r="AA41" i="18"/>
  <c r="AA54" i="18"/>
  <c r="M75" i="18"/>
  <c r="M16" i="19" l="1"/>
  <c r="M15" i="19" s="1"/>
  <c r="AI23" i="19"/>
  <c r="AI7" i="19"/>
  <c r="AJ16" i="10"/>
  <c r="AJ8" i="19" s="1"/>
  <c r="D40" i="6"/>
  <c r="E40" i="6" s="1"/>
  <c r="AK238" i="1"/>
  <c r="AK44" i="36"/>
  <c r="AK58" i="1"/>
  <c r="AK13" i="10"/>
  <c r="AK30" i="10"/>
  <c r="AK93" i="1"/>
  <c r="AK73" i="18"/>
  <c r="AK49" i="34"/>
  <c r="AK48" i="10"/>
  <c r="AK235" i="1"/>
  <c r="AK41" i="36"/>
  <c r="AK91" i="1"/>
  <c r="AK71" i="18"/>
  <c r="AK47" i="34"/>
  <c r="AK89" i="1"/>
  <c r="AK45" i="34"/>
  <c r="AK69" i="18"/>
  <c r="AK236" i="1"/>
  <c r="AK42" i="36"/>
  <c r="AJ50" i="10"/>
  <c r="AJ10" i="19" s="1"/>
  <c r="AK237" i="1"/>
  <c r="AK43" i="36"/>
  <c r="AK240" i="1"/>
  <c r="AK46" i="36"/>
  <c r="AJ47" i="36"/>
  <c r="AJ51" i="34"/>
  <c r="AJ17" i="19" s="1"/>
  <c r="AK59" i="1"/>
  <c r="AK14" i="10"/>
  <c r="AK31" i="10"/>
  <c r="AK239" i="1"/>
  <c r="AK45" i="36"/>
  <c r="AJ75" i="18"/>
  <c r="AJ16" i="19" s="1"/>
  <c r="AK90" i="1"/>
  <c r="AK46" i="34"/>
  <c r="AK70" i="18"/>
  <c r="AK60" i="1"/>
  <c r="AK32" i="10"/>
  <c r="AK15" i="10"/>
  <c r="AK88" i="1"/>
  <c r="AK68" i="18"/>
  <c r="AK44" i="34"/>
  <c r="AK92" i="1"/>
  <c r="AK72" i="18"/>
  <c r="AK48" i="34"/>
  <c r="AK47" i="10"/>
  <c r="AJ33" i="10"/>
  <c r="AJ9" i="19" s="1"/>
  <c r="AH7" i="19"/>
  <c r="AK94" i="1"/>
  <c r="AK74" i="18"/>
  <c r="AK50" i="34"/>
  <c r="AK49" i="10"/>
  <c r="AI15" i="19"/>
  <c r="M5" i="9"/>
  <c r="F5" i="9"/>
  <c r="G5" i="9" s="1"/>
  <c r="H5" i="9" s="1"/>
  <c r="I5" i="9" s="1"/>
  <c r="M6" i="9"/>
  <c r="F6" i="9"/>
  <c r="G6" i="9" s="1"/>
  <c r="H6" i="9" s="1"/>
  <c r="I6" i="9" s="1"/>
  <c r="M8" i="9"/>
  <c r="F8" i="9"/>
  <c r="G8" i="9" s="1"/>
  <c r="H8" i="9" s="1"/>
  <c r="I8" i="9" s="1"/>
  <c r="M7" i="9"/>
  <c r="F7" i="9"/>
  <c r="G7" i="9" s="1"/>
  <c r="H7" i="9" s="1"/>
  <c r="I7" i="9" s="1"/>
  <c r="F39" i="6"/>
  <c r="F55" i="6"/>
  <c r="AC4" i="18"/>
  <c r="AB67" i="18"/>
  <c r="AB41" i="18"/>
  <c r="AB54" i="18"/>
  <c r="AC4" i="24"/>
  <c r="AB13" i="24"/>
  <c r="AB31" i="24"/>
  <c r="AB22" i="24"/>
  <c r="N75" i="18"/>
  <c r="N16" i="19" l="1"/>
  <c r="N15" i="19" s="1"/>
  <c r="AK51" i="34"/>
  <c r="AK17" i="19" s="1"/>
  <c r="AJ15" i="19"/>
  <c r="AJ23" i="19"/>
  <c r="AJ7" i="19"/>
  <c r="AK75" i="18"/>
  <c r="AL236" i="1"/>
  <c r="AL42" i="36"/>
  <c r="AK16" i="10"/>
  <c r="AL239" i="1"/>
  <c r="AL45" i="36"/>
  <c r="AL94" i="1"/>
  <c r="AL74" i="18"/>
  <c r="AL50" i="34"/>
  <c r="AL49" i="10"/>
  <c r="AK33" i="10"/>
  <c r="AK9" i="19" s="1"/>
  <c r="AL58" i="1"/>
  <c r="AL13" i="10"/>
  <c r="AL30" i="10"/>
  <c r="AL89" i="1"/>
  <c r="AL69" i="18"/>
  <c r="AL45" i="34"/>
  <c r="AK50" i="10"/>
  <c r="AK10" i="19" s="1"/>
  <c r="AL59" i="1"/>
  <c r="AL14" i="10"/>
  <c r="AL31" i="10"/>
  <c r="AL90" i="1"/>
  <c r="AL46" i="34"/>
  <c r="AL70" i="18"/>
  <c r="AL240" i="1"/>
  <c r="AL46" i="36"/>
  <c r="AL88" i="1"/>
  <c r="AL68" i="18"/>
  <c r="AL44" i="34"/>
  <c r="AL93" i="1"/>
  <c r="AL73" i="18"/>
  <c r="AL49" i="34"/>
  <c r="AL48" i="10"/>
  <c r="AL60" i="1"/>
  <c r="AL15" i="10"/>
  <c r="AL32" i="10"/>
  <c r="AL91" i="1"/>
  <c r="AL71" i="18"/>
  <c r="AL47" i="34"/>
  <c r="AL237" i="1"/>
  <c r="AL43" i="36"/>
  <c r="AL92" i="1"/>
  <c r="AL48" i="34"/>
  <c r="AL72" i="18"/>
  <c r="AL47" i="10"/>
  <c r="AK47" i="36"/>
  <c r="AL238" i="1"/>
  <c r="AL44" i="36"/>
  <c r="AL235" i="1"/>
  <c r="AL41" i="36"/>
  <c r="F58" i="6"/>
  <c r="G58" i="6" s="1"/>
  <c r="F42" i="6"/>
  <c r="G42" i="6" s="1"/>
  <c r="I9" i="9"/>
  <c r="AQ24" i="19" s="1"/>
  <c r="AQ25" i="19" s="1"/>
  <c r="H9" i="9"/>
  <c r="F40" i="6"/>
  <c r="F56" i="6"/>
  <c r="AD4" i="24"/>
  <c r="AC22" i="24"/>
  <c r="AC13" i="24"/>
  <c r="AC31" i="24"/>
  <c r="AD4" i="18"/>
  <c r="AC54" i="18"/>
  <c r="AC41" i="18"/>
  <c r="AC67" i="18"/>
  <c r="O75" i="18"/>
  <c r="O16" i="19" l="1"/>
  <c r="O15" i="19" s="1"/>
  <c r="AK16" i="19"/>
  <c r="AK15" i="19" s="1"/>
  <c r="AL51" i="34"/>
  <c r="AL17" i="19" s="1"/>
  <c r="AK23" i="19"/>
  <c r="AL33" i="10"/>
  <c r="AL9" i="19" s="1"/>
  <c r="AN8" i="6"/>
  <c r="C4" i="7" s="1"/>
  <c r="AM92" i="1"/>
  <c r="AM72" i="18"/>
  <c r="AM48" i="34"/>
  <c r="AM47" i="10"/>
  <c r="AM88" i="1"/>
  <c r="AM68" i="18"/>
  <c r="AM44" i="34"/>
  <c r="AM239" i="1"/>
  <c r="AM45" i="36"/>
  <c r="AM59" i="1"/>
  <c r="AM31" i="10"/>
  <c r="AM14" i="10"/>
  <c r="AM91" i="1"/>
  <c r="AM47" i="34"/>
  <c r="AM71" i="18"/>
  <c r="AK8" i="19"/>
  <c r="AL47" i="36"/>
  <c r="AM235" i="1"/>
  <c r="AM41" i="36"/>
  <c r="AM240" i="1"/>
  <c r="AM46" i="36"/>
  <c r="AM89" i="1"/>
  <c r="AM69" i="18"/>
  <c r="AM45" i="34"/>
  <c r="AL75" i="18"/>
  <c r="AM238" i="1"/>
  <c r="AM44" i="36"/>
  <c r="AM93" i="1"/>
  <c r="AM73" i="18"/>
  <c r="AM49" i="34"/>
  <c r="AM48" i="10"/>
  <c r="AM50" i="10" s="1"/>
  <c r="AM10" i="19" s="1"/>
  <c r="AM94" i="1"/>
  <c r="AM50" i="34"/>
  <c r="AM74" i="18"/>
  <c r="AM49" i="10"/>
  <c r="AL16" i="10"/>
  <c r="AL8" i="19" s="1"/>
  <c r="AM236" i="1"/>
  <c r="AM42" i="36"/>
  <c r="AM237" i="1"/>
  <c r="AM43" i="36"/>
  <c r="AL50" i="10"/>
  <c r="AL10" i="19" s="1"/>
  <c r="AM60" i="1"/>
  <c r="AM15" i="10"/>
  <c r="AM32" i="10"/>
  <c r="AM90" i="1"/>
  <c r="AM70" i="18"/>
  <c r="AM46" i="34"/>
  <c r="AM58" i="1"/>
  <c r="AM13" i="10"/>
  <c r="AM30" i="10"/>
  <c r="C24" i="19"/>
  <c r="B29" i="82" s="1"/>
  <c r="AG22" i="6"/>
  <c r="G40" i="6"/>
  <c r="G56" i="6"/>
  <c r="AE4" i="18"/>
  <c r="AD54" i="18"/>
  <c r="AD41" i="18"/>
  <c r="AD67" i="18"/>
  <c r="AE4" i="24"/>
  <c r="AD31" i="24"/>
  <c r="AD22" i="24"/>
  <c r="AD13" i="24"/>
  <c r="P75" i="18"/>
  <c r="O29" i="82" l="1"/>
  <c r="O30" i="82" s="1"/>
  <c r="P29" i="82"/>
  <c r="P30" i="82" s="1"/>
  <c r="Q29" i="82"/>
  <c r="Q30" i="82" s="1"/>
  <c r="H29" i="82"/>
  <c r="H30" i="82" s="1"/>
  <c r="S45" i="82"/>
  <c r="P45" i="82"/>
  <c r="J29" i="82"/>
  <c r="J30" i="82" s="1"/>
  <c r="O45" i="82"/>
  <c r="G29" i="82"/>
  <c r="G30" i="82" s="1"/>
  <c r="T29" i="82"/>
  <c r="T30" i="82" s="1"/>
  <c r="N29" i="82"/>
  <c r="N30" i="82" s="1"/>
  <c r="F29" i="82"/>
  <c r="F30" i="82" s="1"/>
  <c r="S29" i="82"/>
  <c r="S30" i="82" s="1"/>
  <c r="N45" i="82"/>
  <c r="E29" i="82"/>
  <c r="E30" i="82" s="1"/>
  <c r="R29" i="82"/>
  <c r="R30" i="82" s="1"/>
  <c r="L29" i="82"/>
  <c r="L30" i="82" s="1"/>
  <c r="L45" i="82"/>
  <c r="C29" i="82"/>
  <c r="C30" i="82" s="1"/>
  <c r="M29" i="82"/>
  <c r="M30" i="82" s="1"/>
  <c r="T45" i="82"/>
  <c r="R45" i="82"/>
  <c r="K29" i="82"/>
  <c r="K30" i="82" s="1"/>
  <c r="I29" i="82"/>
  <c r="I30" i="82" s="1"/>
  <c r="D29" i="82"/>
  <c r="D30" i="82" s="1"/>
  <c r="Q45" i="82"/>
  <c r="M45" i="82"/>
  <c r="C8" i="6"/>
  <c r="P16" i="19"/>
  <c r="P15" i="19" s="1"/>
  <c r="AL16" i="19"/>
  <c r="AL15" i="19" s="1"/>
  <c r="AL23" i="19"/>
  <c r="AM16" i="10"/>
  <c r="AM8" i="19" s="1"/>
  <c r="AN22" i="6"/>
  <c r="C22" i="6" s="1"/>
  <c r="AN90" i="1"/>
  <c r="AN70" i="18"/>
  <c r="AN46" i="34"/>
  <c r="AN60" i="1"/>
  <c r="AN32" i="10"/>
  <c r="AN15" i="10"/>
  <c r="AM51" i="34"/>
  <c r="AM17" i="19" s="1"/>
  <c r="AN239" i="1"/>
  <c r="AN45" i="36"/>
  <c r="AM75" i="18"/>
  <c r="AM16" i="19" s="1"/>
  <c r="AN59" i="1"/>
  <c r="AN14" i="10"/>
  <c r="AN31" i="10"/>
  <c r="AN88" i="1"/>
  <c r="AN44" i="34"/>
  <c r="AN68" i="18"/>
  <c r="AN89" i="1"/>
  <c r="AN69" i="18"/>
  <c r="AN45" i="34"/>
  <c r="AN94" i="1"/>
  <c r="AN49" i="10"/>
  <c r="AN50" i="34"/>
  <c r="AN74" i="18"/>
  <c r="AM47" i="36"/>
  <c r="AM33" i="10"/>
  <c r="AM9" i="19" s="1"/>
  <c r="AN238" i="1"/>
  <c r="AN44" i="36"/>
  <c r="AK7" i="19"/>
  <c r="AN235" i="1"/>
  <c r="AN41" i="36"/>
  <c r="AN236" i="1"/>
  <c r="AN42" i="36"/>
  <c r="AN58" i="1"/>
  <c r="AN13" i="10"/>
  <c r="AN30" i="10"/>
  <c r="AL7" i="19"/>
  <c r="AN240" i="1"/>
  <c r="AN46" i="36"/>
  <c r="AN93" i="1"/>
  <c r="AN48" i="10"/>
  <c r="AN73" i="18"/>
  <c r="AN49" i="34"/>
  <c r="AN237" i="1"/>
  <c r="AN43" i="36"/>
  <c r="AN91" i="1"/>
  <c r="AN71" i="18"/>
  <c r="AN47" i="34"/>
  <c r="AN92" i="1"/>
  <c r="AN72" i="18"/>
  <c r="AN48" i="34"/>
  <c r="AN47" i="10"/>
  <c r="AF4" i="24"/>
  <c r="AE31" i="24"/>
  <c r="AE13" i="24"/>
  <c r="AE22" i="24"/>
  <c r="AF4" i="18"/>
  <c r="AE67" i="18"/>
  <c r="AE41" i="18"/>
  <c r="AE54" i="18"/>
  <c r="Q75" i="18"/>
  <c r="D4" i="7" l="1"/>
  <c r="B6" i="82"/>
  <c r="Q16" i="19"/>
  <c r="Q15" i="19" s="1"/>
  <c r="AM23" i="19"/>
  <c r="AM7" i="19"/>
  <c r="AN33" i="10"/>
  <c r="AN9" i="19" s="1"/>
  <c r="AO237" i="1"/>
  <c r="AO236" i="1"/>
  <c r="AO94" i="1"/>
  <c r="AN75" i="18"/>
  <c r="AN16" i="19" s="1"/>
  <c r="AO59" i="1"/>
  <c r="AM15" i="19"/>
  <c r="AN50" i="10"/>
  <c r="AN10" i="19" s="1"/>
  <c r="AN51" i="34"/>
  <c r="AN17" i="19" s="1"/>
  <c r="AO60" i="1"/>
  <c r="AO91" i="1"/>
  <c r="AN47" i="36"/>
  <c r="AO93" i="1"/>
  <c r="AO240" i="1"/>
  <c r="AO238" i="1"/>
  <c r="AO88" i="1"/>
  <c r="AO235" i="1"/>
  <c r="AO92" i="1"/>
  <c r="AO58" i="1"/>
  <c r="AO239" i="1"/>
  <c r="AO89" i="1"/>
  <c r="AO90" i="1"/>
  <c r="AN16" i="10"/>
  <c r="AN8" i="19" s="1"/>
  <c r="AG4" i="18"/>
  <c r="AH4" i="18" s="1"/>
  <c r="AF41" i="18"/>
  <c r="AF67" i="18"/>
  <c r="AF54" i="18"/>
  <c r="AG4" i="24"/>
  <c r="AH4" i="24" s="1"/>
  <c r="AF22" i="24"/>
  <c r="AF31" i="24"/>
  <c r="AF13" i="24"/>
  <c r="R75" i="18"/>
  <c r="M15" i="82" l="1"/>
  <c r="H6" i="82"/>
  <c r="H7" i="82" s="1"/>
  <c r="D6" i="82"/>
  <c r="D7" i="82" s="1"/>
  <c r="C6" i="82"/>
  <c r="C7" i="82" s="1"/>
  <c r="F6" i="82"/>
  <c r="F7" i="82" s="1"/>
  <c r="E6" i="82"/>
  <c r="E7" i="82" s="1"/>
  <c r="G6" i="82"/>
  <c r="G7" i="82" s="1"/>
  <c r="O15" i="82"/>
  <c r="N15" i="82"/>
  <c r="R16" i="19"/>
  <c r="R15" i="19" s="1"/>
  <c r="AN23" i="19"/>
  <c r="AI4" i="18"/>
  <c r="AH41" i="18"/>
  <c r="AH67" i="18"/>
  <c r="AH54" i="18"/>
  <c r="AP91" i="1"/>
  <c r="AP238" i="1"/>
  <c r="AP60" i="1"/>
  <c r="AP92" i="1"/>
  <c r="AP236" i="1"/>
  <c r="AN7" i="19"/>
  <c r="AI4" i="24"/>
  <c r="AH31" i="24"/>
  <c r="AH22" i="24"/>
  <c r="AH13" i="24"/>
  <c r="AP90" i="1"/>
  <c r="AP88" i="1"/>
  <c r="AP240" i="1"/>
  <c r="AP94" i="1"/>
  <c r="AP235" i="1"/>
  <c r="AP93" i="1"/>
  <c r="AP237" i="1"/>
  <c r="AP239" i="1"/>
  <c r="AP58" i="1"/>
  <c r="AN15" i="19"/>
  <c r="AP89" i="1"/>
  <c r="AP59" i="1"/>
  <c r="AG22" i="24"/>
  <c r="AG31" i="24"/>
  <c r="AG13" i="24"/>
  <c r="AG54" i="18"/>
  <c r="AG67" i="18"/>
  <c r="AG41" i="18"/>
  <c r="S75" i="18"/>
  <c r="S16" i="19" l="1"/>
  <c r="S15" i="19" s="1"/>
  <c r="AQ60" i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C15" i="10"/>
  <c r="C32" i="10"/>
  <c r="AQ240" i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C46" i="36"/>
  <c r="AQ88" i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AQ89" i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C69" i="18"/>
  <c r="C45" i="34"/>
  <c r="AQ236" i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C42" i="36"/>
  <c r="AQ91" i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C71" i="18"/>
  <c r="C47" i="34"/>
  <c r="AI31" i="24"/>
  <c r="AJ4" i="24"/>
  <c r="AI13" i="24"/>
  <c r="AI22" i="24"/>
  <c r="AQ237" i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C43" i="36"/>
  <c r="AQ93" i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C49" i="34"/>
  <c r="C73" i="18"/>
  <c r="AQ235" i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AQ90" i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C70" i="18"/>
  <c r="C46" i="34"/>
  <c r="AQ58" i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AQ92" i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C47" i="10"/>
  <c r="C72" i="18"/>
  <c r="C48" i="34"/>
  <c r="AQ59" i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C14" i="10"/>
  <c r="C31" i="10"/>
  <c r="AQ238" i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C44" i="36"/>
  <c r="AQ239" i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C45" i="36"/>
  <c r="AQ94" i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C50" i="34"/>
  <c r="C74" i="18"/>
  <c r="C49" i="10"/>
  <c r="AI41" i="18"/>
  <c r="AI67" i="18"/>
  <c r="AI54" i="18"/>
  <c r="AJ4" i="18"/>
  <c r="T75" i="18"/>
  <c r="T16" i="19" l="1"/>
  <c r="T15" i="19" s="1"/>
  <c r="C41" i="36"/>
  <c r="C68" i="18"/>
  <c r="AK4" i="24"/>
  <c r="AJ22" i="24"/>
  <c r="AJ13" i="24"/>
  <c r="AJ31" i="24"/>
  <c r="C44" i="34"/>
  <c r="C48" i="10"/>
  <c r="C13" i="10"/>
  <c r="AJ54" i="18"/>
  <c r="AJ67" i="18"/>
  <c r="AK4" i="18"/>
  <c r="AJ41" i="18"/>
  <c r="C30" i="10"/>
  <c r="U75" i="18"/>
  <c r="U16" i="19" l="1"/>
  <c r="U15" i="19" s="1"/>
  <c r="C17" i="19"/>
  <c r="C51" i="34"/>
  <c r="C10" i="19"/>
  <c r="C50" i="10"/>
  <c r="C9" i="19"/>
  <c r="C33" i="10"/>
  <c r="AK22" i="24"/>
  <c r="AK13" i="24"/>
  <c r="AL4" i="24"/>
  <c r="AK31" i="24"/>
  <c r="AL4" i="18"/>
  <c r="AK54" i="18"/>
  <c r="AK41" i="18"/>
  <c r="AK67" i="18"/>
  <c r="C16" i="10"/>
  <c r="C47" i="36"/>
  <c r="V75" i="18"/>
  <c r="V16" i="19" l="1"/>
  <c r="V15" i="19" s="1"/>
  <c r="AL67" i="18"/>
  <c r="AL54" i="18"/>
  <c r="AM4" i="18"/>
  <c r="AL41" i="18"/>
  <c r="C23" i="19"/>
  <c r="C8" i="19"/>
  <c r="AL22" i="24"/>
  <c r="AM4" i="24"/>
  <c r="AL13" i="24"/>
  <c r="AL31" i="24"/>
  <c r="W75" i="18"/>
  <c r="W16" i="19" l="1"/>
  <c r="W15" i="19" s="1"/>
  <c r="C7" i="19"/>
  <c r="AN4" i="18"/>
  <c r="AM54" i="18"/>
  <c r="AM41" i="18"/>
  <c r="AM67" i="18"/>
  <c r="AM22" i="24"/>
  <c r="AM13" i="24"/>
  <c r="AN4" i="24"/>
  <c r="AM31" i="24"/>
  <c r="X75" i="18"/>
  <c r="X16" i="19" s="1"/>
  <c r="AN31" i="24" l="1"/>
  <c r="AN13" i="24"/>
  <c r="AN22" i="24"/>
  <c r="AN41" i="18"/>
  <c r="AN54" i="18"/>
  <c r="AN67" i="18"/>
  <c r="Y75" i="18"/>
  <c r="Y16" i="19" l="1"/>
  <c r="Y15" i="19" s="1"/>
  <c r="X15" i="19"/>
  <c r="Z75" i="18"/>
  <c r="Z16" i="19" s="1"/>
  <c r="AA75" i="18" l="1"/>
  <c r="AA16" i="19" l="1"/>
  <c r="AA15" i="19" s="1"/>
  <c r="Z15" i="19"/>
  <c r="AB75" i="18"/>
  <c r="AB16" i="19" s="1"/>
  <c r="AC75" i="18" l="1"/>
  <c r="AC16" i="19" l="1"/>
  <c r="AC15" i="19" s="1"/>
  <c r="AB15" i="19"/>
  <c r="AD75" i="18"/>
  <c r="AD16" i="19" l="1"/>
  <c r="AD15" i="19" s="1"/>
  <c r="AE75" i="18"/>
  <c r="AE16" i="19" l="1"/>
  <c r="AE15" i="19" s="1"/>
  <c r="AF75" i="18"/>
  <c r="AF16" i="19" l="1"/>
  <c r="AF15" i="19" s="1"/>
  <c r="AG75" i="18"/>
  <c r="AG16" i="19" s="1"/>
  <c r="C75" i="18" l="1"/>
  <c r="AG15" i="19" l="1"/>
  <c r="C16" i="19"/>
  <c r="C15" i="19" l="1"/>
  <c r="AD18" i="3" l="1"/>
  <c r="AD21" i="3" s="1"/>
  <c r="AD52" i="6" s="1"/>
  <c r="AD54" i="6" s="1"/>
  <c r="AD55" i="6" s="1"/>
  <c r="AB18" i="3"/>
  <c r="AB21" i="3" s="1"/>
  <c r="AB52" i="6" s="1"/>
  <c r="AB54" i="6" s="1"/>
  <c r="AB55" i="6" s="1"/>
  <c r="AF27" i="3"/>
  <c r="W18" i="3"/>
  <c r="W21" i="3" s="1"/>
  <c r="W52" i="6" s="1"/>
  <c r="W54" i="6" s="1"/>
  <c r="W55" i="6" s="1"/>
  <c r="Z18" i="3"/>
  <c r="Z21" i="3" s="1"/>
  <c r="Z52" i="6" s="1"/>
  <c r="Z54" i="6" s="1"/>
  <c r="Z55" i="6" s="1"/>
  <c r="AM18" i="3"/>
  <c r="AM21" i="3" s="1"/>
  <c r="AM52" i="6" s="1"/>
  <c r="AM54" i="6" s="1"/>
  <c r="AM55" i="6" s="1"/>
  <c r="P27" i="3"/>
  <c r="R24" i="24"/>
  <c r="R33" i="24" s="1"/>
  <c r="F25" i="24"/>
  <c r="F34" i="24" s="1"/>
  <c r="AB25" i="24"/>
  <c r="AB34" i="24" s="1"/>
  <c r="H17" i="24"/>
  <c r="W24" i="24"/>
  <c r="W33" i="24" s="1"/>
  <c r="Q27" i="3"/>
  <c r="Q18" i="3"/>
  <c r="Q21" i="3" s="1"/>
  <c r="Q52" i="6" s="1"/>
  <c r="Q54" i="6" s="1"/>
  <c r="Q55" i="6" s="1"/>
  <c r="R18" i="3"/>
  <c r="R21" i="3" s="1"/>
  <c r="R52" i="6" s="1"/>
  <c r="R54" i="6" s="1"/>
  <c r="R55" i="6" s="1"/>
  <c r="R27" i="3"/>
  <c r="H24" i="24"/>
  <c r="H33" i="24" s="1"/>
  <c r="H25" i="24"/>
  <c r="H34" i="24" s="1"/>
  <c r="O18" i="3"/>
  <c r="O21" i="3" s="1"/>
  <c r="O52" i="6" s="1"/>
  <c r="O54" i="6" s="1"/>
  <c r="O55" i="6" s="1"/>
  <c r="O27" i="3"/>
  <c r="AA18" i="3"/>
  <c r="AA21" i="3" s="1"/>
  <c r="AA52" i="6" s="1"/>
  <c r="AA54" i="6" s="1"/>
  <c r="AA55" i="6" s="1"/>
  <c r="AA27" i="3"/>
  <c r="AM27" i="3"/>
  <c r="AK25" i="24"/>
  <c r="AK34" i="24" s="1"/>
  <c r="AK24" i="24"/>
  <c r="AK33" i="24" s="1"/>
  <c r="W25" i="24"/>
  <c r="W34" i="24" s="1"/>
  <c r="J24" i="24"/>
  <c r="J33" i="24" s="1"/>
  <c r="J25" i="24"/>
  <c r="J34" i="24" s="1"/>
  <c r="K25" i="24"/>
  <c r="K34" i="24" s="1"/>
  <c r="AG18" i="3"/>
  <c r="AG21" i="3" s="1"/>
  <c r="AG52" i="6" s="1"/>
  <c r="AG54" i="6" s="1"/>
  <c r="AG55" i="6" s="1"/>
  <c r="AG27" i="3"/>
  <c r="X18" i="3"/>
  <c r="X21" i="3" s="1"/>
  <c r="X52" i="6" s="1"/>
  <c r="X54" i="6" s="1"/>
  <c r="X55" i="6" s="1"/>
  <c r="X27" i="3"/>
  <c r="U18" i="3"/>
  <c r="U21" i="3" s="1"/>
  <c r="U52" i="6" s="1"/>
  <c r="U54" i="6" s="1"/>
  <c r="U55" i="6" s="1"/>
  <c r="U27" i="3"/>
  <c r="AD27" i="3"/>
  <c r="G24" i="24"/>
  <c r="G33" i="24" s="1"/>
  <c r="G25" i="24"/>
  <c r="G34" i="24" s="1"/>
  <c r="E25" i="24"/>
  <c r="E34" i="24" s="1"/>
  <c r="E24" i="24"/>
  <c r="E33" i="24" s="1"/>
  <c r="N25" i="24"/>
  <c r="N34" i="24" s="1"/>
  <c r="N24" i="24"/>
  <c r="N33" i="24" s="1"/>
  <c r="P24" i="24"/>
  <c r="P33" i="24" s="1"/>
  <c r="AA24" i="24"/>
  <c r="AA33" i="24" s="1"/>
  <c r="AA25" i="24"/>
  <c r="AA34" i="24" s="1"/>
  <c r="R25" i="24"/>
  <c r="R34" i="24" s="1"/>
  <c r="AF18" i="3" l="1"/>
  <c r="AF21" i="3" s="1"/>
  <c r="AF52" i="6" s="1"/>
  <c r="AF54" i="6" s="1"/>
  <c r="AF55" i="6" s="1"/>
  <c r="AB27" i="3"/>
  <c r="Z27" i="3"/>
  <c r="Z29" i="3" s="1"/>
  <c r="Z32" i="3" s="1"/>
  <c r="W27" i="3"/>
  <c r="W38" i="3" s="1"/>
  <c r="W40" i="3" s="1"/>
  <c r="W43" i="3" s="1"/>
  <c r="W6" i="19" s="1"/>
  <c r="H23" i="24"/>
  <c r="H26" i="24" s="1"/>
  <c r="AC24" i="24"/>
  <c r="AC33" i="24" s="1"/>
  <c r="F24" i="24"/>
  <c r="F33" i="24" s="1"/>
  <c r="P18" i="3"/>
  <c r="P21" i="3" s="1"/>
  <c r="P52" i="6" s="1"/>
  <c r="P54" i="6" s="1"/>
  <c r="P55" i="6" s="1"/>
  <c r="AC25" i="24"/>
  <c r="AC34" i="24" s="1"/>
  <c r="F23" i="24"/>
  <c r="AA23" i="24"/>
  <c r="AA32" i="24" s="1"/>
  <c r="AA35" i="24" s="1"/>
  <c r="AA22" i="19" s="1"/>
  <c r="AA21" i="19" s="1"/>
  <c r="K23" i="24"/>
  <c r="K32" i="24" s="1"/>
  <c r="T18" i="3"/>
  <c r="T21" i="3" s="1"/>
  <c r="T52" i="6" s="1"/>
  <c r="T54" i="6" s="1"/>
  <c r="T55" i="6" s="1"/>
  <c r="T27" i="3"/>
  <c r="N23" i="24"/>
  <c r="N32" i="24" s="1"/>
  <c r="N35" i="24" s="1"/>
  <c r="N22" i="19" s="1"/>
  <c r="N21" i="19" s="1"/>
  <c r="I18" i="3"/>
  <c r="I21" i="3" s="1"/>
  <c r="I52" i="6" s="1"/>
  <c r="I54" i="6" s="1"/>
  <c r="I55" i="6" s="1"/>
  <c r="I27" i="3"/>
  <c r="H18" i="3"/>
  <c r="H21" i="3" s="1"/>
  <c r="H52" i="6" s="1"/>
  <c r="H27" i="3"/>
  <c r="E23" i="24"/>
  <c r="E32" i="24" s="1"/>
  <c r="E35" i="24" s="1"/>
  <c r="E22" i="19" s="1"/>
  <c r="E21" i="19" s="1"/>
  <c r="E25" i="19" s="1"/>
  <c r="K18" i="3"/>
  <c r="K21" i="3" s="1"/>
  <c r="K52" i="6" s="1"/>
  <c r="K54" i="6" s="1"/>
  <c r="K55" i="6" s="1"/>
  <c r="K27" i="3"/>
  <c r="P25" i="24"/>
  <c r="P34" i="24" s="1"/>
  <c r="P23" i="24"/>
  <c r="P32" i="24" s="1"/>
  <c r="AB23" i="24"/>
  <c r="AB24" i="24"/>
  <c r="AB33" i="24" s="1"/>
  <c r="AC18" i="3"/>
  <c r="AC21" i="3" s="1"/>
  <c r="AC52" i="6" s="1"/>
  <c r="AC54" i="6" s="1"/>
  <c r="AC55" i="6" s="1"/>
  <c r="AC27" i="3"/>
  <c r="AK18" i="3"/>
  <c r="AK21" i="3" s="1"/>
  <c r="AK52" i="6" s="1"/>
  <c r="AK54" i="6" s="1"/>
  <c r="AK55" i="6" s="1"/>
  <c r="AK27" i="3"/>
  <c r="AF25" i="24"/>
  <c r="AF34" i="24" s="1"/>
  <c r="AF24" i="24"/>
  <c r="AF33" i="24" s="1"/>
  <c r="L24" i="24"/>
  <c r="L33" i="24" s="1"/>
  <c r="L25" i="24"/>
  <c r="L34" i="24" s="1"/>
  <c r="N18" i="3"/>
  <c r="N21" i="3" s="1"/>
  <c r="N52" i="6" s="1"/>
  <c r="N54" i="6" s="1"/>
  <c r="N55" i="6" s="1"/>
  <c r="N27" i="3"/>
  <c r="AG25" i="24"/>
  <c r="AG34" i="24" s="1"/>
  <c r="AG24" i="24"/>
  <c r="AG33" i="24" s="1"/>
  <c r="AK17" i="24"/>
  <c r="AK23" i="24"/>
  <c r="AA38" i="3"/>
  <c r="AA40" i="3" s="1"/>
  <c r="AA43" i="3" s="1"/>
  <c r="AA6" i="19" s="1"/>
  <c r="AA29" i="3"/>
  <c r="AA32" i="3" s="1"/>
  <c r="Y25" i="24"/>
  <c r="Y34" i="24" s="1"/>
  <c r="Y24" i="24"/>
  <c r="Y33" i="24" s="1"/>
  <c r="J18" i="3"/>
  <c r="J27" i="3"/>
  <c r="AN18" i="3"/>
  <c r="AN21" i="3" s="1"/>
  <c r="AN52" i="6" s="1"/>
  <c r="AN54" i="6" s="1"/>
  <c r="AN55" i="6" s="1"/>
  <c r="AN27" i="3"/>
  <c r="AH18" i="3"/>
  <c r="AH21" i="3" s="1"/>
  <c r="AH52" i="6" s="1"/>
  <c r="AH54" i="6" s="1"/>
  <c r="AH55" i="6" s="1"/>
  <c r="AH27" i="3"/>
  <c r="AE25" i="24"/>
  <c r="AE34" i="24" s="1"/>
  <c r="AE24" i="24"/>
  <c r="AE33" i="24" s="1"/>
  <c r="T25" i="24"/>
  <c r="T34" i="24" s="1"/>
  <c r="T24" i="24"/>
  <c r="T33" i="24" s="1"/>
  <c r="G17" i="24"/>
  <c r="G23" i="24"/>
  <c r="P38" i="3"/>
  <c r="P40" i="3" s="1"/>
  <c r="P43" i="3" s="1"/>
  <c r="P6" i="19" s="1"/>
  <c r="P29" i="3"/>
  <c r="P32" i="3" s="1"/>
  <c r="AB29" i="3"/>
  <c r="AB32" i="3" s="1"/>
  <c r="AB38" i="3"/>
  <c r="AB40" i="3" s="1"/>
  <c r="AB43" i="3" s="1"/>
  <c r="AB6" i="19" s="1"/>
  <c r="J17" i="24"/>
  <c r="J23" i="24"/>
  <c r="AI18" i="3"/>
  <c r="AI21" i="3" s="1"/>
  <c r="AI52" i="6" s="1"/>
  <c r="AI54" i="6" s="1"/>
  <c r="AI55" i="6" s="1"/>
  <c r="AI27" i="3"/>
  <c r="AF38" i="3"/>
  <c r="AF40" i="3" s="1"/>
  <c r="AF43" i="3" s="1"/>
  <c r="AF6" i="19" s="1"/>
  <c r="AF29" i="3"/>
  <c r="AF32" i="3" s="1"/>
  <c r="AG38" i="3"/>
  <c r="AG40" i="3" s="1"/>
  <c r="AG43" i="3" s="1"/>
  <c r="AG6" i="19" s="1"/>
  <c r="AG29" i="3"/>
  <c r="AG32" i="3" s="1"/>
  <c r="K24" i="24"/>
  <c r="V18" i="3"/>
  <c r="V21" i="3" s="1"/>
  <c r="V52" i="6" s="1"/>
  <c r="V54" i="6" s="1"/>
  <c r="V55" i="6" s="1"/>
  <c r="V27" i="3"/>
  <c r="M18" i="3"/>
  <c r="M21" i="3" s="1"/>
  <c r="M52" i="6" s="1"/>
  <c r="M54" i="6" s="1"/>
  <c r="M55" i="6" s="1"/>
  <c r="M27" i="3"/>
  <c r="Q24" i="24"/>
  <c r="Q33" i="24" s="1"/>
  <c r="Q25" i="24"/>
  <c r="Q34" i="24" s="1"/>
  <c r="AD25" i="24"/>
  <c r="AD34" i="24" s="1"/>
  <c r="AD24" i="24"/>
  <c r="AD33" i="24" s="1"/>
  <c r="AJ18" i="3"/>
  <c r="AJ21" i="3" s="1"/>
  <c r="AJ52" i="6" s="1"/>
  <c r="AJ54" i="6" s="1"/>
  <c r="AJ55" i="6" s="1"/>
  <c r="AJ27" i="3"/>
  <c r="S18" i="3"/>
  <c r="S21" i="3" s="1"/>
  <c r="S52" i="6" s="1"/>
  <c r="S54" i="6" s="1"/>
  <c r="S55" i="6" s="1"/>
  <c r="S27" i="3"/>
  <c r="AH25" i="24"/>
  <c r="AH34" i="24" s="1"/>
  <c r="AH24" i="24"/>
  <c r="AH33" i="24" s="1"/>
  <c r="Q38" i="3"/>
  <c r="Q40" i="3" s="1"/>
  <c r="Q43" i="3" s="1"/>
  <c r="Q6" i="19" s="1"/>
  <c r="Q29" i="3"/>
  <c r="Q32" i="3" s="1"/>
  <c r="AN24" i="24"/>
  <c r="AN33" i="24" s="1"/>
  <c r="AN25" i="24"/>
  <c r="AN34" i="24" s="1"/>
  <c r="U25" i="24"/>
  <c r="U34" i="24" s="1"/>
  <c r="U24" i="24"/>
  <c r="U33" i="24" s="1"/>
  <c r="R17" i="24"/>
  <c r="R23" i="24"/>
  <c r="X29" i="3"/>
  <c r="X32" i="3" s="1"/>
  <c r="X38" i="3"/>
  <c r="X40" i="3" s="1"/>
  <c r="X43" i="3" s="1"/>
  <c r="X6" i="19" s="1"/>
  <c r="O38" i="3"/>
  <c r="O40" i="3" s="1"/>
  <c r="O43" i="3" s="1"/>
  <c r="O6" i="19" s="1"/>
  <c r="O29" i="3"/>
  <c r="O32" i="3" s="1"/>
  <c r="AE18" i="3"/>
  <c r="AE21" i="3" s="1"/>
  <c r="AE52" i="6" s="1"/>
  <c r="AE54" i="6" s="1"/>
  <c r="AE55" i="6" s="1"/>
  <c r="AE27" i="3"/>
  <c r="AI24" i="24"/>
  <c r="AI33" i="24" s="1"/>
  <c r="AI25" i="24"/>
  <c r="AI34" i="24" s="1"/>
  <c r="M24" i="24"/>
  <c r="M33" i="24" s="1"/>
  <c r="M25" i="24"/>
  <c r="M34" i="24" s="1"/>
  <c r="C16" i="3"/>
  <c r="AC17" i="24"/>
  <c r="AC23" i="24"/>
  <c r="AM24" i="24"/>
  <c r="AM33" i="24" s="1"/>
  <c r="AM25" i="24"/>
  <c r="AM34" i="24" s="1"/>
  <c r="AJ25" i="24"/>
  <c r="AJ34" i="24" s="1"/>
  <c r="AJ24" i="24"/>
  <c r="AJ33" i="24" s="1"/>
  <c r="Y18" i="3"/>
  <c r="Y21" i="3" s="1"/>
  <c r="Y52" i="6" s="1"/>
  <c r="Y54" i="6" s="1"/>
  <c r="Y55" i="6" s="1"/>
  <c r="Y27" i="3"/>
  <c r="AL24" i="24"/>
  <c r="AL33" i="24" s="1"/>
  <c r="AL25" i="24"/>
  <c r="AL34" i="24" s="1"/>
  <c r="AL18" i="3"/>
  <c r="AL21" i="3" s="1"/>
  <c r="AL52" i="6" s="1"/>
  <c r="AL54" i="6" s="1"/>
  <c r="AL55" i="6" s="1"/>
  <c r="AL27" i="3"/>
  <c r="X25" i="24"/>
  <c r="X34" i="24" s="1"/>
  <c r="X24" i="24"/>
  <c r="X33" i="24" s="1"/>
  <c r="AD38" i="3"/>
  <c r="AD40" i="3" s="1"/>
  <c r="AD43" i="3" s="1"/>
  <c r="AD6" i="19" s="1"/>
  <c r="AD29" i="3"/>
  <c r="AD32" i="3" s="1"/>
  <c r="W17" i="24"/>
  <c r="W23" i="24"/>
  <c r="I25" i="24"/>
  <c r="I34" i="24" s="1"/>
  <c r="I24" i="24"/>
  <c r="I33" i="24" s="1"/>
  <c r="L18" i="3"/>
  <c r="L21" i="3" s="1"/>
  <c r="L52" i="6" s="1"/>
  <c r="L54" i="6" s="1"/>
  <c r="L55" i="6" s="1"/>
  <c r="L27" i="3"/>
  <c r="S25" i="24"/>
  <c r="S34" i="24" s="1"/>
  <c r="S24" i="24"/>
  <c r="S33" i="24" s="1"/>
  <c r="Z24" i="24"/>
  <c r="Z33" i="24" s="1"/>
  <c r="Z25" i="24"/>
  <c r="Z34" i="24" s="1"/>
  <c r="V24" i="24"/>
  <c r="V33" i="24" s="1"/>
  <c r="V25" i="24"/>
  <c r="V34" i="24" s="1"/>
  <c r="O24" i="24"/>
  <c r="O33" i="24" s="1"/>
  <c r="O25" i="24"/>
  <c r="O34" i="24" s="1"/>
  <c r="U38" i="3"/>
  <c r="U40" i="3" s="1"/>
  <c r="U43" i="3" s="1"/>
  <c r="U6" i="19" s="1"/>
  <c r="U29" i="3"/>
  <c r="U32" i="3" s="1"/>
  <c r="E17" i="24"/>
  <c r="AM29" i="3"/>
  <c r="AM32" i="3" s="1"/>
  <c r="AM38" i="3"/>
  <c r="AM40" i="3" s="1"/>
  <c r="AM43" i="3" s="1"/>
  <c r="AM6" i="19" s="1"/>
  <c r="Z38" i="3"/>
  <c r="Z40" i="3" s="1"/>
  <c r="Z43" i="3" s="1"/>
  <c r="Z6" i="19" s="1"/>
  <c r="R38" i="3"/>
  <c r="R40" i="3" s="1"/>
  <c r="R43" i="3" s="1"/>
  <c r="R6" i="19" s="1"/>
  <c r="R29" i="3"/>
  <c r="R32" i="3" s="1"/>
  <c r="P35" i="24" l="1"/>
  <c r="P22" i="19" s="1"/>
  <c r="P21" i="19" s="1"/>
  <c r="E26" i="24"/>
  <c r="H32" i="24"/>
  <c r="H35" i="24" s="1"/>
  <c r="H22" i="19" s="1"/>
  <c r="H21" i="19" s="1"/>
  <c r="K17" i="24"/>
  <c r="AA17" i="24"/>
  <c r="F17" i="24"/>
  <c r="AA26" i="24"/>
  <c r="P17" i="24"/>
  <c r="W29" i="3"/>
  <c r="W32" i="3" s="1"/>
  <c r="W6" i="6" s="1"/>
  <c r="P26" i="24"/>
  <c r="AB26" i="24"/>
  <c r="AB17" i="24"/>
  <c r="AB32" i="24"/>
  <c r="AB35" i="24" s="1"/>
  <c r="AB22" i="19" s="1"/>
  <c r="AB21" i="19" s="1"/>
  <c r="AB25" i="19" s="1"/>
  <c r="K38" i="3"/>
  <c r="K40" i="3" s="1"/>
  <c r="K43" i="3" s="1"/>
  <c r="K6" i="19" s="1"/>
  <c r="K29" i="3"/>
  <c r="K32" i="3" s="1"/>
  <c r="AC29" i="3"/>
  <c r="AC32" i="3" s="1"/>
  <c r="AC38" i="3"/>
  <c r="AC40" i="3" s="1"/>
  <c r="AC43" i="3" s="1"/>
  <c r="AC6" i="19" s="1"/>
  <c r="P25" i="19"/>
  <c r="T38" i="3"/>
  <c r="T40" i="3" s="1"/>
  <c r="T43" i="3" s="1"/>
  <c r="T6" i="19" s="1"/>
  <c r="T29" i="3"/>
  <c r="T32" i="3" s="1"/>
  <c r="H38" i="3"/>
  <c r="H40" i="3" s="1"/>
  <c r="H43" i="3" s="1"/>
  <c r="H6" i="19" s="1"/>
  <c r="H29" i="3"/>
  <c r="H32" i="3" s="1"/>
  <c r="H6" i="6" s="1"/>
  <c r="N26" i="24"/>
  <c r="N17" i="24"/>
  <c r="I29" i="3"/>
  <c r="I32" i="3" s="1"/>
  <c r="I38" i="3"/>
  <c r="I40" i="3" s="1"/>
  <c r="I43" i="3" s="1"/>
  <c r="I6" i="19" s="1"/>
  <c r="J26" i="24"/>
  <c r="J32" i="24"/>
  <c r="J35" i="24" s="1"/>
  <c r="J22" i="19" s="1"/>
  <c r="J21" i="19" s="1"/>
  <c r="G26" i="24"/>
  <c r="G32" i="24"/>
  <c r="G35" i="24" s="1"/>
  <c r="G22" i="19" s="1"/>
  <c r="G21" i="19" s="1"/>
  <c r="G25" i="19" s="1"/>
  <c r="Z19" i="6"/>
  <c r="Z23" i="6" s="1"/>
  <c r="Z6" i="6"/>
  <c r="O23" i="24"/>
  <c r="O17" i="24"/>
  <c r="Z17" i="24"/>
  <c r="Z23" i="24"/>
  <c r="L29" i="3"/>
  <c r="L32" i="3" s="1"/>
  <c r="L38" i="3"/>
  <c r="L40" i="3" s="1"/>
  <c r="L43" i="3" s="1"/>
  <c r="L6" i="19" s="1"/>
  <c r="AD19" i="6"/>
  <c r="AD23" i="6" s="1"/>
  <c r="AD6" i="6"/>
  <c r="AL23" i="24"/>
  <c r="AL17" i="24"/>
  <c r="AJ38" i="3"/>
  <c r="AJ40" i="3" s="1"/>
  <c r="AJ43" i="3" s="1"/>
  <c r="AJ6" i="19" s="1"/>
  <c r="AJ29" i="3"/>
  <c r="AJ32" i="3" s="1"/>
  <c r="K33" i="24"/>
  <c r="K35" i="24" s="1"/>
  <c r="K22" i="19" s="1"/>
  <c r="K21" i="19" s="1"/>
  <c r="K26" i="24"/>
  <c r="AI38" i="3"/>
  <c r="AI40" i="3" s="1"/>
  <c r="AI43" i="3" s="1"/>
  <c r="AI6" i="19" s="1"/>
  <c r="AI29" i="3"/>
  <c r="AI32" i="3" s="1"/>
  <c r="AA19" i="6"/>
  <c r="AA23" i="6" s="1"/>
  <c r="AA6" i="6"/>
  <c r="U19" i="6"/>
  <c r="U23" i="6" s="1"/>
  <c r="U6" i="6"/>
  <c r="Q17" i="24"/>
  <c r="Q23" i="24"/>
  <c r="T17" i="24"/>
  <c r="T23" i="24"/>
  <c r="AH38" i="3"/>
  <c r="AH40" i="3" s="1"/>
  <c r="AH43" i="3" s="1"/>
  <c r="AH6" i="19" s="1"/>
  <c r="AH29" i="3"/>
  <c r="AH32" i="3" s="1"/>
  <c r="Y17" i="24"/>
  <c r="Y23" i="24"/>
  <c r="AA25" i="19"/>
  <c r="AG17" i="24"/>
  <c r="AG23" i="24"/>
  <c r="AM17" i="24"/>
  <c r="AM23" i="24"/>
  <c r="O6" i="6"/>
  <c r="O19" i="6"/>
  <c r="O23" i="6" s="1"/>
  <c r="X6" i="6"/>
  <c r="X19" i="6"/>
  <c r="X23" i="6" s="1"/>
  <c r="D25" i="24"/>
  <c r="C16" i="24"/>
  <c r="AH17" i="24"/>
  <c r="AH23" i="24"/>
  <c r="AK32" i="24"/>
  <c r="AK35" i="24" s="1"/>
  <c r="AK22" i="19" s="1"/>
  <c r="AK21" i="19" s="1"/>
  <c r="AK26" i="24"/>
  <c r="N38" i="3"/>
  <c r="N40" i="3" s="1"/>
  <c r="N43" i="3" s="1"/>
  <c r="N6" i="19" s="1"/>
  <c r="N25" i="19" s="1"/>
  <c r="N29" i="3"/>
  <c r="N32" i="3" s="1"/>
  <c r="AF23" i="24"/>
  <c r="AF17" i="24"/>
  <c r="AI17" i="24"/>
  <c r="AI23" i="24"/>
  <c r="R32" i="24"/>
  <c r="R35" i="24" s="1"/>
  <c r="R22" i="19" s="1"/>
  <c r="R21" i="19" s="1"/>
  <c r="R25" i="19" s="1"/>
  <c r="R26" i="24"/>
  <c r="C15" i="24"/>
  <c r="D24" i="24"/>
  <c r="AD17" i="24"/>
  <c r="AD23" i="24"/>
  <c r="M38" i="3"/>
  <c r="M40" i="3" s="1"/>
  <c r="M43" i="3" s="1"/>
  <c r="M6" i="19" s="1"/>
  <c r="M29" i="3"/>
  <c r="M32" i="3" s="1"/>
  <c r="AN29" i="3"/>
  <c r="AN32" i="3" s="1"/>
  <c r="AN38" i="3"/>
  <c r="AN40" i="3" s="1"/>
  <c r="AN43" i="3" s="1"/>
  <c r="AN6" i="19" s="1"/>
  <c r="H54" i="6"/>
  <c r="AC32" i="24"/>
  <c r="AC35" i="24" s="1"/>
  <c r="AC22" i="19" s="1"/>
  <c r="AC21" i="19" s="1"/>
  <c r="AC26" i="24"/>
  <c r="M23" i="24"/>
  <c r="M17" i="24"/>
  <c r="AM19" i="6"/>
  <c r="AM23" i="6" s="1"/>
  <c r="AM6" i="6"/>
  <c r="I17" i="24"/>
  <c r="I23" i="24"/>
  <c r="X17" i="24"/>
  <c r="X23" i="24"/>
  <c r="V23" i="24"/>
  <c r="V17" i="24"/>
  <c r="Y38" i="3"/>
  <c r="Y40" i="3" s="1"/>
  <c r="Y43" i="3" s="1"/>
  <c r="Y6" i="19" s="1"/>
  <c r="Y29" i="3"/>
  <c r="Y32" i="3" s="1"/>
  <c r="D17" i="24"/>
  <c r="C14" i="24"/>
  <c r="D23" i="24"/>
  <c r="Q19" i="6"/>
  <c r="Q23" i="6" s="1"/>
  <c r="Q6" i="6"/>
  <c r="AG19" i="6"/>
  <c r="AG23" i="6" s="1"/>
  <c r="AG6" i="6"/>
  <c r="AB19" i="6"/>
  <c r="AB23" i="6" s="1"/>
  <c r="AB6" i="6"/>
  <c r="AE38" i="3"/>
  <c r="AE40" i="3" s="1"/>
  <c r="AE43" i="3" s="1"/>
  <c r="AE6" i="19" s="1"/>
  <c r="AE29" i="3"/>
  <c r="AE32" i="3" s="1"/>
  <c r="AN23" i="24"/>
  <c r="AN17" i="24"/>
  <c r="R19" i="6"/>
  <c r="R23" i="6" s="1"/>
  <c r="R6" i="6"/>
  <c r="S17" i="24"/>
  <c r="S23" i="24"/>
  <c r="V29" i="3"/>
  <c r="V32" i="3" s="1"/>
  <c r="V38" i="3"/>
  <c r="V40" i="3" s="1"/>
  <c r="V43" i="3" s="1"/>
  <c r="V6" i="19" s="1"/>
  <c r="F32" i="24"/>
  <c r="F35" i="24" s="1"/>
  <c r="F22" i="19" s="1"/>
  <c r="F21" i="19" s="1"/>
  <c r="F25" i="19" s="1"/>
  <c r="F26" i="24"/>
  <c r="P19" i="6"/>
  <c r="P23" i="6" s="1"/>
  <c r="P6" i="6"/>
  <c r="AE17" i="24"/>
  <c r="AE23" i="24"/>
  <c r="J38" i="3"/>
  <c r="J29" i="3"/>
  <c r="C27" i="3"/>
  <c r="L23" i="24"/>
  <c r="L17" i="24"/>
  <c r="AK38" i="3"/>
  <c r="AK40" i="3" s="1"/>
  <c r="AK43" i="3" s="1"/>
  <c r="AK6" i="19" s="1"/>
  <c r="AK29" i="3"/>
  <c r="AK32" i="3" s="1"/>
  <c r="W32" i="24"/>
  <c r="W35" i="24" s="1"/>
  <c r="W22" i="19" s="1"/>
  <c r="W21" i="19" s="1"/>
  <c r="W25" i="19" s="1"/>
  <c r="W26" i="24"/>
  <c r="AL38" i="3"/>
  <c r="AL40" i="3" s="1"/>
  <c r="AL43" i="3" s="1"/>
  <c r="AL6" i="19" s="1"/>
  <c r="AL29" i="3"/>
  <c r="AL32" i="3" s="1"/>
  <c r="AJ17" i="24"/>
  <c r="AJ23" i="24"/>
  <c r="U23" i="24"/>
  <c r="U17" i="24"/>
  <c r="S38" i="3"/>
  <c r="S40" i="3" s="1"/>
  <c r="S43" i="3" s="1"/>
  <c r="S6" i="19" s="1"/>
  <c r="S29" i="3"/>
  <c r="S32" i="3" s="1"/>
  <c r="AF6" i="6"/>
  <c r="AF19" i="6"/>
  <c r="AF23" i="6" s="1"/>
  <c r="J21" i="3"/>
  <c r="C18" i="3"/>
  <c r="AK25" i="19" l="1"/>
  <c r="W19" i="6"/>
  <c r="W23" i="6" s="1"/>
  <c r="AC25" i="19"/>
  <c r="H19" i="6"/>
  <c r="K25" i="19"/>
  <c r="T19" i="6"/>
  <c r="T23" i="6" s="1"/>
  <c r="T6" i="6"/>
  <c r="I6" i="6"/>
  <c r="I19" i="6"/>
  <c r="AC19" i="6"/>
  <c r="AC23" i="6" s="1"/>
  <c r="AC6" i="6"/>
  <c r="K6" i="6"/>
  <c r="K19" i="6"/>
  <c r="K23" i="6" s="1"/>
  <c r="T32" i="24"/>
  <c r="T35" i="24" s="1"/>
  <c r="T22" i="19" s="1"/>
  <c r="T21" i="19" s="1"/>
  <c r="T25" i="19" s="1"/>
  <c r="T26" i="24"/>
  <c r="AD9" i="6"/>
  <c r="AD36" i="6"/>
  <c r="AD38" i="6" s="1"/>
  <c r="AD39" i="6" s="1"/>
  <c r="Z36" i="6"/>
  <c r="Z38" i="6" s="1"/>
  <c r="Z39" i="6" s="1"/>
  <c r="Z9" i="6"/>
  <c r="AN19" i="6"/>
  <c r="AN23" i="6" s="1"/>
  <c r="AN6" i="6"/>
  <c r="H9" i="6"/>
  <c r="H36" i="6"/>
  <c r="O32" i="24"/>
  <c r="O35" i="24" s="1"/>
  <c r="O22" i="19" s="1"/>
  <c r="O21" i="19" s="1"/>
  <c r="O25" i="19" s="1"/>
  <c r="O26" i="24"/>
  <c r="AJ26" i="24"/>
  <c r="AJ32" i="24"/>
  <c r="AJ35" i="24" s="1"/>
  <c r="AJ22" i="19" s="1"/>
  <c r="AJ21" i="19" s="1"/>
  <c r="AJ25" i="19" s="1"/>
  <c r="V26" i="24"/>
  <c r="V32" i="24"/>
  <c r="V35" i="24" s="1"/>
  <c r="V22" i="19" s="1"/>
  <c r="V21" i="19" s="1"/>
  <c r="V25" i="19" s="1"/>
  <c r="AN26" i="24"/>
  <c r="AN32" i="24"/>
  <c r="AN35" i="24" s="1"/>
  <c r="AN22" i="19" s="1"/>
  <c r="AN21" i="19" s="1"/>
  <c r="AN25" i="19" s="1"/>
  <c r="X26" i="24"/>
  <c r="X32" i="24"/>
  <c r="X35" i="24" s="1"/>
  <c r="X22" i="19" s="1"/>
  <c r="X21" i="19" s="1"/>
  <c r="X25" i="19" s="1"/>
  <c r="M19" i="6"/>
  <c r="M23" i="6" s="1"/>
  <c r="M6" i="6"/>
  <c r="X9" i="6"/>
  <c r="X36" i="6"/>
  <c r="X38" i="6" s="1"/>
  <c r="X39" i="6" s="1"/>
  <c r="AG32" i="24"/>
  <c r="AG35" i="24" s="1"/>
  <c r="AG22" i="19" s="1"/>
  <c r="AG21" i="19" s="1"/>
  <c r="AG25" i="19" s="1"/>
  <c r="AG26" i="24"/>
  <c r="U9" i="6"/>
  <c r="U36" i="6"/>
  <c r="U38" i="6" s="1"/>
  <c r="U39" i="6" s="1"/>
  <c r="J52" i="6"/>
  <c r="C21" i="3"/>
  <c r="L32" i="24"/>
  <c r="L35" i="24" s="1"/>
  <c r="L22" i="19" s="1"/>
  <c r="L21" i="19" s="1"/>
  <c r="L25" i="19" s="1"/>
  <c r="L26" i="24"/>
  <c r="S26" i="24"/>
  <c r="S32" i="24"/>
  <c r="S35" i="24" s="1"/>
  <c r="S22" i="19" s="1"/>
  <c r="S21" i="19" s="1"/>
  <c r="S25" i="19" s="1"/>
  <c r="D32" i="24"/>
  <c r="D26" i="24"/>
  <c r="C23" i="24"/>
  <c r="AJ19" i="6"/>
  <c r="AJ23" i="6" s="1"/>
  <c r="AJ6" i="6"/>
  <c r="U32" i="24"/>
  <c r="U35" i="24" s="1"/>
  <c r="U22" i="19" s="1"/>
  <c r="U21" i="19" s="1"/>
  <c r="U25" i="19" s="1"/>
  <c r="U26" i="24"/>
  <c r="P36" i="6"/>
  <c r="P38" i="6" s="1"/>
  <c r="P39" i="6" s="1"/>
  <c r="P9" i="6"/>
  <c r="AL19" i="6"/>
  <c r="AL23" i="6" s="1"/>
  <c r="AL6" i="6"/>
  <c r="AE19" i="6"/>
  <c r="AE23" i="6" s="1"/>
  <c r="AE6" i="6"/>
  <c r="I26" i="24"/>
  <c r="I32" i="24"/>
  <c r="I35" i="24" s="1"/>
  <c r="I22" i="19" s="1"/>
  <c r="I21" i="19" s="1"/>
  <c r="I25" i="19" s="1"/>
  <c r="AD32" i="24"/>
  <c r="AD35" i="24" s="1"/>
  <c r="AD22" i="19" s="1"/>
  <c r="AD21" i="19" s="1"/>
  <c r="AD25" i="19" s="1"/>
  <c r="AD26" i="24"/>
  <c r="O9" i="6"/>
  <c r="O36" i="6"/>
  <c r="O38" i="6" s="1"/>
  <c r="O39" i="6" s="1"/>
  <c r="W9" i="6"/>
  <c r="W36" i="6"/>
  <c r="W38" i="6" s="1"/>
  <c r="W39" i="6" s="1"/>
  <c r="L19" i="6"/>
  <c r="L23" i="6" s="1"/>
  <c r="L6" i="6"/>
  <c r="N6" i="6"/>
  <c r="N19" i="6"/>
  <c r="N23" i="6" s="1"/>
  <c r="D34" i="24"/>
  <c r="C34" i="24" s="1"/>
  <c r="C25" i="24"/>
  <c r="AL32" i="24"/>
  <c r="AL35" i="24" s="1"/>
  <c r="AL22" i="19" s="1"/>
  <c r="AL21" i="19" s="1"/>
  <c r="AL25" i="19" s="1"/>
  <c r="AL26" i="24"/>
  <c r="Q9" i="6"/>
  <c r="Q36" i="6"/>
  <c r="Q38" i="6" s="1"/>
  <c r="Q39" i="6" s="1"/>
  <c r="J32" i="3"/>
  <c r="C29" i="3"/>
  <c r="S19" i="6"/>
  <c r="S23" i="6" s="1"/>
  <c r="S6" i="6"/>
  <c r="R36" i="6"/>
  <c r="R38" i="6" s="1"/>
  <c r="R39" i="6" s="1"/>
  <c r="R9" i="6"/>
  <c r="AB36" i="6"/>
  <c r="AB38" i="6" s="1"/>
  <c r="AB39" i="6" s="1"/>
  <c r="AB9" i="6"/>
  <c r="C17" i="24"/>
  <c r="AH26" i="24"/>
  <c r="AH32" i="24"/>
  <c r="AH35" i="24" s="1"/>
  <c r="AH22" i="19" s="1"/>
  <c r="AH21" i="19" s="1"/>
  <c r="AH25" i="19" s="1"/>
  <c r="AM32" i="24"/>
  <c r="AM35" i="24" s="1"/>
  <c r="AM22" i="19" s="1"/>
  <c r="AM21" i="19" s="1"/>
  <c r="AM25" i="19" s="1"/>
  <c r="AM26" i="24"/>
  <c r="Y26" i="24"/>
  <c r="Y32" i="24"/>
  <c r="Y35" i="24" s="1"/>
  <c r="Y22" i="19" s="1"/>
  <c r="Y21" i="19" s="1"/>
  <c r="Y25" i="19" s="1"/>
  <c r="Q32" i="24"/>
  <c r="Q35" i="24" s="1"/>
  <c r="Q22" i="19" s="1"/>
  <c r="Q21" i="19" s="1"/>
  <c r="Q25" i="19" s="1"/>
  <c r="Q26" i="24"/>
  <c r="AA36" i="6"/>
  <c r="AA38" i="6" s="1"/>
  <c r="AA39" i="6" s="1"/>
  <c r="AA9" i="6"/>
  <c r="Z32" i="24"/>
  <c r="Z35" i="24" s="1"/>
  <c r="Z22" i="19" s="1"/>
  <c r="Z21" i="19" s="1"/>
  <c r="Z25" i="19" s="1"/>
  <c r="Z26" i="24"/>
  <c r="J40" i="3"/>
  <c r="C38" i="3"/>
  <c r="AE32" i="24"/>
  <c r="AE35" i="24" s="1"/>
  <c r="AE22" i="19" s="1"/>
  <c r="AE21" i="19" s="1"/>
  <c r="AE25" i="19" s="1"/>
  <c r="AE26" i="24"/>
  <c r="V6" i="6"/>
  <c r="V19" i="6"/>
  <c r="V23" i="6" s="1"/>
  <c r="Y19" i="6"/>
  <c r="Y23" i="6" s="1"/>
  <c r="Y6" i="6"/>
  <c r="AM36" i="6"/>
  <c r="AM38" i="6" s="1"/>
  <c r="AM39" i="6" s="1"/>
  <c r="AM9" i="6"/>
  <c r="H55" i="6"/>
  <c r="D33" i="24"/>
  <c r="C33" i="24" s="1"/>
  <c r="C24" i="24"/>
  <c r="H25" i="19"/>
  <c r="M32" i="24"/>
  <c r="M35" i="24" s="1"/>
  <c r="M22" i="19" s="1"/>
  <c r="M21" i="19" s="1"/>
  <c r="M25" i="19" s="1"/>
  <c r="M26" i="24"/>
  <c r="AI26" i="24"/>
  <c r="AI32" i="24"/>
  <c r="AI35" i="24" s="1"/>
  <c r="AI22" i="19" s="1"/>
  <c r="AI21" i="19" s="1"/>
  <c r="AI25" i="19" s="1"/>
  <c r="AF36" i="6"/>
  <c r="AF38" i="6" s="1"/>
  <c r="AF39" i="6" s="1"/>
  <c r="AF9" i="6"/>
  <c r="AK19" i="6"/>
  <c r="AK23" i="6" s="1"/>
  <c r="AK6" i="6"/>
  <c r="AG36" i="6"/>
  <c r="AG38" i="6" s="1"/>
  <c r="AG39" i="6" s="1"/>
  <c r="AG9" i="6"/>
  <c r="AF26" i="24"/>
  <c r="AF32" i="24"/>
  <c r="AF35" i="24" s="1"/>
  <c r="AF22" i="19" s="1"/>
  <c r="AF21" i="19" s="1"/>
  <c r="AF25" i="19" s="1"/>
  <c r="AH19" i="6"/>
  <c r="AH23" i="6" s="1"/>
  <c r="AH6" i="6"/>
  <c r="AI6" i="6"/>
  <c r="AI19" i="6"/>
  <c r="AI23" i="6" s="1"/>
  <c r="K36" i="6" l="1"/>
  <c r="K38" i="6" s="1"/>
  <c r="K39" i="6" s="1"/>
  <c r="K9" i="6"/>
  <c r="AC36" i="6"/>
  <c r="AC38" i="6" s="1"/>
  <c r="AC39" i="6" s="1"/>
  <c r="AC9" i="6"/>
  <c r="I36" i="6"/>
  <c r="I38" i="6" s="1"/>
  <c r="I39" i="6" s="1"/>
  <c r="I9" i="6"/>
  <c r="T36" i="6"/>
  <c r="T38" i="6" s="1"/>
  <c r="T39" i="6" s="1"/>
  <c r="T9" i="6"/>
  <c r="AH9" i="6"/>
  <c r="AH36" i="6"/>
  <c r="AH38" i="6" s="1"/>
  <c r="AH39" i="6" s="1"/>
  <c r="N36" i="6"/>
  <c r="N38" i="6" s="1"/>
  <c r="N39" i="6" s="1"/>
  <c r="N9" i="6"/>
  <c r="Y36" i="6"/>
  <c r="Y38" i="6" s="1"/>
  <c r="Y39" i="6" s="1"/>
  <c r="Y9" i="6"/>
  <c r="J43" i="3"/>
  <c r="C40" i="3"/>
  <c r="L9" i="6"/>
  <c r="L36" i="6"/>
  <c r="L38" i="6" s="1"/>
  <c r="L39" i="6" s="1"/>
  <c r="J54" i="6"/>
  <c r="C52" i="6"/>
  <c r="C26" i="24"/>
  <c r="C32" i="24"/>
  <c r="D35" i="24"/>
  <c r="AK36" i="6"/>
  <c r="AK38" i="6" s="1"/>
  <c r="AK39" i="6" s="1"/>
  <c r="AK9" i="6"/>
  <c r="S36" i="6"/>
  <c r="S38" i="6" s="1"/>
  <c r="S39" i="6" s="1"/>
  <c r="S9" i="6"/>
  <c r="M9" i="6"/>
  <c r="M36" i="6"/>
  <c r="M38" i="6" s="1"/>
  <c r="M39" i="6" s="1"/>
  <c r="AE36" i="6"/>
  <c r="AE38" i="6" s="1"/>
  <c r="AE39" i="6" s="1"/>
  <c r="AE9" i="6"/>
  <c r="H38" i="6"/>
  <c r="V36" i="6"/>
  <c r="V38" i="6" s="1"/>
  <c r="V39" i="6" s="1"/>
  <c r="V9" i="6"/>
  <c r="H56" i="6"/>
  <c r="I56" i="6" s="1"/>
  <c r="H58" i="6"/>
  <c r="I58" i="6" s="1"/>
  <c r="AI36" i="6"/>
  <c r="AI38" i="6" s="1"/>
  <c r="AI39" i="6" s="1"/>
  <c r="AI9" i="6"/>
  <c r="J19" i="6"/>
  <c r="J6" i="6"/>
  <c r="C32" i="3"/>
  <c r="C6" i="7" s="1"/>
  <c r="AL9" i="6"/>
  <c r="AL36" i="6"/>
  <c r="AL38" i="6" s="1"/>
  <c r="AL39" i="6" s="1"/>
  <c r="AJ36" i="6"/>
  <c r="AJ38" i="6" s="1"/>
  <c r="AJ39" i="6" s="1"/>
  <c r="AJ9" i="6"/>
  <c r="AN36" i="6"/>
  <c r="AN38" i="6" s="1"/>
  <c r="AN39" i="6" s="1"/>
  <c r="AN9" i="6"/>
  <c r="J6" i="19" l="1"/>
  <c r="C43" i="3"/>
  <c r="H39" i="6"/>
  <c r="J23" i="6"/>
  <c r="C19" i="6"/>
  <c r="J55" i="6"/>
  <c r="C55" i="6" s="1"/>
  <c r="C54" i="6"/>
  <c r="C35" i="24"/>
  <c r="D22" i="19"/>
  <c r="J36" i="6"/>
  <c r="J9" i="6"/>
  <c r="C6" i="6"/>
  <c r="J56" i="6" l="1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AJ56" i="6" s="1"/>
  <c r="AK56" i="6" s="1"/>
  <c r="AL56" i="6" s="1"/>
  <c r="AM56" i="6" s="1"/>
  <c r="AN56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AJ58" i="6" s="1"/>
  <c r="AK58" i="6" s="1"/>
  <c r="AL58" i="6" s="1"/>
  <c r="AM58" i="6" s="1"/>
  <c r="AN58" i="6" s="1"/>
  <c r="H42" i="6"/>
  <c r="I42" i="6" s="1"/>
  <c r="H40" i="6"/>
  <c r="I40" i="6" s="1"/>
  <c r="D6" i="7"/>
  <c r="C11" i="6"/>
  <c r="C9" i="6"/>
  <c r="B7" i="82" s="1"/>
  <c r="C12" i="6"/>
  <c r="J38" i="6"/>
  <c r="C36" i="6"/>
  <c r="D21" i="19"/>
  <c r="C22" i="19"/>
  <c r="J25" i="19"/>
  <c r="C6" i="19"/>
  <c r="B14" i="82" l="1"/>
  <c r="B12" i="82"/>
  <c r="B13" i="82"/>
  <c r="G8" i="82"/>
  <c r="E8" i="82"/>
  <c r="F8" i="82"/>
  <c r="C8" i="82"/>
  <c r="D8" i="82"/>
  <c r="H8" i="82"/>
  <c r="D7" i="7"/>
  <c r="D8" i="7" s="1"/>
  <c r="D9" i="7" s="1"/>
  <c r="J39" i="6"/>
  <c r="C39" i="6" s="1"/>
  <c r="C38" i="6"/>
  <c r="C21" i="19"/>
  <c r="N13" i="82" l="1"/>
  <c r="N16" i="82" s="1"/>
  <c r="C13" i="82"/>
  <c r="C12" i="82"/>
  <c r="M12" i="82"/>
  <c r="M16" i="82" s="1"/>
  <c r="C14" i="82"/>
  <c r="O14" i="82"/>
  <c r="O16" i="82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E27" i="7"/>
  <c r="E28" i="7" s="1"/>
  <c r="I27" i="7"/>
  <c r="I28" i="7" s="1"/>
  <c r="H27" i="7"/>
  <c r="H28" i="7" s="1"/>
  <c r="G27" i="7"/>
  <c r="G28" i="7" s="1"/>
  <c r="D27" i="7"/>
  <c r="D28" i="7" s="1"/>
  <c r="C16" i="7"/>
  <c r="C18" i="7" s="1"/>
  <c r="C19" i="7" s="1"/>
  <c r="F27" i="7"/>
  <c r="F28" i="7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J40" i="6" s="1"/>
  <c r="AK40" i="6" s="1"/>
  <c r="AL40" i="6" s="1"/>
  <c r="AM40" i="6" s="1"/>
  <c r="AN40" i="6" s="1"/>
  <c r="G18" i="6" l="1"/>
  <c r="G23" i="6" s="1"/>
  <c r="E18" i="6"/>
  <c r="E23" i="6" s="1"/>
  <c r="F18" i="6"/>
  <c r="F23" i="6" s="1"/>
  <c r="H18" i="6"/>
  <c r="H23" i="6" s="1"/>
  <c r="C27" i="7"/>
  <c r="I18" i="6"/>
  <c r="I23" i="6" s="1"/>
  <c r="C28" i="7"/>
  <c r="D18" i="6"/>
  <c r="C18" i="6" l="1"/>
  <c r="C25" i="6" s="1"/>
  <c r="D23" i="6"/>
  <c r="C26" i="6" l="1"/>
  <c r="C23" i="6"/>
  <c r="D5" i="33"/>
  <c r="D23" i="33" s="1"/>
  <c r="D36" i="41"/>
  <c r="D37" i="41" s="1"/>
  <c r="D7" i="33" l="1"/>
  <c r="D38" i="41"/>
  <c r="C23" i="33"/>
  <c r="C5" i="33"/>
  <c r="D6" i="33"/>
  <c r="D8" i="33" l="1"/>
  <c r="C8" i="33" s="1"/>
  <c r="C6" i="33"/>
  <c r="D24" i="33"/>
  <c r="D25" i="33"/>
  <c r="C25" i="33" s="1"/>
  <c r="C7" i="33"/>
  <c r="C24" i="33" l="1"/>
  <c r="D26" i="33"/>
  <c r="C26" i="33" l="1"/>
  <c r="D14" i="19"/>
  <c r="D25" i="19" l="1"/>
  <c r="C14" i="19"/>
  <c r="C30" i="19" l="1"/>
  <c r="C29" i="19"/>
  <c r="C27" i="19"/>
  <c r="C25" i="19"/>
  <c r="B30" i="82" s="1"/>
  <c r="C28" i="19"/>
  <c r="B37" i="82" l="1"/>
  <c r="B41" i="82"/>
  <c r="B38" i="82"/>
  <c r="B39" i="82"/>
  <c r="B42" i="82"/>
  <c r="B44" i="82"/>
  <c r="B43" i="82"/>
  <c r="B40" i="82"/>
  <c r="B36" i="82"/>
  <c r="N31" i="82"/>
  <c r="T31" i="82"/>
  <c r="J31" i="82"/>
  <c r="C31" i="82"/>
  <c r="F31" i="82"/>
  <c r="L31" i="82"/>
  <c r="K31" i="82"/>
  <c r="R31" i="82"/>
  <c r="M31" i="82"/>
  <c r="E31" i="82"/>
  <c r="H31" i="82"/>
  <c r="O31" i="82"/>
  <c r="I31" i="82"/>
  <c r="Q31" i="82"/>
  <c r="D31" i="82"/>
  <c r="S31" i="82"/>
  <c r="P31" i="82"/>
  <c r="G31" i="82"/>
  <c r="C36" i="82" l="1"/>
  <c r="L36" i="82"/>
  <c r="L46" i="82" s="1"/>
  <c r="P40" i="82"/>
  <c r="P46" i="82" s="1"/>
  <c r="C40" i="82"/>
  <c r="C43" i="82"/>
  <c r="S43" i="82"/>
  <c r="S46" i="82" s="1"/>
  <c r="C44" i="82"/>
  <c r="T44" i="82"/>
  <c r="T46" i="82" s="1"/>
  <c r="R42" i="82"/>
  <c r="R46" i="82" s="1"/>
  <c r="C42" i="82"/>
  <c r="C39" i="82"/>
  <c r="O39" i="82"/>
  <c r="O46" i="82" s="1"/>
  <c r="C38" i="82"/>
  <c r="N38" i="82"/>
  <c r="N46" i="82" s="1"/>
  <c r="Q41" i="82"/>
  <c r="Q46" i="82" s="1"/>
  <c r="C41" i="82"/>
  <c r="M37" i="82"/>
  <c r="M46" i="82" s="1"/>
  <c r="C37" i="8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Kapustová Zuzana</author>
  </authors>
  <commentList>
    <comment ref="D35" authorId="0" shapeId="0" xr:uid="{1E190930-FFD2-4457-8D9F-6C540AD671EA}">
      <text>
        <r>
          <rPr>
            <sz val="9"/>
            <color indexed="81"/>
            <rFont val="Segoe UI"/>
            <family val="2"/>
            <charset val="238"/>
          </rPr>
          <t xml:space="preserve">Navýšenie o posilové vozne v silných dňoch/sviatkoch.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Šnajdarová Eva</author>
  </authors>
  <commentList>
    <comment ref="C34" authorId="0" shapeId="0" xr:uid="{69E69ADE-6606-4707-A3B9-E4A87E9B7D18}">
      <text>
        <r>
          <rPr>
            <sz val="9"/>
            <color indexed="81"/>
            <rFont val="Segoe UI"/>
            <charset val="1"/>
          </rPr>
          <t xml:space="preserve">Domodelovaný počet cestujúcich podľa skutočného vývoja 1-5 2025
</t>
        </r>
      </text>
    </comment>
    <comment ref="E34" authorId="0" shapeId="0" xr:uid="{CA13867A-6427-458A-8134-5B136174DDAC}">
      <text>
        <r>
          <rPr>
            <sz val="9"/>
            <color indexed="81"/>
            <rFont val="Segoe UI"/>
            <charset val="1"/>
          </rPr>
          <t xml:space="preserve">Domodelované príjmy podľa skutočného vývoja 1-5 2025
</t>
        </r>
      </text>
    </comment>
  </commentList>
</comments>
</file>

<file path=xl/sharedStrings.xml><?xml version="1.0" encoding="utf-8"?>
<sst xmlns="http://schemas.openxmlformats.org/spreadsheetml/2006/main" count="3217" uniqueCount="781">
  <si>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</si>
  <si>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</si>
  <si>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</si>
  <si>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</si>
  <si>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</si>
  <si>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</si>
  <si>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</si>
  <si>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</si>
  <si>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</si>
  <si>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</si>
  <si>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</si>
  <si>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</si>
  <si>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</si>
  <si>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</si>
  <si>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</si>
  <si>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</si>
  <si>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</si>
  <si>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</si>
  <si>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</si>
  <si>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</si>
  <si>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</si>
  <si>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</si>
  <si>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</si>
  <si>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</si>
  <si>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</si>
  <si>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</si>
  <si>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</si>
  <si>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</si>
  <si>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</si>
  <si>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</si>
  <si>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</si>
  <si>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</si>
  <si>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</si>
  <si>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BEZ PROJEKTU</t>
  </si>
  <si>
    <t>S PROJEKTOM</t>
  </si>
  <si>
    <t xml:space="preserve">Celkom </t>
  </si>
  <si>
    <t>Celkom (diskontované)</t>
  </si>
  <si>
    <t>Rast HDP (%)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</si>
  <si>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</si>
  <si>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</si>
  <si>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</si>
  <si>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</si>
  <si>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</si>
  <si>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</si>
  <si>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Rezerva na nepredvídané výdavky</t>
  </si>
  <si>
    <t>Celkové investičné náklady</t>
  </si>
  <si>
    <t>Všeobecné parametre</t>
  </si>
  <si>
    <t>Celkové peňažné toky</t>
  </si>
  <si>
    <t>Iné služby (Technická pomoc, Publicita, Externé riadenie)</t>
  </si>
  <si>
    <t>DPH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</si>
  <si>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</si>
  <si>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</si>
  <si>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</si>
  <si>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</si>
  <si>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</si>
  <si>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</si>
  <si>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</si>
  <si>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</si>
  <si>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</si>
  <si>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</si>
  <si>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</si>
  <si>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</si>
  <si>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</si>
  <si>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</si>
  <si>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</si>
  <si>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</si>
  <si>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</si>
  <si>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</si>
  <si>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</si>
  <si>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</si>
  <si>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</si>
  <si>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</si>
  <si>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Príručka CBA, Tabuľka 23</t>
  </si>
  <si>
    <t>Autobusy</t>
  </si>
  <si>
    <t>Príručka CBA, Tabuľka 26</t>
  </si>
  <si>
    <t>Typ pozemnej komunikácie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</si>
  <si>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</si>
  <si>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</si>
  <si>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</si>
  <si>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</si>
  <si>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</si>
  <si>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</si>
  <si>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</si>
  <si>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</si>
  <si>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</si>
  <si>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</si>
  <si>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</si>
  <si>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</si>
  <si>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</si>
  <si>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</si>
  <si>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</si>
  <si>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</si>
  <si>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</si>
  <si>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</si>
  <si>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</si>
  <si>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</si>
  <si>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</si>
  <si>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</si>
  <si>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</si>
  <si>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</si>
  <si>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</si>
  <si>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</si>
  <si>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</si>
  <si>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</si>
  <si>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</si>
  <si>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</si>
  <si>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Rýchlosti</t>
  </si>
  <si>
    <t>Osobné vozidlá (benzín)</t>
  </si>
  <si>
    <t>Osobné vozidlá (nafta)</t>
  </si>
  <si>
    <t>Benzín</t>
  </si>
  <si>
    <t>Nafta</t>
  </si>
  <si>
    <t>Priemerná spotreba pohonných hmôt v závislosti od kategórie vozidla a rýchlosti v litroch/km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</si>
  <si>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</si>
  <si>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</si>
  <si>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</si>
  <si>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</si>
  <si>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</si>
  <si>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</si>
  <si>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</si>
  <si>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</si>
  <si>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</si>
  <si>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</si>
  <si>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</si>
  <si>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</si>
  <si>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</si>
  <si>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</si>
  <si>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</si>
  <si>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</si>
  <si>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</si>
  <si>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</si>
  <si>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</si>
  <si>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</si>
  <si>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</si>
  <si>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</si>
  <si>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</si>
  <si>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</si>
  <si>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</si>
  <si>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</si>
  <si>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</si>
  <si>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</si>
  <si>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</si>
  <si>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</si>
  <si>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</si>
  <si>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</si>
  <si>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</si>
  <si>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</si>
  <si>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</si>
  <si>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</si>
  <si>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</si>
  <si>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</si>
  <si>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</si>
  <si>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</si>
  <si>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</si>
  <si>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</si>
  <si>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</si>
  <si>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</si>
  <si>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</si>
  <si>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</si>
  <si>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</si>
  <si>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</si>
  <si>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</si>
  <si>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</si>
  <si>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</si>
  <si>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</si>
  <si>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</si>
  <si>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</si>
  <si>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</si>
  <si>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</si>
  <si>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</si>
  <si>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</si>
  <si>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</si>
  <si>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</si>
  <si>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</si>
  <si>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</si>
  <si>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</si>
  <si>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</si>
  <si>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</si>
  <si>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</si>
  <si>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</si>
  <si>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</si>
  <si>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</si>
  <si>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</si>
  <si>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</si>
  <si>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</si>
  <si>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</si>
  <si>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</si>
  <si>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</si>
  <si>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Celkové investičné výdavky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</si>
  <si>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</si>
  <si>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</si>
  <si>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</si>
  <si>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</si>
  <si>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</si>
  <si>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</si>
  <si>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</si>
  <si>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</si>
  <si>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</si>
  <si>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</si>
  <si>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</si>
  <si>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</si>
  <si>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</si>
  <si>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</si>
  <si>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Čas cestujúcich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</si>
  <si>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</si>
  <si>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</si>
  <si>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</si>
  <si>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</si>
  <si>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</si>
  <si>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</si>
  <si>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</si>
  <si>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</si>
  <si>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</si>
  <si>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</si>
  <si>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</si>
  <si>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</si>
  <si>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</si>
  <si>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</si>
  <si>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</si>
  <si>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</si>
  <si>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</si>
  <si>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</si>
  <si>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</si>
  <si>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</si>
  <si>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</si>
  <si>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</si>
  <si>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t>Typ vozidla</t>
  </si>
  <si>
    <t>EUR/vlkm</t>
  </si>
  <si>
    <t>EUR/vlhod.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</si>
  <si>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</si>
  <si>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</si>
  <si>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</si>
  <si>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</si>
  <si>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</si>
  <si>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</si>
  <si>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</si>
  <si>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</si>
  <si>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</si>
  <si>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</si>
  <si>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</si>
  <si>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Rýchliková súprava</t>
  </si>
  <si>
    <t>Súprava Osobný vlak</t>
  </si>
  <si>
    <t>Priemerná spotreba osobných železničných koľajových vozidiel</t>
  </si>
  <si>
    <t>Príručka CBA, Tabuľka 33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</si>
  <si>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</si>
  <si>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</si>
  <si>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</si>
  <si>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</si>
  <si>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</si>
  <si>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</si>
  <si>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</si>
  <si>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</si>
  <si>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</si>
  <si>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</si>
  <si>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</si>
  <si>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</si>
  <si>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</si>
  <si>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</si>
  <si>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</si>
  <si>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</si>
  <si>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</si>
  <si>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</si>
  <si>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</si>
  <si>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</si>
  <si>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 xml:space="preserve">Úspora spotreby celkom </t>
  </si>
  <si>
    <t>Použil sa emisný faktor pre sieť stredného napätia, je možné upraviť</t>
  </si>
  <si>
    <t>Rok začiatku</t>
  </si>
  <si>
    <t>Rok dodania</t>
  </si>
  <si>
    <t>Mzdy personálu</t>
  </si>
  <si>
    <t>Diaľková doprava</t>
  </si>
  <si>
    <t>Regionálna doprava</t>
  </si>
  <si>
    <t>Doprava celkom</t>
  </si>
  <si>
    <t>Osobná železničná doprava - príjmy z cestovného</t>
  </si>
  <si>
    <t>Sadzba v EUR/osobokilometer</t>
  </si>
  <si>
    <t>*</t>
  </si>
  <si>
    <t>Vozidlá</t>
  </si>
  <si>
    <t>Výdavky súvisiace so štúdiami, publicita, externé riadenie a technická pomoc a pod.;</t>
  </si>
  <si>
    <t>Životnosť v rokoch*</t>
  </si>
  <si>
    <t>* životnosť je možné upraviť podľa údajov od dodávateľa</t>
  </si>
  <si>
    <t>Celkové prevádzkové výdavky na údržbu vozidiel</t>
  </si>
  <si>
    <t>Výmeny/Obnovy/Generálne opravy</t>
  </si>
  <si>
    <t>Celkové prevádzkové náklady na údržbu vozidiel</t>
  </si>
  <si>
    <t>Prevádzkové výdavky vozidiel</t>
  </si>
  <si>
    <t>Príjmy z cestovného</t>
  </si>
  <si>
    <t>Celkom úspora času cestujúcich v peňažnom vyjadrení</t>
  </si>
  <si>
    <t>Motorové jednotky</t>
  </si>
  <si>
    <t>Dieselové súpravy</t>
  </si>
  <si>
    <t>Hárok relevantný, ak sú v scenári BEZ PROJEKTU alebo S PROJEKTOM zahrnuté vozidlá na naftový pohon</t>
  </si>
  <si>
    <t>Súprava typu push-pull</t>
  </si>
  <si>
    <t>Centrum mesta</t>
  </si>
  <si>
    <t>Intravilán mesta</t>
  </si>
  <si>
    <t>Intravilán obce</t>
  </si>
  <si>
    <t>Úspora celkom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</si>
  <si>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</si>
  <si>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</si>
  <si>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</si>
  <si>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</si>
  <si>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Úspora znečisťujúcich látok celkom</t>
  </si>
  <si>
    <t>(môže byť modifikované v prípade dodania na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</si>
  <si>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</si>
  <si>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Oprávnené výdavky (investičné)</t>
  </si>
  <si>
    <t>Oprávnené výdavky (interné riadenie)</t>
  </si>
  <si>
    <t>Oprávnené výdavky SPOLU</t>
  </si>
  <si>
    <t>ak oprávnené v rámci predloženej ŽoNFP</t>
  </si>
  <si>
    <t>Počet rokov na dodanie vozidiel</t>
  </si>
  <si>
    <t>Maximálny počet rokov prevádzky vozidiel</t>
  </si>
  <si>
    <t>Základné výdavky</t>
  </si>
  <si>
    <t>Merná jednotka</t>
  </si>
  <si>
    <t>Priemerné prevádzkové výdavky na osobné železničné koľajové vozidlá</t>
  </si>
  <si>
    <t>Elektrina</t>
  </si>
  <si>
    <t>Príručka CBA, časť 4.2.1</t>
  </si>
  <si>
    <t>Príručka CBA, Tabuľka 27</t>
  </si>
  <si>
    <t>Váhy (koeficienty) pre časovú zložku čakania na dopravu</t>
  </si>
  <si>
    <t>Interval (min.)</t>
  </si>
  <si>
    <t>5 ≥</t>
  </si>
  <si>
    <t xml:space="preserve"> 6-10</t>
  </si>
  <si>
    <t xml:space="preserve"> 11-15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</si>
  <si>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</si>
  <si>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</si>
  <si>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</si>
  <si>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</si>
  <si>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</si>
  <si>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</si>
  <si>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</si>
  <si>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</si>
  <si>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</si>
  <si>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</si>
  <si>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>min.</t>
  </si>
  <si>
    <t>max.</t>
  </si>
  <si>
    <t>Penalizácia za prestup (minúty)</t>
  </si>
  <si>
    <t>Príručka CBA, časť 4.2.2.2</t>
  </si>
  <si>
    <t>Príručka CBA, Tabuľka 39</t>
  </si>
  <si>
    <t>Príručka CBA, tabuľka 43</t>
  </si>
  <si>
    <t>Príručka CBA, časť 4.2.2.6</t>
  </si>
  <si>
    <t>Príručka CBA, tabuľka 45</t>
  </si>
  <si>
    <t>Príručka CBA, tabuľka 46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</si>
  <si>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</si>
  <si>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</si>
  <si>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</si>
  <si>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Priemerné ročné prevádzkové výdavky (diaľnice, rýchlostné cesty, cesty I. triedy) v CÚ 2023</t>
  </si>
  <si>
    <t>! V EA potrebné upraviť o konverzný faktor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</si>
  <si>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</si>
  <si>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</si>
  <si>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</si>
  <si>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</si>
  <si>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Osobné automobily (mestské prostredie)</t>
  </si>
  <si>
    <t>Osobné automobily (mimo mesta)</t>
  </si>
  <si>
    <t>Príručka CBA, Tabuľka 24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</si>
  <si>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</si>
  <si>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</si>
  <si>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</si>
  <si>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</si>
  <si>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</si>
  <si>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</si>
  <si>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</si>
  <si>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</si>
  <si>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</si>
  <si>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</si>
  <si>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</si>
  <si>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</si>
  <si>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</si>
  <si>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</si>
  <si>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</si>
  <si>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</si>
  <si>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</si>
  <si>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</si>
  <si>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</si>
  <si>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</si>
  <si>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</si>
  <si>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</si>
  <si>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</si>
  <si>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48</t>
  </si>
  <si>
    <t>...</t>
  </si>
  <si>
    <t>Kategória investičných výdavkov*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</si>
  <si>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</si>
  <si>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Cenové úpravy (valorizácia)</t>
  </si>
  <si>
    <t>Celkové investičné výdavky vrátane rezervy a valorizácie</t>
  </si>
  <si>
    <t>Položka nevstupuje do finančnej/ekonomickej analýzy (okrem hodnotenia ex-post ak relevantné), zvyčajne max. 10% z rozpočtu;</t>
  </si>
  <si>
    <t>Valorizácia</t>
  </si>
  <si>
    <t>Položka nevstupuje do finančnej/ekonomickej analýzy (okrem hodnotenia ex-post ak relevantné), v zmysle platných metodických pokynov.</t>
  </si>
  <si>
    <t>2.2 Výpočet dĺžky referenčného obdobia projektu</t>
  </si>
  <si>
    <t>Životnosť v rokoch</t>
  </si>
  <si>
    <t>Výška investície</t>
  </si>
  <si>
    <t>Váha prvku</t>
  </si>
  <si>
    <t>Vážená priemerná životnosť projektu</t>
  </si>
  <si>
    <t>Dĺžka referenčného obdobia</t>
  </si>
  <si>
    <t>z toho: Úver</t>
  </si>
  <si>
    <t>7.1 Čas cestujúcich stravených cestovaním (existujúci cestujúci) v hod.</t>
  </si>
  <si>
    <t>Pozn.: iba ak relevantné v zmysle dopravného modelu</t>
  </si>
  <si>
    <t>7.2 Čas cestujúcich stravených cestovaním (prevedení cestujúci) v hod.</t>
  </si>
  <si>
    <t>7.3 Čas cestujúcich strávených cestovaním (cestujúci na nadväzujúcich úsekoch) v hod.</t>
  </si>
  <si>
    <t>Osobné automobily (benzín)</t>
  </si>
  <si>
    <t>Osobné automobily (nafta)</t>
  </si>
  <si>
    <t>Osobné automobily (elektrina)</t>
  </si>
  <si>
    <t>Celkom benzín</t>
  </si>
  <si>
    <t>Celkom nafta</t>
  </si>
  <si>
    <t>Celkom elektrina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</si>
  <si>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</si>
  <si>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</si>
  <si>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</si>
  <si>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</si>
  <si>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</si>
  <si>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</si>
  <si>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</si>
  <si>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</si>
  <si>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</si>
  <si>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</si>
  <si>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</si>
  <si>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</si>
  <si>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</si>
  <si>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</si>
  <si>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</si>
  <si>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</si>
  <si>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</si>
  <si>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Osobné vozidlá (centrum mesta)</t>
  </si>
  <si>
    <t>Osobné vozidlá (intravilán mesta)</t>
  </si>
  <si>
    <t>Osobné vozidlá (intravilán obce)</t>
  </si>
  <si>
    <t>Autobusy (centrum mesta)</t>
  </si>
  <si>
    <t>Autobusy (intravilán mesta)</t>
  </si>
  <si>
    <t>Autobusy (intravilán obce)</t>
  </si>
  <si>
    <t>existujúci cestujúci (železničná doprava)</t>
  </si>
  <si>
    <t>prevedení cestujúci (cestná doprava)</t>
  </si>
  <si>
    <t>cestujúci v nadväzujúcich úsekoch (železničná doprava)</t>
  </si>
  <si>
    <t xml:space="preserve">Prevádzkové náklady </t>
  </si>
  <si>
    <t>spotreba PHM/E (cestná doprava)</t>
  </si>
  <si>
    <t>ostatné prevádzkové náklady vozidiel (cestná doprava)</t>
  </si>
  <si>
    <t>železničná doprava</t>
  </si>
  <si>
    <t>cestná doprava</t>
  </si>
  <si>
    <t>Bezpečnosť (cestná doprava)</t>
  </si>
  <si>
    <t>S/I</t>
  </si>
  <si>
    <t>10.1 Náklady z dopravných nehôd (v EUR)</t>
  </si>
  <si>
    <t>10.2 Náklady z dopravných nehôd (v EUR)</t>
  </si>
  <si>
    <t>10.3 Náklady z dopravných nehôd (v EUR)</t>
  </si>
  <si>
    <t>8.1 Spotreba PHM/E (litre resp. kWh pre elektrický pohon)</t>
  </si>
  <si>
    <t>8.2 Spotreba PHM/E (litre resp. kWh pre elektrický pohon)</t>
  </si>
  <si>
    <t>8.3 Spotreba PHM/E (litre resp. kWh pre elektrický pohon)</t>
  </si>
  <si>
    <t>8.4 Úspora spotreby PHM/E v peňažnom vyjadrení (v EUR)</t>
  </si>
  <si>
    <t>8.5 Dodatočná spotreba PHM/E (litre resp. kWh pre elektrický pohon)</t>
  </si>
  <si>
    <t>8.6 Dodatočná spotreba PHM/E (litre resp. kWh pre elektrický pohon)</t>
  </si>
  <si>
    <t>8.7 Dodatočná spotreba PHM/E (litre resp. kWh pre elektrický pohon)</t>
  </si>
  <si>
    <t>8.8 Úspora dodatočnej spotreby v peňažnom vyjadrení (v EUR)</t>
  </si>
  <si>
    <t>8.9 Úspora PHM/E celkom v peňažnom vyjadrení (v EUR)</t>
  </si>
  <si>
    <t>8.10 Úspora PHM celkom (kilogramy resp. kWh al. MWh)</t>
  </si>
  <si>
    <t>11.1 Spotreba nafty vlakov (kilogramy)</t>
  </si>
  <si>
    <t>11.2 Spotreba nafty vlakov (kilogramy)</t>
  </si>
  <si>
    <t>11.3 Spotreba nafty vlakov (kilogramy)</t>
  </si>
  <si>
    <t>11.4 Množstvo emitovaných znečisťujúcich látok (kilogramy)</t>
  </si>
  <si>
    <t>11.5 Množstvo emitovaných znečisťujúcich látok (kilogramy)</t>
  </si>
  <si>
    <t>11.6 Množstvo emitovaných znečisťujúcich látok (kilogramy)</t>
  </si>
  <si>
    <t>11.7 Úspora emitovaných znečisťujúcich látok v peňažnom vyjadrení (EUR)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</si>
  <si>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</si>
  <si>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</si>
  <si>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</si>
  <si>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</si>
  <si>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</si>
  <si>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</si>
  <si>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</si>
  <si>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t>12.4 Spotreba elektrických vlakov (kWh)</t>
  </si>
  <si>
    <t>12.5 Spotreba elektrických vlakov (kWh)</t>
  </si>
  <si>
    <t>12.6 Spotreba elektrických vlakov (kWh)</t>
  </si>
  <si>
    <t>12.7 Úspora emitovaných skleníkových plynov v peňažnom vyjadrení (EUR)</t>
  </si>
  <si>
    <t>12.1 Množstvo emitovaných skleníkových plynov (kilogramy)</t>
  </si>
  <si>
    <t>12.2 Množstvo emitovaných skleníkových plynov (kilogramy)</t>
  </si>
  <si>
    <t>12.3 Množstvo emitovaných skleníkových plynov (kilogramy)</t>
  </si>
  <si>
    <t>12.4 Úspora emitovaných skleníkových plynov v peňažnom vyjadrení (EUR)</t>
  </si>
  <si>
    <t>13.1 Jazdná vzdialenosť (vlakové kilometre)</t>
  </si>
  <si>
    <t>13.2 Jazdná vzdialenosť (vlakové kilometre)</t>
  </si>
  <si>
    <t>13.3 Jazdná vzdialenosť (vlakové kilometre)</t>
  </si>
  <si>
    <t>13.4 Úspora nákladov z hluku peňažnom vyjadrení (EUR)</t>
  </si>
  <si>
    <t>13.1 Jazdná vzdialenosť (kilometre)</t>
  </si>
  <si>
    <t>13.2 Jazdná vzdialenosť (kilometre)</t>
  </si>
  <si>
    <t>13.3 Jazdná vzdialenosť (kilometre)</t>
  </si>
  <si>
    <t>14.1 Ekonomická analýza (vplyv na blahobyt spoločnosti)</t>
  </si>
  <si>
    <t>Hrubá skriňa</t>
  </si>
  <si>
    <t>Podvozok</t>
  </si>
  <si>
    <t>Trakčný reťazec</t>
  </si>
  <si>
    <t>Technológia</t>
  </si>
  <si>
    <t>Interiér</t>
  </si>
  <si>
    <t>→</t>
  </si>
  <si>
    <t>krát počas referenčného obdobia</t>
  </si>
  <si>
    <t>Prvok vozidla</t>
  </si>
  <si>
    <t>Relevantný prvok vozidla</t>
  </si>
  <si>
    <t>Príručka CBA, Tabuľka 20</t>
  </si>
  <si>
    <t>Príručka CBA, Tabuľka 28</t>
  </si>
  <si>
    <t>Príručka CBA, Tabuľka 40</t>
  </si>
  <si>
    <t>4Príručka CBA, tabuľka 43</t>
  </si>
  <si>
    <t>Príručka CBA, tabuľka 49</t>
  </si>
  <si>
    <t>Príručka CBA, Tabuľka 6</t>
  </si>
  <si>
    <t>Príručka CBA, Tabuľka 31</t>
  </si>
  <si>
    <t>Príručka CBA, tabuľka 32</t>
  </si>
  <si>
    <t>Príručka CBA, Tabuľka 34</t>
  </si>
  <si>
    <t>Výdavky na kostru vozidla, okná, dvere a súvisiace prvky;</t>
  </si>
  <si>
    <t>Výdavky na dvojkolesia, rám, brzdy, ložiská a súvisiace prvky;</t>
  </si>
  <si>
    <t>Výdavky na trakčné motory, transformátory, vypínač, usmerňovač a ďalšie súvisiace prvky;</t>
  </si>
  <si>
    <t>Výdavky na riadiace, komunikačné a zabezpečovacie zariadenia, klimatizáciu, kúrenie a iné technologické netrakčné zariadenia;</t>
  </si>
  <si>
    <t>Výdavky na sedačky, informačný systém a iné vybaenie priestoru pre cestujúcich;</t>
  </si>
  <si>
    <t>Vypočíta sa v hárku "02 Zostatková hodnota", v prípade kratšieho obdobia ako 40 rokov sa hárky primerane upravia</t>
  </si>
  <si>
    <t>Pomer príspevku (EÚ)</t>
  </si>
  <si>
    <t>5.3 Štruktúra financovania*</t>
  </si>
  <si>
    <t>*štruktúru je možné meniť podľa potreby, napr. v prípade konsolidovanej analýzy</t>
  </si>
  <si>
    <t>TP</t>
  </si>
  <si>
    <t>ES</t>
  </si>
  <si>
    <t>názov primárnych  tratí projektu</t>
  </si>
  <si>
    <t>vyzískané ŽKV</t>
  </si>
  <si>
    <t>názov sekundárnych  tratí projektu</t>
  </si>
  <si>
    <t>spolu</t>
  </si>
  <si>
    <t xml:space="preserve">1) Charakteristika traťových úsekov, na ktorých je vykonávaná osobná železničná doprava v súvislosti s projektom </t>
  </si>
  <si>
    <t>elektrifikované</t>
  </si>
  <si>
    <t>neelektrifikované</t>
  </si>
  <si>
    <t>údržba</t>
  </si>
  <si>
    <t>Poplatok za ŽDC</t>
  </si>
  <si>
    <t>Zdroj: ZSSK</t>
  </si>
  <si>
    <t>dĺžka traťových úsekov</t>
  </si>
  <si>
    <t>Spolu</t>
  </si>
  <si>
    <t xml:space="preserve">Spolu </t>
  </si>
  <si>
    <t>3) Dopravný výkon na tratiach projektu</t>
  </si>
  <si>
    <t>interiér</t>
  </si>
  <si>
    <t>1.3 Náklady na modernizáciu vozidiel</t>
  </si>
  <si>
    <t>Náklady na jednotku v EUR</t>
  </si>
  <si>
    <t>Počet  jednotiek</t>
  </si>
  <si>
    <t>Spolu v EUR</t>
  </si>
  <si>
    <t>iné technologické komponenty</t>
  </si>
  <si>
    <t xml:space="preserve">ročný počet cestujúcich vlakmi projektu </t>
  </si>
  <si>
    <t>4.1A Štatistické údaje</t>
  </si>
  <si>
    <t xml:space="preserve">tržby za vlaky projektu </t>
  </si>
  <si>
    <t>súčasná ponúkaná kapacita jedného spoja</t>
  </si>
  <si>
    <t>priemerná vzdialenosť/ osobu km</t>
  </si>
  <si>
    <t>tržby na osobu</t>
  </si>
  <si>
    <t>tržby na osobokm v EUR</t>
  </si>
  <si>
    <t>TRAŤ</t>
  </si>
  <si>
    <t>4.2A Prognóza počtu cestujúcich</t>
  </si>
  <si>
    <t>4.3A Príjmy z cestovného</t>
  </si>
  <si>
    <t>Hodnota zlepšenia hodnotenia atribútov vlaku od 60 % do 70 %</t>
  </si>
  <si>
    <t>Vo vlaku</t>
  </si>
  <si>
    <t>cestovné</t>
  </si>
  <si>
    <t xml:space="preserve">Atribút vlaku                                        </t>
  </si>
  <si>
    <t xml:space="preserve">Čas min </t>
  </si>
  <si>
    <t>centov</t>
  </si>
  <si>
    <t xml:space="preserve">Vonkajší vzhľad vlaku </t>
  </si>
  <si>
    <t>Pohodlie nástupu do vlaku</t>
  </si>
  <si>
    <t xml:space="preserve"> 3.2</t>
  </si>
  <si>
    <t xml:space="preserve">Pohodlie sedadla </t>
  </si>
  <si>
    <t xml:space="preserve">Plynulosť jazdy </t>
  </si>
  <si>
    <t xml:space="preserve">Kúrenie a klimatizácia </t>
  </si>
  <si>
    <t xml:space="preserve">Osvetlenie </t>
  </si>
  <si>
    <t xml:space="preserve">Čistota </t>
  </si>
  <si>
    <t xml:space="preserve">Graffiti </t>
  </si>
  <si>
    <t xml:space="preserve">Hlásenia vo vlaku </t>
  </si>
  <si>
    <t xml:space="preserve"> 2.3</t>
  </si>
  <si>
    <t>Dizajn a rozmiestnenie</t>
  </si>
  <si>
    <t xml:space="preserve"> 5.6</t>
  </si>
  <si>
    <t xml:space="preserve">Súčet atribútov </t>
  </si>
  <si>
    <t xml:space="preserve">Celkovo vlak </t>
  </si>
  <si>
    <t>Zdroj: Douglas Economics L Rating_2ndAnalysis_1.xls!Stat_Att</t>
  </si>
  <si>
    <t>ekvivalent vnímaného času na zlepšenie kvality</t>
  </si>
  <si>
    <t>prevedená doprava - kvalita</t>
  </si>
  <si>
    <t>4.4A osobo km</t>
  </si>
  <si>
    <t>4.5A osobo hod</t>
  </si>
  <si>
    <t>4.6A prevedení cestujúci z IAD</t>
  </si>
  <si>
    <t>4.7A Prognóza počtu cestujúcich</t>
  </si>
  <si>
    <t>4.8A Príjmy z cestovného</t>
  </si>
  <si>
    <t>časová elasticita v dopravnom prostriedku (medium)</t>
  </si>
  <si>
    <t>úsek trate</t>
  </si>
  <si>
    <t>počet ciest automobilom v cestnom úseku za 24 hodín *</t>
  </si>
  <si>
    <t>denný počet cestujúcich osôb            IAD</t>
  </si>
  <si>
    <t>ročný počet cestujúcich IAD</t>
  </si>
  <si>
    <t>Zdroj: Celoštátne sčítanie dopravy v roku 2022 - 2023, aktualizované 30.11.2023 počet osobných automobilov</t>
  </si>
  <si>
    <t>4.9A osobo km</t>
  </si>
  <si>
    <t>4.10A osobo hod existujúci cestujúci</t>
  </si>
  <si>
    <t>4.11A osobo hod prevedení z IAD</t>
  </si>
  <si>
    <t>priemerný cestovný čas v hod bez projektu</t>
  </si>
  <si>
    <t>priemerný cestovný čas v hod s projektom</t>
  </si>
  <si>
    <t>priemerná rýchlosť automobil*</t>
  </si>
  <si>
    <t>priemerná vzdialenosť automobil*</t>
  </si>
  <si>
    <t>4.12A osobo hod prevedení z IAD</t>
  </si>
  <si>
    <t xml:space="preserve">Náklady z dopravných nehôd (v EUR) </t>
  </si>
  <si>
    <t>smrteľné nehody</t>
  </si>
  <si>
    <t>ťažké zranenia</t>
  </si>
  <si>
    <t>ľahké zranenia</t>
  </si>
  <si>
    <t>Relatívna miera bezpečnosti</t>
  </si>
  <si>
    <t>Korekčný koeficient pre cestné nehody</t>
  </si>
  <si>
    <t>Relatívna miera bezpečnosti po úprave korekčným faktorom</t>
  </si>
  <si>
    <t>počet prepravených osôb</t>
  </si>
  <si>
    <t>preprava vo vzkm</t>
  </si>
  <si>
    <t>ťažké zranenie</t>
  </si>
  <si>
    <t>ľahké zranenie</t>
  </si>
  <si>
    <t>Počet cestujúcich automobilmi</t>
  </si>
  <si>
    <t>Výkony vo vzkm</t>
  </si>
  <si>
    <t>smrteľné zranenia</t>
  </si>
  <si>
    <t>z toho tranzitujúci cestujúci  na železničnú dopravu</t>
  </si>
  <si>
    <t>10A.2 Nehody v cestnej doprave celkom po úprave korekčným faktorom</t>
  </si>
  <si>
    <t>obsadenosť (automobil)</t>
  </si>
  <si>
    <t>cestovná vzdialenosť v km (automobil)</t>
  </si>
  <si>
    <t>smrteľná nehoda</t>
  </si>
  <si>
    <t>10A.5   Výkony vo vzkm na jednu nehodu - automobil</t>
  </si>
  <si>
    <t>10A.6  Náklady na nehodovosť - automobilová doprava</t>
  </si>
  <si>
    <t>počet prepravených osôb v r. 2023</t>
  </si>
  <si>
    <t>10A.7  Náklady na nehodovosť - automobilová doprava</t>
  </si>
  <si>
    <t>4.13A osobo km prevedení z IAD</t>
  </si>
  <si>
    <t>Extravilán</t>
  </si>
  <si>
    <t>Železničná doprava</t>
  </si>
  <si>
    <t>Cestná doprava</t>
  </si>
  <si>
    <t>EJ</t>
  </si>
  <si>
    <r>
      <t>CO</t>
    </r>
    <r>
      <rPr>
        <vertAlign val="sub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(elektromobilita)</t>
    </r>
  </si>
  <si>
    <t>8A.1  Spotreba PHM - benzín (v litroch)</t>
  </si>
  <si>
    <t>8A.2  Spotreba PHM - nafta (v litroch)</t>
  </si>
  <si>
    <t>8A.3  Spotreba E (v kWh)</t>
  </si>
  <si>
    <t>Spotreba PHM/E (litre resp. kWh pre elektrický pohon) na cestách ekvivalentných k tratiam projektu</t>
  </si>
  <si>
    <t>priemerná rýchlosť vlaku km/hod bez projektu</t>
  </si>
  <si>
    <t>8A. Dodatočná spotreba PHM - benzín (v litroch)</t>
  </si>
  <si>
    <t>8A.5 Dodatočná spotreba PHM - nafta (v litroch)</t>
  </si>
  <si>
    <t>8A.6  Dodatočná spotreba E (v kWh)</t>
  </si>
  <si>
    <t>9A.1 Jazdný čas vozidiel (hodiny)</t>
  </si>
  <si>
    <t>Osobné automobily - benzín</t>
  </si>
  <si>
    <t>9A.2  Jazdný čas vozidiel (hodiny)</t>
  </si>
  <si>
    <t>Osobné automobily - nafta</t>
  </si>
  <si>
    <t>Osobné automobily - elektrina</t>
  </si>
  <si>
    <t>9A.3  Jazdný čas vozidiel (hodiny)</t>
  </si>
  <si>
    <t>9A.4 Jazdná vzdialenosť (km)</t>
  </si>
  <si>
    <t>9A.5 Jazdná vzdialenosť (km)</t>
  </si>
  <si>
    <t>9A.6 Jazdná vzdialenosť (km)</t>
  </si>
  <si>
    <t>13a A.1 Jazdná vzdialenosť (vlakové kilometre)</t>
  </si>
  <si>
    <t>13a A.2 Jazdná vzdialenosť (vlakové kilometre)</t>
  </si>
  <si>
    <t>13a A.3 Jazdná vzdialenosť (vlakové kilometre)</t>
  </si>
  <si>
    <t>13a A.4 Jazdná vzdialenosť (vlakové kilometre)</t>
  </si>
  <si>
    <t>13b A.1 Jazdná vzdialenosť (kilometre)</t>
  </si>
  <si>
    <t>13b A.2 Jazdná vzdialenosť (kilometre)</t>
  </si>
  <si>
    <t>13b A.3 Jazdná vzdialenosť (kilometre)</t>
  </si>
  <si>
    <t>13b A.4 Jazdná vzdialenosť (kilometre)</t>
  </si>
  <si>
    <t xml:space="preserve">Jazdná vzdialenosť vozidiel na cestách ekvivalentných tratiam projektu - na základe podielu druhu dopravy podľa typu územia </t>
  </si>
  <si>
    <t>Jazdný čas a jazdná vzdialenosť vozidiel na cestách ekvivalentných tratiam projektu - podľa kategórie vozidla</t>
  </si>
  <si>
    <t>11a A.1 Spotreba nafty vlakov (kilogramy)</t>
  </si>
  <si>
    <t>11a A.2 Spotreba nafty vlakov (kilogramy)</t>
  </si>
  <si>
    <t>11a_A.3 Množstvo emitovaných znečisťujúcich látok (kilogramy)</t>
  </si>
  <si>
    <t>11a_A.4 Množstvo emitovaných znečisťujúcich látok (kilogramy)</t>
  </si>
  <si>
    <t xml:space="preserve"> Množstvo emitovaných znečisťujúcich látok (kilogramy) na cestách ekvivalentných k tratiam projektu</t>
  </si>
  <si>
    <t>11b_A.1 Množstvo emitovaných znečisťujúcich látok (kilogramy)</t>
  </si>
  <si>
    <t>12b_A.1 Množstvo emitovaných skleníkových plynov (kilogramy)</t>
  </si>
  <si>
    <t xml:space="preserve"> Množstvo emitovaných skleníkových plynov (kilogramy) na cestách ekvivalentných k tratiam projektu</t>
  </si>
  <si>
    <r>
      <t>CO</t>
    </r>
    <r>
      <rPr>
        <b/>
        <vertAlign val="sub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(elektromobilita)</t>
    </r>
  </si>
  <si>
    <t>12a A.1 Spotreba elektrických vlakov (kWh)</t>
  </si>
  <si>
    <t>12a A.2 Spotreba elektrických vlakov (kWh)</t>
  </si>
  <si>
    <t>12a_A.3 Množstvo emitovaných skleníkových plynov naftových vlakov (kilogramy)</t>
  </si>
  <si>
    <t>12a_A.4 Množstvo emitovaných skleníkových plynov naftových vlakov (kilogramy)</t>
  </si>
  <si>
    <t>* odhad</t>
  </si>
  <si>
    <r>
      <t>PM</t>
    </r>
    <r>
      <rPr>
        <b/>
        <vertAlign val="subscript"/>
        <sz val="8"/>
        <rFont val="Arial"/>
        <family val="2"/>
        <charset val="238"/>
      </rPr>
      <t>2,5</t>
    </r>
    <r>
      <rPr>
        <b/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</si>
  <si>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b/>
        <vertAlign val="subscript"/>
        <sz val="8"/>
        <rFont val="Arial"/>
        <family val="2"/>
        <charset val="238"/>
      </rPr>
      <t>x</t>
    </r>
    <r>
      <rPr>
        <b/>
        <sz val="8"/>
        <rFont val="Arial"/>
        <family val="2"/>
        <charset val="238"/>
      </rPr>
      <t xml:space="preserve"> extravilány, intravilány obcí a miest</t>
    </r>
  </si>
  <si>
    <t>Zdroj: Online mapové služby Google Maps</t>
  </si>
  <si>
    <t>Prevádzkové výdavky -  bez projektu</t>
  </si>
  <si>
    <t>Prevádzkové výdavky za rok</t>
  </si>
  <si>
    <t>rok</t>
  </si>
  <si>
    <t>Komplexné náklady s prevádzkou</t>
  </si>
  <si>
    <t>Údržba a oprava   (interná/externá)</t>
  </si>
  <si>
    <t>Údržba a oprava   (servisná zmluva)</t>
  </si>
  <si>
    <t>Čistenie (interier/exterier)</t>
  </si>
  <si>
    <t>Správa a réžia</t>
  </si>
  <si>
    <t>Ostatné (IT systemy)</t>
  </si>
  <si>
    <t>Menšie násilné poškodenia</t>
  </si>
  <si>
    <t xml:space="preserve">Prenájom </t>
  </si>
  <si>
    <t>Súpravy MOV</t>
  </si>
  <si>
    <t>S PROJEKTOM NÁKUP</t>
  </si>
  <si>
    <t xml:space="preserve">1) Hodnota zlepšenia hodnotenia atribútov vlaku </t>
  </si>
  <si>
    <t>1 ks</t>
  </si>
  <si>
    <t xml:space="preserve">     Súpravy z vozňov MOV</t>
  </si>
  <si>
    <t>*cenová úroveň 2024</t>
  </si>
  <si>
    <t>% podiel obstarávacej ceny súpravy MOV*</t>
  </si>
  <si>
    <t>súpravy MOV</t>
  </si>
  <si>
    <t>Prevádzkové výdavky -  nákup</t>
  </si>
  <si>
    <t>7.1 Čas cestujúcich strávený cestovaním (existujúci cestujúci) v hod.</t>
  </si>
  <si>
    <t>7.2 Čas cestujúcich strávený cestovaním (prevedení cestujúci) v hod.</t>
  </si>
  <si>
    <t>7.3 Čas cestujúcich strávený cestovaním (cestujúci na nadväzujúcich úsekoch) v hod.</t>
  </si>
  <si>
    <t>A-200</t>
  </si>
  <si>
    <t>B-200 multi</t>
  </si>
  <si>
    <t>B-200</t>
  </si>
  <si>
    <t>Náklady na súpravu v EUR</t>
  </si>
  <si>
    <t>1.3 Náklady na NOV 200</t>
  </si>
  <si>
    <t>EMU 550</t>
  </si>
  <si>
    <t>% podiel obstarávacej ceny EMU 550</t>
  </si>
  <si>
    <t xml:space="preserve">     Súpravy MOV, EMU 550</t>
  </si>
  <si>
    <t>363KD/KR</t>
  </si>
  <si>
    <t>*cena súpravy MOV (10 vozňová) - kvalifikovaný odhad na základe prieskumu trhu na NOV 200</t>
  </si>
  <si>
    <t xml:space="preserve">     Súpravy MOV, NOV 200</t>
  </si>
  <si>
    <t>NOV 200</t>
  </si>
  <si>
    <t>osobokm za rok 2025</t>
  </si>
  <si>
    <t>obsadenosť v špičke  % 2025</t>
  </si>
  <si>
    <t>obsadenosť v sedle % 2025</t>
  </si>
  <si>
    <t>Bratislava - Košice</t>
  </si>
  <si>
    <t>Vyradené ŽKV</t>
  </si>
  <si>
    <t xml:space="preserve">Bratislava – Košice </t>
  </si>
  <si>
    <t>THU Košice</t>
  </si>
  <si>
    <t xml:space="preserve">Bratislava – Banská Bystrica </t>
  </si>
  <si>
    <t xml:space="preserve">Bratislava – Prievidza </t>
  </si>
  <si>
    <t xml:space="preserve">Zvolen - Košice </t>
  </si>
  <si>
    <t>Zvolen – Vrútky  - Žilina</t>
  </si>
  <si>
    <t>Primárna trať</t>
  </si>
  <si>
    <t>Bez projektu vlkm/rok</t>
  </si>
  <si>
    <t xml:space="preserve">S projektom vlkm/rok </t>
  </si>
  <si>
    <t>Linka GVD 2024/2025</t>
  </si>
  <si>
    <t xml:space="preserve">4) Hodnota zlepšenia hodnotenia atribútov vlaku </t>
  </si>
  <si>
    <t>5) Osobná doprava v území projektu IAD v roku 2023</t>
  </si>
  <si>
    <t>6) Podiel druhu dopravy podľa typu územia na tratiach/cestách projektu</t>
  </si>
  <si>
    <t xml:space="preserve">10A.1  Nehody na diaľniciach a cestách priľahlých k tratiam projektu (r. 2015 -  2024) </t>
  </si>
  <si>
    <t>Nehody v cestnej doprave (automobily)*</t>
  </si>
  <si>
    <t xml:space="preserve">Zdroj: Štatistika nehôd MV SR (topografická evidencia) - Prezídium policajného zboru SR, 2024, nehody  na diaľniciach (okrem  NR a BB samosprávneho kraja) a cestách priľahlých k tratiam projektu </t>
  </si>
  <si>
    <t>* kvalifikovaný odhad nehôd z jázd IAD, ktoré je možné nahradiť nočnou dopravou</t>
  </si>
  <si>
    <t xml:space="preserve">10A.3   Výkony automobilovej dopravy v  cestnom úseku BA - KE </t>
  </si>
  <si>
    <t xml:space="preserve">10A.4    Obsadenosť a cestovná  vzdialenosť v cestnom úseku BA - KE </t>
  </si>
  <si>
    <t>1.4 Náklady na 10-vozňovú súpravu NOV 200</t>
  </si>
  <si>
    <t>Priemerná spotreba osobných železničných koľajových vozidiel na linke Bratislava - Košice</t>
  </si>
  <si>
    <t>súčasná súprava</t>
  </si>
  <si>
    <t>Typ súpravy</t>
  </si>
  <si>
    <t>2) Údaje o priemernej spotrebe ŽKV</t>
  </si>
  <si>
    <t>3) Vybrané štatistické ukazovatele na linke Bratislava - Košice</t>
  </si>
  <si>
    <t>3.1A Štatistické údaje</t>
  </si>
  <si>
    <t>3.2A Prognóza počtu cestujúcich</t>
  </si>
  <si>
    <t>3.3A Príjmy z cestovného</t>
  </si>
  <si>
    <t>3.4A osobo km</t>
  </si>
  <si>
    <t>3.5A osobo hod</t>
  </si>
  <si>
    <t>3.6A Prognóza počtu cestujúcich</t>
  </si>
  <si>
    <t>3.7A Príjmy z cestovného</t>
  </si>
  <si>
    <t>3.8A osobo km</t>
  </si>
  <si>
    <t>3.9A osobo hod</t>
  </si>
  <si>
    <t>Bratislava - Košice (zohľadnený ekvivalent vnímaného času na zlepšenie kvality)</t>
  </si>
  <si>
    <t>priemerný cestovný čas v hod. automobil*</t>
  </si>
  <si>
    <t>Priemerné PV na 9-vozňovú súpravu*</t>
  </si>
  <si>
    <t>vlkm**/rok</t>
  </si>
  <si>
    <t>** 9-vozňová rýchliková súprava</t>
  </si>
  <si>
    <t>Priemerné PV za 9-vozňovú súpravu*</t>
  </si>
  <si>
    <t>Priemerné PV za EMU 550*</t>
  </si>
  <si>
    <t>Priemerné PV na 10-vozňovú súpravu*</t>
  </si>
  <si>
    <t>** 10-vozňová rýchliková súprava</t>
  </si>
  <si>
    <t>1010vlkm**/KD</t>
  </si>
  <si>
    <t>Počet  súprav</t>
  </si>
  <si>
    <t>Počet  vozňov</t>
  </si>
  <si>
    <t>Náklady na vozeň v EUR</t>
  </si>
  <si>
    <t>Finančná časť</t>
  </si>
  <si>
    <t>INV+10%</t>
  </si>
  <si>
    <t>INV-10%</t>
  </si>
  <si>
    <t>O&amp;M+10%</t>
  </si>
  <si>
    <t>O&amp;M-10%</t>
  </si>
  <si>
    <t>REV+10%</t>
  </si>
  <si>
    <t>REV-10%</t>
  </si>
  <si>
    <t>Zlomové hodnoty (kedy FNPV bude kladné)</t>
  </si>
  <si>
    <t>testINV</t>
  </si>
  <si>
    <t>testO&amp;M</t>
  </si>
  <si>
    <t>testREV</t>
  </si>
  <si>
    <t>t.j. INV výdavky by museli klesnúť minimálne o dané percento (bez zohľadnenie ZH, ktorá by pokesom investície tiež poklesla)</t>
  </si>
  <si>
    <t>t.j. O&amp;M výdavky by museli klesnúť o dané %</t>
  </si>
  <si>
    <t>Ekonomická časť</t>
  </si>
  <si>
    <t>VoT+10%</t>
  </si>
  <si>
    <t>VoT-10%</t>
  </si>
  <si>
    <t>CONS+10%</t>
  </si>
  <si>
    <t>CONS-10%</t>
  </si>
  <si>
    <t>O_VOC+10%</t>
  </si>
  <si>
    <t>O_VOC-10%</t>
  </si>
  <si>
    <t>SAFE+10%</t>
  </si>
  <si>
    <t>SAFE-10%</t>
  </si>
  <si>
    <t>EMIS+10%</t>
  </si>
  <si>
    <t>EMIS-10%</t>
  </si>
  <si>
    <t>CO2+10%</t>
  </si>
  <si>
    <t>CO2-10%</t>
  </si>
  <si>
    <t>NOISE+10%</t>
  </si>
  <si>
    <t>NOISE-10%</t>
  </si>
  <si>
    <t>Spotreba pohonných látok</t>
  </si>
  <si>
    <t>Ostatné prevádzkové náklady vozidiel</t>
  </si>
  <si>
    <t>Bezpečnosť</t>
  </si>
  <si>
    <t>Zlomové hodnoty (kedy ENPV záporné)</t>
  </si>
  <si>
    <t>testVoT</t>
  </si>
  <si>
    <t>testCONS</t>
  </si>
  <si>
    <t>testO_VOC</t>
  </si>
  <si>
    <t>testSAFE</t>
  </si>
  <si>
    <t>testEMIS</t>
  </si>
  <si>
    <t>testCO2</t>
  </si>
  <si>
    <t>testNOISE</t>
  </si>
  <si>
    <t>t.j. nárast/pokles INV o dané percento spôsobí ekonomickú nerentabilitu/rentabilitu investície (bez zohľadnenia zmeny ZH)</t>
  </si>
  <si>
    <t>t.j. nárast/pokles O&amp;M o dané percento spôsobí ekonomickú nerentabilitu/rentabilitu investície (bez zohľadnenia zmeny ZH)</t>
  </si>
  <si>
    <t>atď.</t>
  </si>
  <si>
    <t>ZH</t>
  </si>
  <si>
    <t>AR-200</t>
  </si>
  <si>
    <t>súprava (1 A + 1 B multi + 1 AR + 7 B)</t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</si>
  <si>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</si>
  <si>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r>
      <rPr>
        <sz val="8"/>
        <color rgb="FFED0000"/>
        <rFont val="Calibri"/>
        <family val="2"/>
        <charset val="238"/>
        <scheme val="minor"/>
      </rPr>
      <t>→</t>
    </r>
    <r>
      <rPr>
        <sz val="8"/>
        <color rgb="FFED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</si>
</sst>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  <numFmt numFmtId="172" formatCode="#,##0_ ;\-#,##0\ "/>
    <numFmt numFmtId="173" formatCode="#,##0.00_ ;\-#,##0.00\ "/>
    <numFmt numFmtId="174" formatCode="_-* #,##0_-;\-* #,##0_-;_-* &quot;-&quot;??_-;_-@_-"/>
  </numFmts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sz val="8"/>
      <color rgb="FF3399FF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8"/>
      <color theme="1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sz val="11"/>
      <color indexed="8"/>
      <name val="Arial Narrow"/>
      <family val="2"/>
      <charset val="238"/>
    </font>
    <font>
      <sz val="8"/>
      <color rgb="FF00000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Times New Roman"/>
      <family val="1"/>
      <charset val="238"/>
    </font>
    <font>
      <sz val="8"/>
      <color rgb="FF00B050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9"/>
      <color indexed="81"/>
      <name val="Segoe UI"/>
      <charset val="1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8"/>
      <color rgb="FFED0000"/>
      <name val="Arial"/>
      <family val="2"/>
      <charset val="238"/>
    </font>
    <font>
      <b/>
      <sz val="8"/>
      <color rgb="FFED000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sz val="8"/>
      <color rgb="FFED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9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762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7" fillId="0" borderId="2" xfId="0" applyFont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9" fontId="4" fillId="0" borderId="1" xfId="2" applyFont="1" applyFill="1" applyBorder="1"/>
    <xf numFmtId="164" fontId="4" fillId="0" borderId="0" xfId="0" applyNumberFormat="1" applyFont="1"/>
    <xf numFmtId="0" fontId="4" fillId="0" borderId="4" xfId="0" applyFont="1" applyBorder="1"/>
    <xf numFmtId="0" fontId="4" fillId="0" borderId="2" xfId="0" applyFont="1" applyBorder="1"/>
    <xf numFmtId="0" fontId="7" fillId="4" borderId="1" xfId="0" applyFont="1" applyFill="1" applyBorder="1"/>
    <xf numFmtId="0" fontId="4" fillId="0" borderId="3" xfId="0" applyFont="1" applyBorder="1"/>
    <xf numFmtId="0" fontId="4" fillId="0" borderId="0" xfId="1" applyFont="1"/>
    <xf numFmtId="0" fontId="4" fillId="0" borderId="1" xfId="1" applyFont="1" applyBorder="1"/>
    <xf numFmtId="0" fontId="7" fillId="0" borderId="1" xfId="1" applyFont="1" applyBorder="1"/>
    <xf numFmtId="0" fontId="6" fillId="0" borderId="1" xfId="1" applyFont="1" applyBorder="1"/>
    <xf numFmtId="0" fontId="7" fillId="3" borderId="1" xfId="1" applyFont="1" applyFill="1" applyBorder="1"/>
    <xf numFmtId="0" fontId="6" fillId="3" borderId="1" xfId="1" applyFont="1" applyFill="1" applyBorder="1"/>
    <xf numFmtId="0" fontId="7" fillId="0" borderId="0" xfId="1" applyFont="1"/>
    <xf numFmtId="164" fontId="4" fillId="0" borderId="1" xfId="1" applyNumberFormat="1" applyFont="1" applyBorder="1"/>
    <xf numFmtId="2" fontId="7" fillId="3" borderId="1" xfId="1" applyNumberFormat="1" applyFont="1" applyFill="1" applyBorder="1" applyAlignment="1">
      <alignment horizontal="center" wrapText="1"/>
    </xf>
    <xf numFmtId="0" fontId="4" fillId="0" borderId="4" xfId="1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9" fontId="4" fillId="0" borderId="4" xfId="2" applyFont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7" borderId="10" xfId="0" applyFont="1" applyFill="1" applyBorder="1"/>
    <xf numFmtId="0" fontId="4" fillId="7" borderId="12" xfId="0" applyFont="1" applyFill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0" xfId="0" applyFont="1" applyFill="1"/>
    <xf numFmtId="0" fontId="4" fillId="7" borderId="14" xfId="0" applyFont="1" applyFill="1" applyBorder="1"/>
    <xf numFmtId="0" fontId="4" fillId="7" borderId="15" xfId="0" applyFont="1" applyFill="1" applyBorder="1"/>
    <xf numFmtId="0" fontId="4" fillId="7" borderId="16" xfId="0" applyFont="1" applyFill="1" applyBorder="1"/>
    <xf numFmtId="0" fontId="4" fillId="7" borderId="17" xfId="0" applyFont="1" applyFill="1" applyBorder="1"/>
    <xf numFmtId="0" fontId="4" fillId="0" borderId="3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/>
    <xf numFmtId="167" fontId="4" fillId="0" borderId="1" xfId="0" applyNumberFormat="1" applyFont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169" fontId="4" fillId="6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9" fillId="0" borderId="1" xfId="2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9" fontId="10" fillId="0" borderId="3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9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1" fontId="10" fillId="0" borderId="1" xfId="0" applyNumberFormat="1" applyFont="1" applyBorder="1" applyAlignment="1">
      <alignment horizontal="center"/>
    </xf>
    <xf numFmtId="3" fontId="7" fillId="0" borderId="0" xfId="0" applyNumberFormat="1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/>
    <xf numFmtId="0" fontId="7" fillId="4" borderId="5" xfId="0" applyFont="1" applyFill="1" applyBorder="1"/>
    <xf numFmtId="0" fontId="4" fillId="5" borderId="1" xfId="0" applyFont="1" applyFill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2" borderId="1" xfId="0" applyNumberFormat="1" applyFont="1" applyFill="1" applyBorder="1"/>
    <xf numFmtId="164" fontId="4" fillId="2" borderId="1" xfId="1" applyNumberFormat="1" applyFont="1" applyFill="1" applyBorder="1"/>
    <xf numFmtId="164" fontId="7" fillId="0" borderId="1" xfId="1" applyNumberFormat="1" applyFont="1" applyBorder="1"/>
    <xf numFmtId="0" fontId="7" fillId="0" borderId="5" xfId="1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0" xfId="0" applyFont="1"/>
    <xf numFmtId="164" fontId="7" fillId="0" borderId="0" xfId="1" applyNumberFormat="1" applyFont="1"/>
    <xf numFmtId="0" fontId="4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/>
    <xf numFmtId="0" fontId="8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/>
    </xf>
    <xf numFmtId="3" fontId="7" fillId="10" borderId="6" xfId="0" applyNumberFormat="1" applyFont="1" applyFill="1" applyBorder="1"/>
    <xf numFmtId="3" fontId="4" fillId="9" borderId="8" xfId="0" applyNumberFormat="1" applyFont="1" applyFill="1" applyBorder="1"/>
    <xf numFmtId="3" fontId="7" fillId="9" borderId="6" xfId="0" applyNumberFormat="1" applyFont="1" applyFill="1" applyBorder="1"/>
    <xf numFmtId="3" fontId="4" fillId="10" borderId="9" xfId="0" applyNumberFormat="1" applyFont="1" applyFill="1" applyBorder="1"/>
    <xf numFmtId="0" fontId="7" fillId="9" borderId="1" xfId="0" applyFont="1" applyFill="1" applyBorder="1"/>
    <xf numFmtId="3" fontId="4" fillId="9" borderId="1" xfId="0" applyNumberFormat="1" applyFont="1" applyFill="1" applyBorder="1"/>
    <xf numFmtId="10" fontId="4" fillId="9" borderId="1" xfId="2" applyNumberFormat="1" applyFont="1" applyFill="1" applyBorder="1"/>
    <xf numFmtId="164" fontId="4" fillId="9" borderId="1" xfId="0" applyNumberFormat="1" applyFont="1" applyFill="1" applyBorder="1"/>
    <xf numFmtId="9" fontId="4" fillId="9" borderId="1" xfId="0" applyNumberFormat="1" applyFont="1" applyFill="1" applyBorder="1"/>
    <xf numFmtId="0" fontId="7" fillId="10" borderId="4" xfId="1" applyFont="1" applyFill="1" applyBorder="1"/>
    <xf numFmtId="164" fontId="7" fillId="10" borderId="1" xfId="1" applyNumberFormat="1" applyFont="1" applyFill="1" applyBorder="1"/>
    <xf numFmtId="164" fontId="7" fillId="10" borderId="7" xfId="1" applyNumberFormat="1" applyFont="1" applyFill="1" applyBorder="1"/>
    <xf numFmtId="0" fontId="7" fillId="9" borderId="4" xfId="1" applyFont="1" applyFill="1" applyBorder="1"/>
    <xf numFmtId="164" fontId="7" fillId="9" borderId="1" xfId="1" applyNumberFormat="1" applyFont="1" applyFill="1" applyBorder="1"/>
    <xf numFmtId="164" fontId="7" fillId="9" borderId="7" xfId="1" applyNumberFormat="1" applyFont="1" applyFill="1" applyBorder="1"/>
    <xf numFmtId="0" fontId="7" fillId="3" borderId="5" xfId="1" applyFont="1" applyFill="1" applyBorder="1" applyAlignment="1">
      <alignment wrapText="1"/>
    </xf>
    <xf numFmtId="0" fontId="7" fillId="9" borderId="1" xfId="1" applyFont="1" applyFill="1" applyBorder="1"/>
    <xf numFmtId="164" fontId="4" fillId="9" borderId="1" xfId="1" applyNumberFormat="1" applyFont="1" applyFill="1" applyBorder="1"/>
    <xf numFmtId="10" fontId="4" fillId="9" borderId="1" xfId="1" applyNumberFormat="1" applyFont="1" applyFill="1" applyBorder="1"/>
    <xf numFmtId="0" fontId="4" fillId="9" borderId="1" xfId="1" applyFont="1" applyFill="1" applyBorder="1"/>
    <xf numFmtId="3" fontId="7" fillId="10" borderId="4" xfId="0" applyNumberFormat="1" applyFont="1" applyFill="1" applyBorder="1"/>
    <xf numFmtId="164" fontId="7" fillId="10" borderId="1" xfId="0" applyNumberFormat="1" applyFont="1" applyFill="1" applyBorder="1"/>
    <xf numFmtId="164" fontId="7" fillId="10" borderId="7" xfId="0" applyNumberFormat="1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7" fillId="0" borderId="1" xfId="0" applyNumberFormat="1" applyFont="1" applyBorder="1"/>
    <xf numFmtId="164" fontId="7" fillId="4" borderId="5" xfId="0" applyNumberFormat="1" applyFont="1" applyFill="1" applyBorder="1"/>
    <xf numFmtId="164" fontId="7" fillId="4" borderId="1" xfId="0" applyNumberFormat="1" applyFont="1" applyFill="1" applyBorder="1"/>
    <xf numFmtId="17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7" fillId="10" borderId="1" xfId="0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0" xfId="0" applyFont="1" applyFill="1" applyBorder="1"/>
    <xf numFmtId="0" fontId="4" fillId="9" borderId="7" xfId="0" applyFont="1" applyFill="1" applyBorder="1" applyAlignment="1">
      <alignment horizont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9" fontId="6" fillId="6" borderId="1" xfId="0" applyNumberFormat="1" applyFont="1" applyFill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6" fillId="0" borderId="0" xfId="0" applyFont="1"/>
    <xf numFmtId="0" fontId="20" fillId="11" borderId="1" xfId="0" applyFont="1" applyFill="1" applyBorder="1"/>
    <xf numFmtId="3" fontId="20" fillId="11" borderId="1" xfId="0" applyNumberFormat="1" applyFont="1" applyFill="1" applyBorder="1"/>
    <xf numFmtId="0" fontId="16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0" fontId="7" fillId="0" borderId="5" xfId="0" applyFont="1" applyBorder="1"/>
    <xf numFmtId="0" fontId="4" fillId="0" borderId="5" xfId="0" applyFont="1" applyBorder="1"/>
    <xf numFmtId="3" fontId="4" fillId="0" borderId="5" xfId="0" applyNumberFormat="1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9" borderId="25" xfId="0" applyFont="1" applyFill="1" applyBorder="1"/>
    <xf numFmtId="0" fontId="7" fillId="9" borderId="26" xfId="0" applyFont="1" applyFill="1" applyBorder="1"/>
    <xf numFmtId="0" fontId="7" fillId="9" borderId="27" xfId="0" applyFont="1" applyFill="1" applyBorder="1"/>
    <xf numFmtId="0" fontId="7" fillId="9" borderId="28" xfId="0" applyFont="1" applyFill="1" applyBorder="1"/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7" fillId="0" borderId="3" xfId="0" applyNumberFormat="1" applyFont="1" applyBorder="1"/>
    <xf numFmtId="164" fontId="7" fillId="4" borderId="3" xfId="0" applyNumberFormat="1" applyFont="1" applyFill="1" applyBorder="1"/>
    <xf numFmtId="3" fontId="7" fillId="12" borderId="4" xfId="0" applyNumberFormat="1" applyFont="1" applyFill="1" applyBorder="1"/>
    <xf numFmtId="164" fontId="7" fillId="12" borderId="1" xfId="0" applyNumberFormat="1" applyFont="1" applyFill="1" applyBorder="1"/>
    <xf numFmtId="164" fontId="7" fillId="12" borderId="7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4" fillId="0" borderId="1" xfId="5" applyFont="1" applyBorder="1"/>
    <xf numFmtId="0" fontId="4" fillId="0" borderId="0" xfId="5" applyFont="1"/>
    <xf numFmtId="0" fontId="7" fillId="0" borderId="1" xfId="5" applyFont="1" applyBorder="1"/>
    <xf numFmtId="0" fontId="7" fillId="3" borderId="1" xfId="5" applyFont="1" applyFill="1" applyBorder="1"/>
    <xf numFmtId="0" fontId="7" fillId="3" borderId="1" xfId="5" applyFont="1" applyFill="1" applyBorder="1" applyAlignment="1">
      <alignment horizontal="center"/>
    </xf>
    <xf numFmtId="164" fontId="4" fillId="0" borderId="1" xfId="5" applyNumberFormat="1" applyFont="1" applyBorder="1"/>
    <xf numFmtId="164" fontId="4" fillId="2" borderId="1" xfId="5" applyNumberFormat="1" applyFont="1" applyFill="1" applyBorder="1"/>
    <xf numFmtId="0" fontId="6" fillId="0" borderId="1" xfId="5" applyFont="1" applyBorder="1"/>
    <xf numFmtId="0" fontId="6" fillId="3" borderId="1" xfId="5" applyFont="1" applyFill="1" applyBorder="1"/>
    <xf numFmtId="0" fontId="4" fillId="0" borderId="2" xfId="5" applyFont="1" applyBorder="1"/>
    <xf numFmtId="164" fontId="4" fillId="0" borderId="2" xfId="5" applyNumberFormat="1" applyFont="1" applyBorder="1"/>
    <xf numFmtId="0" fontId="4" fillId="0" borderId="3" xfId="5" applyFont="1" applyBorder="1"/>
    <xf numFmtId="164" fontId="4" fillId="0" borderId="29" xfId="5" applyNumberFormat="1" applyFont="1" applyBorder="1"/>
    <xf numFmtId="164" fontId="4" fillId="0" borderId="3" xfId="5" applyNumberFormat="1" applyFont="1" applyBorder="1"/>
    <xf numFmtId="3" fontId="4" fillId="0" borderId="0" xfId="5" applyNumberFormat="1" applyFont="1"/>
    <xf numFmtId="3" fontId="4" fillId="0" borderId="1" xfId="5" applyNumberFormat="1" applyFont="1" applyBorder="1"/>
    <xf numFmtId="3" fontId="7" fillId="6" borderId="4" xfId="5" applyNumberFormat="1" applyFont="1" applyFill="1" applyBorder="1"/>
    <xf numFmtId="164" fontId="7" fillId="6" borderId="1" xfId="5" applyNumberFormat="1" applyFont="1" applyFill="1" applyBorder="1"/>
    <xf numFmtId="164" fontId="7" fillId="6" borderId="7" xfId="5" applyNumberFormat="1" applyFont="1" applyFill="1" applyBorder="1"/>
    <xf numFmtId="0" fontId="7" fillId="0" borderId="1" xfId="5" applyFont="1" applyBorder="1" applyAlignment="1">
      <alignment horizontal="center"/>
    </xf>
    <xf numFmtId="3" fontId="7" fillId="8" borderId="4" xfId="5" applyNumberFormat="1" applyFont="1" applyFill="1" applyBorder="1"/>
    <xf numFmtId="164" fontId="7" fillId="8" borderId="1" xfId="5" applyNumberFormat="1" applyFont="1" applyFill="1" applyBorder="1"/>
    <xf numFmtId="164" fontId="7" fillId="8" borderId="7" xfId="5" applyNumberFormat="1" applyFont="1" applyFill="1" applyBorder="1"/>
    <xf numFmtId="0" fontId="6" fillId="0" borderId="0" xfId="5" applyFont="1"/>
    <xf numFmtId="0" fontId="7" fillId="0" borderId="1" xfId="5" applyFont="1" applyBorder="1" applyAlignment="1">
      <alignment wrapText="1"/>
    </xf>
    <xf numFmtId="0" fontId="4" fillId="0" borderId="0" xfId="6" applyFont="1"/>
    <xf numFmtId="0" fontId="4" fillId="0" borderId="1" xfId="6" applyFont="1" applyBorder="1"/>
    <xf numFmtId="0" fontId="7" fillId="0" borderId="1" xfId="6" applyFont="1" applyBorder="1"/>
    <xf numFmtId="0" fontId="6" fillId="0" borderId="1" xfId="6" applyFont="1" applyBorder="1"/>
    <xf numFmtId="0" fontId="7" fillId="3" borderId="1" xfId="6" applyFont="1" applyFill="1" applyBorder="1"/>
    <xf numFmtId="0" fontId="7" fillId="3" borderId="1" xfId="6" applyFont="1" applyFill="1" applyBorder="1" applyAlignment="1">
      <alignment horizontal="center"/>
    </xf>
    <xf numFmtId="0" fontId="6" fillId="3" borderId="1" xfId="6" applyFont="1" applyFill="1" applyBorder="1"/>
    <xf numFmtId="164" fontId="4" fillId="0" borderId="1" xfId="6" applyNumberFormat="1" applyFont="1" applyBorder="1"/>
    <xf numFmtId="164" fontId="4" fillId="2" borderId="1" xfId="6" applyNumberFormat="1" applyFont="1" applyFill="1" applyBorder="1"/>
    <xf numFmtId="164" fontId="7" fillId="0" borderId="1" xfId="6" applyNumberFormat="1" applyFont="1" applyBorder="1"/>
    <xf numFmtId="164" fontId="4" fillId="0" borderId="5" xfId="6" applyNumberFormat="1" applyFont="1" applyBorder="1"/>
    <xf numFmtId="0" fontId="7" fillId="6" borderId="4" xfId="6" applyFont="1" applyFill="1" applyBorder="1"/>
    <xf numFmtId="164" fontId="7" fillId="6" borderId="1" xfId="6" applyNumberFormat="1" applyFont="1" applyFill="1" applyBorder="1"/>
    <xf numFmtId="0" fontId="7" fillId="3" borderId="1" xfId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7" fillId="6" borderId="7" xfId="6" applyNumberFormat="1" applyFont="1" applyFill="1" applyBorder="1"/>
    <xf numFmtId="0" fontId="7" fillId="0" borderId="5" xfId="6" applyFont="1" applyBorder="1" applyAlignment="1">
      <alignment wrapText="1"/>
    </xf>
    <xf numFmtId="0" fontId="7" fillId="8" borderId="4" xfId="6" applyFont="1" applyFill="1" applyBorder="1"/>
    <xf numFmtId="164" fontId="7" fillId="8" borderId="1" xfId="6" applyNumberFormat="1" applyFont="1" applyFill="1" applyBorder="1"/>
    <xf numFmtId="164" fontId="7" fillId="8" borderId="7" xfId="6" applyNumberFormat="1" applyFont="1" applyFill="1" applyBorder="1"/>
    <xf numFmtId="0" fontId="4" fillId="0" borderId="1" xfId="6" applyFont="1" applyBorder="1" applyAlignment="1">
      <alignment horizontal="left"/>
    </xf>
    <xf numFmtId="0" fontId="4" fillId="0" borderId="4" xfId="6" applyFont="1" applyBorder="1"/>
    <xf numFmtId="168" fontId="4" fillId="9" borderId="1" xfId="6" applyNumberFormat="1" applyFont="1" applyFill="1" applyBorder="1" applyAlignment="1">
      <alignment horizontal="right"/>
    </xf>
    <xf numFmtId="3" fontId="4" fillId="13" borderId="0" xfId="0" applyNumberFormat="1" applyFont="1" applyFill="1"/>
    <xf numFmtId="0" fontId="4" fillId="13" borderId="0" xfId="0" applyFont="1" applyFill="1"/>
    <xf numFmtId="0" fontId="6" fillId="9" borderId="1" xfId="0" applyFont="1" applyFill="1" applyBorder="1"/>
    <xf numFmtId="0" fontId="4" fillId="0" borderId="0" xfId="7" applyFont="1"/>
    <xf numFmtId="0" fontId="7" fillId="0" borderId="0" xfId="0" applyFont="1" applyAlignment="1">
      <alignment horizontal="center"/>
    </xf>
    <xf numFmtId="3" fontId="4" fillId="0" borderId="7" xfId="0" applyNumberFormat="1" applyFont="1" applyBorder="1"/>
    <xf numFmtId="0" fontId="4" fillId="0" borderId="21" xfId="0" applyFont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7" fillId="16" borderId="1" xfId="0" applyFont="1" applyFill="1" applyBorder="1"/>
    <xf numFmtId="0" fontId="4" fillId="16" borderId="1" xfId="0" applyFont="1" applyFill="1" applyBorder="1"/>
    <xf numFmtId="0" fontId="7" fillId="16" borderId="1" xfId="0" applyFont="1" applyFill="1" applyBorder="1" applyAlignment="1">
      <alignment horizontal="center"/>
    </xf>
    <xf numFmtId="4" fontId="7" fillId="18" borderId="1" xfId="0" applyNumberFormat="1" applyFont="1" applyFill="1" applyBorder="1" applyAlignment="1">
      <alignment horizontal="right"/>
    </xf>
    <xf numFmtId="3" fontId="30" fillId="0" borderId="0" xfId="0" applyNumberFormat="1" applyFont="1"/>
    <xf numFmtId="0" fontId="7" fillId="0" borderId="28" xfId="0" applyFont="1" applyBorder="1" applyAlignment="1">
      <alignment horizontal="center" wrapText="1"/>
    </xf>
    <xf numFmtId="0" fontId="7" fillId="3" borderId="32" xfId="5" applyFont="1" applyFill="1" applyBorder="1" applyAlignment="1">
      <alignment horizontal="center" vertical="center"/>
    </xf>
    <xf numFmtId="0" fontId="7" fillId="3" borderId="31" xfId="5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4" xfId="5" applyNumberFormat="1" applyFont="1" applyBorder="1"/>
    <xf numFmtId="164" fontId="4" fillId="0" borderId="7" xfId="5" applyNumberFormat="1" applyFont="1" applyBorder="1"/>
    <xf numFmtId="0" fontId="4" fillId="3" borderId="1" xfId="5" applyFont="1" applyFill="1" applyBorder="1"/>
    <xf numFmtId="0" fontId="20" fillId="0" borderId="1" xfId="6" applyFont="1" applyBorder="1" applyAlignment="1">
      <alignment horizontal="left" indent="1"/>
    </xf>
    <xf numFmtId="164" fontId="20" fillId="0" borderId="1" xfId="1" applyNumberFormat="1" applyFont="1" applyBorder="1"/>
    <xf numFmtId="0" fontId="4" fillId="3" borderId="1" xfId="6" applyFont="1" applyFill="1" applyBorder="1"/>
    <xf numFmtId="0" fontId="7" fillId="0" borderId="0" xfId="5" applyFont="1"/>
    <xf numFmtId="0" fontId="7" fillId="0" borderId="0" xfId="5" applyFont="1" applyAlignment="1">
      <alignment horizontal="center"/>
    </xf>
    <xf numFmtId="164" fontId="4" fillId="0" borderId="0" xfId="5" applyNumberFormat="1" applyFont="1"/>
    <xf numFmtId="9" fontId="4" fillId="0" borderId="45" xfId="0" applyNumberFormat="1" applyFont="1" applyBorder="1" applyAlignment="1">
      <alignment horizontal="center"/>
    </xf>
    <xf numFmtId="164" fontId="4" fillId="0" borderId="0" xfId="1" applyNumberFormat="1" applyFont="1"/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1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9" fillId="3" borderId="1" xfId="0" applyFont="1" applyFill="1" applyBorder="1" applyAlignment="1">
      <alignment wrapText="1"/>
    </xf>
    <xf numFmtId="0" fontId="4" fillId="3" borderId="35" xfId="0" applyFont="1" applyFill="1" applyBorder="1"/>
    <xf numFmtId="0" fontId="29" fillId="3" borderId="31" xfId="0" applyFont="1" applyFill="1" applyBorder="1" applyAlignment="1">
      <alignment wrapText="1"/>
    </xf>
    <xf numFmtId="171" fontId="4" fillId="0" borderId="0" xfId="0" applyNumberFormat="1" applyFont="1"/>
    <xf numFmtId="0" fontId="7" fillId="0" borderId="0" xfId="0" applyFont="1" applyAlignment="1">
      <alignment horizontal="justify" vertical="center"/>
    </xf>
    <xf numFmtId="0" fontId="4" fillId="3" borderId="42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justify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justify" vertical="center"/>
    </xf>
    <xf numFmtId="2" fontId="4" fillId="0" borderId="32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justify" vertical="center"/>
    </xf>
    <xf numFmtId="2" fontId="4" fillId="0" borderId="37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14" borderId="31" xfId="0" applyFont="1" applyFill="1" applyBorder="1" applyAlignment="1">
      <alignment horizontal="justify" vertical="center"/>
    </xf>
    <xf numFmtId="2" fontId="4" fillId="14" borderId="3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2" fontId="4" fillId="0" borderId="0" xfId="0" applyNumberFormat="1" applyFont="1"/>
    <xf numFmtId="0" fontId="4" fillId="0" borderId="55" xfId="0" applyFont="1" applyBorder="1"/>
    <xf numFmtId="0" fontId="7" fillId="14" borderId="6" xfId="0" applyFont="1" applyFill="1" applyBorder="1"/>
    <xf numFmtId="0" fontId="33" fillId="0" borderId="0" xfId="0" applyFont="1"/>
    <xf numFmtId="0" fontId="34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vertical="center" wrapText="1"/>
    </xf>
    <xf numFmtId="0" fontId="7" fillId="3" borderId="5" xfId="0" applyFont="1" applyFill="1" applyBorder="1"/>
    <xf numFmtId="0" fontId="4" fillId="9" borderId="1" xfId="0" applyFont="1" applyFill="1" applyBorder="1" applyAlignment="1">
      <alignment vertical="center" wrapText="1"/>
    </xf>
    <xf numFmtId="10" fontId="4" fillId="0" borderId="1" xfId="12" applyNumberFormat="1" applyFont="1" applyFill="1" applyBorder="1" applyAlignment="1">
      <alignment horizontal="center"/>
    </xf>
    <xf numFmtId="0" fontId="4" fillId="0" borderId="40" xfId="0" applyFont="1" applyBorder="1"/>
    <xf numFmtId="0" fontId="7" fillId="3" borderId="7" xfId="0" applyFont="1" applyFill="1" applyBorder="1"/>
    <xf numFmtId="3" fontId="14" fillId="3" borderId="1" xfId="0" applyNumberFormat="1" applyFont="1" applyFill="1" applyBorder="1"/>
    <xf numFmtId="3" fontId="6" fillId="3" borderId="1" xfId="0" applyNumberFormat="1" applyFont="1" applyFill="1" applyBorder="1"/>
    <xf numFmtId="0" fontId="20" fillId="0" borderId="0" xfId="0" applyFont="1"/>
    <xf numFmtId="0" fontId="7" fillId="3" borderId="33" xfId="6" applyFont="1" applyFill="1" applyBorder="1" applyAlignment="1">
      <alignment horizontal="left" vertical="center"/>
    </xf>
    <xf numFmtId="0" fontId="7" fillId="3" borderId="19" xfId="6" applyFont="1" applyFill="1" applyBorder="1" applyAlignment="1">
      <alignment horizontal="left" vertical="center"/>
    </xf>
    <xf numFmtId="0" fontId="7" fillId="3" borderId="34" xfId="6" applyFont="1" applyFill="1" applyBorder="1" applyAlignment="1">
      <alignment horizontal="left" vertical="center"/>
    </xf>
    <xf numFmtId="0" fontId="7" fillId="3" borderId="30" xfId="6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164" fontId="4" fillId="3" borderId="1" xfId="5" applyNumberFormat="1" applyFont="1" applyFill="1" applyBorder="1"/>
    <xf numFmtId="164" fontId="7" fillId="14" borderId="1" xfId="5" applyNumberFormat="1" applyFont="1" applyFill="1" applyBorder="1"/>
    <xf numFmtId="0" fontId="7" fillId="20" borderId="0" xfId="6" applyFont="1" applyFill="1"/>
    <xf numFmtId="0" fontId="4" fillId="0" borderId="1" xfId="7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1" fontId="4" fillId="0" borderId="0" xfId="10" applyNumberFormat="1" applyFont="1" applyFill="1" applyBorder="1"/>
    <xf numFmtId="169" fontId="4" fillId="0" borderId="1" xfId="6" applyNumberFormat="1" applyFont="1" applyBorder="1" applyAlignment="1">
      <alignment horizontal="center"/>
    </xf>
    <xf numFmtId="169" fontId="4" fillId="0" borderId="1" xfId="7" applyNumberFormat="1" applyFont="1" applyBorder="1" applyAlignment="1">
      <alignment horizontal="center"/>
    </xf>
    <xf numFmtId="173" fontId="32" fillId="3" borderId="1" xfId="10" applyNumberFormat="1" applyFont="1" applyFill="1" applyBorder="1" applyAlignment="1">
      <alignment horizontal="center" vertical="center"/>
    </xf>
    <xf numFmtId="169" fontId="4" fillId="0" borderId="1" xfId="6" applyNumberFormat="1" applyFont="1" applyBorder="1"/>
    <xf numFmtId="3" fontId="4" fillId="0" borderId="1" xfId="6" applyNumberFormat="1" applyFont="1" applyBorder="1"/>
    <xf numFmtId="4" fontId="4" fillId="0" borderId="1" xfId="7" applyNumberFormat="1" applyFont="1" applyBorder="1"/>
    <xf numFmtId="0" fontId="32" fillId="23" borderId="1" xfId="7" applyFont="1" applyFill="1" applyBorder="1" applyAlignment="1">
      <alignment horizontal="center"/>
    </xf>
    <xf numFmtId="3" fontId="4" fillId="0" borderId="1" xfId="7" applyNumberFormat="1" applyFont="1" applyBorder="1" applyProtection="1">
      <protection locked="0"/>
    </xf>
    <xf numFmtId="3" fontId="7" fillId="0" borderId="1" xfId="6" applyNumberFormat="1" applyFont="1" applyBorder="1"/>
    <xf numFmtId="3" fontId="23" fillId="0" borderId="1" xfId="7" applyNumberFormat="1" applyFont="1" applyBorder="1"/>
    <xf numFmtId="0" fontId="4" fillId="0" borderId="1" xfId="7" applyFont="1" applyBorder="1" applyAlignment="1" applyProtection="1">
      <alignment horizontal="center" vertical="center" wrapText="1"/>
      <protection locked="0"/>
    </xf>
    <xf numFmtId="3" fontId="4" fillId="15" borderId="1" xfId="6" applyNumberFormat="1" applyFont="1" applyFill="1" applyBorder="1"/>
    <xf numFmtId="0" fontId="7" fillId="18" borderId="1" xfId="6" applyFont="1" applyFill="1" applyBorder="1"/>
    <xf numFmtId="3" fontId="7" fillId="18" borderId="1" xfId="6" applyNumberFormat="1" applyFont="1" applyFill="1" applyBorder="1"/>
    <xf numFmtId="0" fontId="7" fillId="0" borderId="0" xfId="6" applyFont="1"/>
    <xf numFmtId="3" fontId="7" fillId="0" borderId="0" xfId="6" applyNumberFormat="1" applyFont="1"/>
    <xf numFmtId="0" fontId="4" fillId="20" borderId="0" xfId="6" applyFont="1" applyFill="1"/>
    <xf numFmtId="0" fontId="36" fillId="0" borderId="0" xfId="6" applyFont="1"/>
    <xf numFmtId="0" fontId="6" fillId="0" borderId="0" xfId="7" applyFont="1"/>
    <xf numFmtId="172" fontId="4" fillId="0" borderId="0" xfId="6" applyNumberFormat="1" applyFont="1"/>
    <xf numFmtId="0" fontId="37" fillId="0" borderId="0" xfId="7" applyFont="1"/>
    <xf numFmtId="172" fontId="38" fillId="0" borderId="0" xfId="10" applyNumberFormat="1" applyFont="1" applyFill="1" applyBorder="1" applyAlignment="1">
      <alignment vertical="center"/>
    </xf>
    <xf numFmtId="172" fontId="37" fillId="0" borderId="0" xfId="6" applyNumberFormat="1" applyFont="1"/>
    <xf numFmtId="3" fontId="4" fillId="0" borderId="0" xfId="6" applyNumberFormat="1" applyFont="1"/>
    <xf numFmtId="0" fontId="39" fillId="0" borderId="0" xfId="7" applyFont="1"/>
    <xf numFmtId="3" fontId="4" fillId="0" borderId="0" xfId="7" applyNumberFormat="1" applyFont="1"/>
    <xf numFmtId="43" fontId="4" fillId="0" borderId="0" xfId="10" applyFont="1" applyAlignment="1">
      <alignment horizontal="right"/>
    </xf>
    <xf numFmtId="0" fontId="37" fillId="0" borderId="0" xfId="6" applyFont="1"/>
    <xf numFmtId="0" fontId="4" fillId="0" borderId="0" xfId="7" applyFont="1" applyProtection="1">
      <protection locked="0"/>
    </xf>
    <xf numFmtId="0" fontId="40" fillId="0" borderId="0" xfId="7" applyFont="1" applyAlignment="1">
      <alignment horizontal="center" vertical="center" wrapText="1"/>
    </xf>
    <xf numFmtId="0" fontId="37" fillId="0" borderId="0" xfId="7" applyFont="1" applyAlignment="1">
      <alignment horizontal="center" vertical="center" wrapText="1"/>
    </xf>
    <xf numFmtId="172" fontId="14" fillId="0" borderId="0" xfId="6" applyNumberFormat="1" applyFont="1"/>
    <xf numFmtId="0" fontId="32" fillId="0" borderId="0" xfId="7" applyFont="1" applyProtection="1">
      <protection locked="0"/>
    </xf>
    <xf numFmtId="0" fontId="7" fillId="3" borderId="5" xfId="6" applyFont="1" applyFill="1" applyBorder="1" applyAlignment="1">
      <alignment horizontal="left" vertical="center"/>
    </xf>
    <xf numFmtId="0" fontId="7" fillId="3" borderId="3" xfId="6" applyFont="1" applyFill="1" applyBorder="1" applyAlignment="1">
      <alignment horizontal="left" vertical="center"/>
    </xf>
    <xf numFmtId="0" fontId="7" fillId="3" borderId="4" xfId="6" applyFont="1" applyFill="1" applyBorder="1"/>
    <xf numFmtId="0" fontId="7" fillId="23" borderId="1" xfId="1" applyFont="1" applyFill="1" applyBorder="1"/>
    <xf numFmtId="0" fontId="4" fillId="23" borderId="1" xfId="6" applyFont="1" applyFill="1" applyBorder="1"/>
    <xf numFmtId="0" fontId="7" fillId="3" borderId="1" xfId="6" applyFont="1" applyFill="1" applyBorder="1" applyAlignment="1">
      <alignment horizontal="left" vertical="center"/>
    </xf>
    <xf numFmtId="0" fontId="4" fillId="0" borderId="55" xfId="0" applyFont="1" applyBorder="1" applyAlignment="1">
      <alignment horizontal="center"/>
    </xf>
    <xf numFmtId="0" fontId="3" fillId="0" borderId="0" xfId="5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3" fillId="0" borderId="0" xfId="5" applyAlignment="1">
      <alignment vertical="center" wrapText="1"/>
    </xf>
    <xf numFmtId="0" fontId="7" fillId="24" borderId="32" xfId="5" applyFont="1" applyFill="1" applyBorder="1" applyAlignment="1">
      <alignment horizontal="left" vertical="center" wrapText="1"/>
    </xf>
    <xf numFmtId="0" fontId="7" fillId="3" borderId="23" xfId="5" applyFont="1" applyFill="1" applyBorder="1" applyAlignment="1">
      <alignment horizontal="center" vertical="center"/>
    </xf>
    <xf numFmtId="0" fontId="7" fillId="24" borderId="1" xfId="5" applyFont="1" applyFill="1" applyBorder="1" applyAlignment="1">
      <alignment horizontal="left" vertical="center" wrapText="1"/>
    </xf>
    <xf numFmtId="0" fontId="4" fillId="24" borderId="1" xfId="5" applyFont="1" applyFill="1" applyBorder="1" applyAlignment="1">
      <alignment horizontal="center" vertical="center" wrapText="1"/>
    </xf>
    <xf numFmtId="3" fontId="4" fillId="2" borderId="1" xfId="5" applyNumberFormat="1" applyFont="1" applyFill="1" applyBorder="1"/>
    <xf numFmtId="0" fontId="7" fillId="24" borderId="36" xfId="5" applyFont="1" applyFill="1" applyBorder="1" applyAlignment="1">
      <alignment horizontal="center" vertical="center" wrapText="1"/>
    </xf>
    <xf numFmtId="3" fontId="7" fillId="24" borderId="37" xfId="5" applyNumberFormat="1" applyFont="1" applyFill="1" applyBorder="1" applyAlignment="1">
      <alignment horizontal="left" vertical="center" wrapText="1"/>
    </xf>
    <xf numFmtId="0" fontId="7" fillId="0" borderId="31" xfId="5" applyFont="1" applyBorder="1" applyAlignment="1">
      <alignment vertical="center"/>
    </xf>
    <xf numFmtId="0" fontId="7" fillId="0" borderId="32" xfId="5" applyFont="1" applyBorder="1" applyAlignment="1">
      <alignment vertical="center"/>
    </xf>
    <xf numFmtId="2" fontId="7" fillId="0" borderId="32" xfId="5" applyNumberFormat="1" applyFont="1" applyBorder="1" applyAlignment="1">
      <alignment horizontal="center" vertical="center"/>
    </xf>
    <xf numFmtId="3" fontId="7" fillId="0" borderId="32" xfId="5" applyNumberFormat="1" applyFont="1" applyBorder="1" applyAlignment="1">
      <alignment horizontal="right" vertical="center"/>
    </xf>
    <xf numFmtId="3" fontId="7" fillId="0" borderId="24" xfId="5" applyNumberFormat="1" applyFont="1" applyBorder="1" applyAlignment="1">
      <alignment horizontal="right" vertical="center"/>
    </xf>
    <xf numFmtId="0" fontId="7" fillId="0" borderId="8" xfId="5" applyFont="1" applyBorder="1" applyAlignment="1">
      <alignment vertical="center"/>
    </xf>
    <xf numFmtId="0" fontId="7" fillId="0" borderId="1" xfId="5" applyFont="1" applyBorder="1" applyAlignment="1">
      <alignment vertical="center"/>
    </xf>
    <xf numFmtId="2" fontId="7" fillId="0" borderId="1" xfId="5" applyNumberFormat="1" applyFont="1" applyBorder="1" applyAlignment="1">
      <alignment horizontal="center" vertical="center"/>
    </xf>
    <xf numFmtId="3" fontId="7" fillId="0" borderId="1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3" fontId="4" fillId="0" borderId="8" xfId="5" applyNumberFormat="1" applyFont="1" applyBorder="1" applyAlignment="1">
      <alignment vertical="center" wrapText="1"/>
    </xf>
    <xf numFmtId="3" fontId="4" fillId="0" borderId="1" xfId="5" applyNumberFormat="1" applyFont="1" applyBorder="1" applyAlignment="1">
      <alignment vertical="center" wrapText="1"/>
    </xf>
    <xf numFmtId="3" fontId="4" fillId="0" borderId="9" xfId="5" applyNumberFormat="1" applyFont="1" applyBorder="1" applyAlignment="1">
      <alignment vertical="center" wrapText="1"/>
    </xf>
    <xf numFmtId="2" fontId="7" fillId="3" borderId="1" xfId="5" applyNumberFormat="1" applyFont="1" applyFill="1" applyBorder="1" applyAlignment="1">
      <alignment horizontal="center" vertical="center" wrapText="1"/>
    </xf>
    <xf numFmtId="2" fontId="7" fillId="0" borderId="1" xfId="5" applyNumberFormat="1" applyFont="1" applyBorder="1" applyAlignment="1">
      <alignment horizontal="center" vertical="center" wrapText="1"/>
    </xf>
    <xf numFmtId="0" fontId="7" fillId="0" borderId="60" xfId="5" applyFont="1" applyBorder="1" applyAlignment="1">
      <alignment vertical="center"/>
    </xf>
    <xf numFmtId="0" fontId="7" fillId="0" borderId="2" xfId="5" applyFont="1" applyBorder="1" applyAlignment="1">
      <alignment vertical="center"/>
    </xf>
    <xf numFmtId="2" fontId="7" fillId="3" borderId="2" xfId="5" applyNumberFormat="1" applyFont="1" applyFill="1" applyBorder="1" applyAlignment="1">
      <alignment horizontal="center" vertical="center" wrapText="1"/>
    </xf>
    <xf numFmtId="3" fontId="4" fillId="3" borderId="60" xfId="5" applyNumberFormat="1" applyFont="1" applyFill="1" applyBorder="1" applyAlignment="1">
      <alignment horizontal="center" vertical="center" wrapText="1"/>
    </xf>
    <xf numFmtId="3" fontId="4" fillId="3" borderId="2" xfId="5" applyNumberFormat="1" applyFont="1" applyFill="1" applyBorder="1" applyAlignment="1">
      <alignment horizontal="center" vertical="center" wrapText="1"/>
    </xf>
    <xf numFmtId="3" fontId="4" fillId="3" borderId="61" xfId="5" applyNumberFormat="1" applyFont="1" applyFill="1" applyBorder="1" applyAlignment="1">
      <alignment horizontal="center" vertical="center" wrapText="1"/>
    </xf>
    <xf numFmtId="0" fontId="7" fillId="0" borderId="44" xfId="5" applyFont="1" applyBorder="1" applyAlignment="1">
      <alignment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center" vertical="center"/>
    </xf>
    <xf numFmtId="3" fontId="7" fillId="0" borderId="3" xfId="5" applyNumberFormat="1" applyFont="1" applyBorder="1" applyAlignment="1">
      <alignment horizontal="right" vertical="center"/>
    </xf>
    <xf numFmtId="3" fontId="7" fillId="0" borderId="45" xfId="5" applyNumberFormat="1" applyFont="1" applyBorder="1" applyAlignment="1">
      <alignment horizontal="right" vertical="center"/>
    </xf>
    <xf numFmtId="0" fontId="7" fillId="0" borderId="39" xfId="5" applyFont="1" applyBorder="1" applyAlignment="1">
      <alignment vertical="center"/>
    </xf>
    <xf numFmtId="3" fontId="4" fillId="0" borderId="0" xfId="5" applyNumberFormat="1" applyFont="1" applyAlignment="1">
      <alignment vertical="center"/>
    </xf>
    <xf numFmtId="0" fontId="4" fillId="24" borderId="8" xfId="5" applyFont="1" applyFill="1" applyBorder="1" applyAlignment="1">
      <alignment horizontal="center" vertical="center"/>
    </xf>
    <xf numFmtId="0" fontId="4" fillId="24" borderId="36" xfId="5" applyFont="1" applyFill="1" applyBorder="1" applyAlignment="1">
      <alignment horizontal="center" vertical="center" wrapText="1"/>
    </xf>
    <xf numFmtId="3" fontId="4" fillId="3" borderId="8" xfId="5" applyNumberFormat="1" applyFont="1" applyFill="1" applyBorder="1" applyAlignment="1">
      <alignment vertical="center" wrapText="1"/>
    </xf>
    <xf numFmtId="3" fontId="4" fillId="3" borderId="1" xfId="5" applyNumberFormat="1" applyFont="1" applyFill="1" applyBorder="1" applyAlignment="1">
      <alignment vertical="center" wrapText="1"/>
    </xf>
    <xf numFmtId="3" fontId="4" fillId="3" borderId="9" xfId="5" applyNumberFormat="1" applyFont="1" applyFill="1" applyBorder="1" applyAlignment="1">
      <alignment vertical="center" wrapText="1"/>
    </xf>
    <xf numFmtId="3" fontId="4" fillId="0" borderId="36" xfId="5" applyNumberFormat="1" applyFont="1" applyBorder="1" applyAlignment="1">
      <alignment vertical="center"/>
    </xf>
    <xf numFmtId="3" fontId="4" fillId="0" borderId="37" xfId="5" applyNumberFormat="1" applyFont="1" applyBorder="1" applyAlignment="1">
      <alignment vertical="center"/>
    </xf>
    <xf numFmtId="3" fontId="4" fillId="0" borderId="28" xfId="5" applyNumberFormat="1" applyFont="1" applyBorder="1" applyAlignment="1">
      <alignment vertical="center"/>
    </xf>
    <xf numFmtId="0" fontId="4" fillId="0" borderId="0" xfId="5" applyFont="1" applyAlignment="1">
      <alignment horizontal="center" vertical="center" wrapText="1"/>
    </xf>
    <xf numFmtId="3" fontId="7" fillId="3" borderId="1" xfId="5" applyNumberFormat="1" applyFont="1" applyFill="1" applyBorder="1" applyAlignment="1">
      <alignment vertical="center"/>
    </xf>
    <xf numFmtId="3" fontId="7" fillId="3" borderId="9" xfId="5" applyNumberFormat="1" applyFont="1" applyFill="1" applyBorder="1" applyAlignment="1">
      <alignment vertical="center"/>
    </xf>
    <xf numFmtId="3" fontId="7" fillId="3" borderId="1" xfId="5" applyNumberFormat="1" applyFont="1" applyFill="1" applyBorder="1" applyAlignment="1">
      <alignment horizontal="center" vertical="center" wrapText="1"/>
    </xf>
    <xf numFmtId="3" fontId="7" fillId="3" borderId="9" xfId="5" applyNumberFormat="1" applyFont="1" applyFill="1" applyBorder="1" applyAlignment="1">
      <alignment horizontal="center" vertical="center" wrapText="1"/>
    </xf>
    <xf numFmtId="3" fontId="7" fillId="3" borderId="2" xfId="5" applyNumberFormat="1" applyFont="1" applyFill="1" applyBorder="1" applyAlignment="1">
      <alignment horizontal="center" vertical="center" wrapText="1"/>
    </xf>
    <xf numFmtId="3" fontId="7" fillId="3" borderId="61" xfId="5" applyNumberFormat="1" applyFont="1" applyFill="1" applyBorder="1" applyAlignment="1">
      <alignment horizontal="center" vertical="center" wrapText="1"/>
    </xf>
    <xf numFmtId="0" fontId="7" fillId="0" borderId="36" xfId="5" applyFont="1" applyBorder="1" applyAlignment="1">
      <alignment vertical="center"/>
    </xf>
    <xf numFmtId="3" fontId="3" fillId="0" borderId="0" xfId="5" applyNumberFormat="1" applyAlignment="1">
      <alignment vertical="center"/>
    </xf>
    <xf numFmtId="3" fontId="7" fillId="0" borderId="1" xfId="5" applyNumberFormat="1" applyFont="1" applyBorder="1"/>
    <xf numFmtId="0" fontId="7" fillId="0" borderId="2" xfId="5" applyFont="1" applyBorder="1"/>
    <xf numFmtId="3" fontId="7" fillId="0" borderId="2" xfId="5" applyNumberFormat="1" applyFont="1" applyBorder="1"/>
    <xf numFmtId="0" fontId="7" fillId="0" borderId="3" xfId="5" applyFont="1" applyBorder="1"/>
    <xf numFmtId="3" fontId="7" fillId="0" borderId="3" xfId="5" applyNumberFormat="1" applyFont="1" applyBorder="1"/>
    <xf numFmtId="3" fontId="7" fillId="0" borderId="0" xfId="5" applyNumberFormat="1" applyFont="1" applyAlignment="1">
      <alignment horizontal="left"/>
    </xf>
    <xf numFmtId="3" fontId="7" fillId="0" borderId="28" xfId="5" applyNumberFormat="1" applyFont="1" applyBorder="1" applyAlignment="1">
      <alignment horizontal="right" vertical="center"/>
    </xf>
    <xf numFmtId="0" fontId="7" fillId="0" borderId="62" xfId="5" applyFont="1" applyBorder="1" applyAlignment="1">
      <alignment vertical="center"/>
    </xf>
    <xf numFmtId="0" fontId="7" fillId="0" borderId="63" xfId="5" applyFont="1" applyBorder="1" applyAlignment="1">
      <alignment vertical="center"/>
    </xf>
    <xf numFmtId="3" fontId="7" fillId="0" borderId="37" xfId="5" applyNumberFormat="1" applyFont="1" applyBorder="1" applyAlignment="1">
      <alignment horizontal="center" vertical="center"/>
    </xf>
    <xf numFmtId="3" fontId="7" fillId="0" borderId="9" xfId="5" applyNumberFormat="1" applyFont="1" applyBorder="1" applyAlignment="1">
      <alignment vertical="center"/>
    </xf>
    <xf numFmtId="0" fontId="7" fillId="0" borderId="64" xfId="5" applyFont="1" applyBorder="1" applyAlignment="1">
      <alignment vertical="center"/>
    </xf>
    <xf numFmtId="2" fontId="7" fillId="3" borderId="64" xfId="5" applyNumberFormat="1" applyFont="1" applyFill="1" applyBorder="1" applyAlignment="1">
      <alignment horizontal="center" vertical="center" wrapText="1"/>
    </xf>
    <xf numFmtId="3" fontId="7" fillId="3" borderId="64" xfId="5" applyNumberFormat="1" applyFont="1" applyFill="1" applyBorder="1" applyAlignment="1">
      <alignment horizontal="center" vertical="center" wrapText="1"/>
    </xf>
    <xf numFmtId="3" fontId="7" fillId="3" borderId="65" xfId="5" applyNumberFormat="1" applyFont="1" applyFill="1" applyBorder="1" applyAlignment="1">
      <alignment horizontal="center" vertical="center" wrapText="1"/>
    </xf>
    <xf numFmtId="3" fontId="4" fillId="0" borderId="0" xfId="5" applyNumberFormat="1" applyFont="1" applyAlignment="1">
      <alignment horizontal="center" vertical="center" wrapText="1"/>
    </xf>
    <xf numFmtId="3" fontId="4" fillId="3" borderId="31" xfId="5" applyNumberFormat="1" applyFont="1" applyFill="1" applyBorder="1" applyAlignment="1">
      <alignment vertical="center" wrapText="1"/>
    </xf>
    <xf numFmtId="3" fontId="7" fillId="0" borderId="1" xfId="5" applyNumberFormat="1" applyFont="1" applyBorder="1" applyAlignment="1">
      <alignment vertical="center"/>
    </xf>
    <xf numFmtId="3" fontId="7" fillId="0" borderId="1" xfId="5" applyNumberFormat="1" applyFont="1" applyBorder="1" applyAlignment="1">
      <alignment horizontal="right" vertical="center" wrapText="1"/>
    </xf>
    <xf numFmtId="3" fontId="7" fillId="0" borderId="9" xfId="5" applyNumberFormat="1" applyFont="1" applyBorder="1" applyAlignment="1">
      <alignment horizontal="right" vertical="center" wrapText="1"/>
    </xf>
    <xf numFmtId="3" fontId="7" fillId="3" borderId="64" xfId="5" applyNumberFormat="1" applyFont="1" applyFill="1" applyBorder="1" applyAlignment="1">
      <alignment horizontal="right" vertical="center"/>
    </xf>
    <xf numFmtId="3" fontId="7" fillId="3" borderId="65" xfId="5" applyNumberFormat="1" applyFont="1" applyFill="1" applyBorder="1" applyAlignment="1">
      <alignment vertical="center" wrapText="1"/>
    </xf>
    <xf numFmtId="0" fontId="4" fillId="13" borderId="42" xfId="0" applyFont="1" applyFill="1" applyBorder="1" applyAlignment="1">
      <alignment horizontal="center"/>
    </xf>
    <xf numFmtId="0" fontId="4" fillId="13" borderId="55" xfId="0" applyFont="1" applyFill="1" applyBorder="1" applyAlignment="1">
      <alignment horizontal="justify" vertical="center"/>
    </xf>
    <xf numFmtId="0" fontId="4" fillId="13" borderId="4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41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14" borderId="21" xfId="0" applyFont="1" applyFill="1" applyBorder="1" applyAlignment="1">
      <alignment horizontal="justify" vertical="center"/>
    </xf>
    <xf numFmtId="2" fontId="4" fillId="14" borderId="31" xfId="0" applyNumberFormat="1" applyFont="1" applyFill="1" applyBorder="1" applyAlignment="1">
      <alignment horizontal="center" vertical="center"/>
    </xf>
    <xf numFmtId="2" fontId="4" fillId="14" borderId="2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2" fontId="7" fillId="3" borderId="1" xfId="5" applyNumberFormat="1" applyFont="1" applyFill="1" applyBorder="1" applyAlignment="1">
      <alignment vertical="center"/>
    </xf>
    <xf numFmtId="9" fontId="4" fillId="0" borderId="52" xfId="0" applyNumberFormat="1" applyFont="1" applyBorder="1" applyAlignment="1">
      <alignment horizontal="center"/>
    </xf>
    <xf numFmtId="0" fontId="7" fillId="9" borderId="4" xfId="6" applyFont="1" applyFill="1" applyBorder="1"/>
    <xf numFmtId="164" fontId="7" fillId="9" borderId="7" xfId="6" applyNumberFormat="1" applyFont="1" applyFill="1" applyBorder="1"/>
    <xf numFmtId="164" fontId="7" fillId="9" borderId="1" xfId="6" applyNumberFormat="1" applyFont="1" applyFill="1" applyBorder="1"/>
    <xf numFmtId="0" fontId="7" fillId="10" borderId="4" xfId="6" applyFont="1" applyFill="1" applyBorder="1"/>
    <xf numFmtId="164" fontId="7" fillId="10" borderId="7" xfId="6" applyNumberFormat="1" applyFont="1" applyFill="1" applyBorder="1"/>
    <xf numFmtId="164" fontId="7" fillId="10" borderId="1" xfId="6" applyNumberFormat="1" applyFont="1" applyFill="1" applyBorder="1"/>
    <xf numFmtId="164" fontId="4" fillId="0" borderId="0" xfId="6" applyNumberFormat="1" applyFont="1"/>
    <xf numFmtId="0" fontId="4" fillId="9" borderId="1" xfId="6" applyFont="1" applyFill="1" applyBorder="1"/>
    <xf numFmtId="164" fontId="4" fillId="9" borderId="1" xfId="6" applyNumberFormat="1" applyFont="1" applyFill="1" applyBorder="1"/>
    <xf numFmtId="0" fontId="7" fillId="9" borderId="1" xfId="6" applyFont="1" applyFill="1" applyBorder="1"/>
    <xf numFmtId="164" fontId="7" fillId="0" borderId="0" xfId="6" applyNumberFormat="1" applyFont="1"/>
    <xf numFmtId="0" fontId="7" fillId="3" borderId="5" xfId="6" applyFont="1" applyFill="1" applyBorder="1" applyAlignment="1">
      <alignment wrapText="1"/>
    </xf>
    <xf numFmtId="2" fontId="7" fillId="3" borderId="1" xfId="6" applyNumberFormat="1" applyFont="1" applyFill="1" applyBorder="1" applyAlignment="1">
      <alignment horizontal="center" wrapText="1"/>
    </xf>
    <xf numFmtId="164" fontId="20" fillId="0" borderId="1" xfId="6" applyNumberFormat="1" applyFont="1" applyBorder="1"/>
    <xf numFmtId="10" fontId="4" fillId="9" borderId="1" xfId="6" applyNumberFormat="1" applyFont="1" applyFill="1" applyBorder="1"/>
    <xf numFmtId="0" fontId="7" fillId="0" borderId="1" xfId="5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23" borderId="1" xfId="6" applyFont="1" applyFill="1" applyBorder="1" applyAlignment="1">
      <alignment horizontal="center"/>
    </xf>
    <xf numFmtId="174" fontId="32" fillId="0" borderId="51" xfId="10" applyNumberFormat="1" applyFont="1" applyBorder="1" applyAlignment="1">
      <alignment horizontal="center" wrapText="1"/>
    </xf>
    <xf numFmtId="174" fontId="4" fillId="0" borderId="51" xfId="0" applyNumberFormat="1" applyFont="1" applyBorder="1"/>
    <xf numFmtId="0" fontId="4" fillId="3" borderId="31" xfId="0" applyFont="1" applyFill="1" applyBorder="1" applyAlignment="1">
      <alignment wrapText="1"/>
    </xf>
    <xf numFmtId="3" fontId="4" fillId="4" borderId="31" xfId="0" applyNumberFormat="1" applyFont="1" applyFill="1" applyBorder="1"/>
    <xf numFmtId="3" fontId="7" fillId="3" borderId="38" xfId="0" applyNumberFormat="1" applyFont="1" applyFill="1" applyBorder="1"/>
    <xf numFmtId="0" fontId="4" fillId="3" borderId="36" xfId="0" applyFont="1" applyFill="1" applyBorder="1" applyAlignment="1">
      <alignment horizontal="center" vertical="center"/>
    </xf>
    <xf numFmtId="0" fontId="30" fillId="0" borderId="0" xfId="6" applyFont="1"/>
    <xf numFmtId="0" fontId="23" fillId="3" borderId="33" xfId="7" applyFont="1" applyFill="1" applyBorder="1"/>
    <xf numFmtId="0" fontId="4" fillId="9" borderId="31" xfId="0" applyFont="1" applyFill="1" applyBorder="1" applyAlignment="1">
      <alignment vertical="center" wrapText="1"/>
    </xf>
    <xf numFmtId="0" fontId="7" fillId="3" borderId="5" xfId="6" applyFont="1" applyFill="1" applyBorder="1"/>
    <xf numFmtId="0" fontId="30" fillId="0" borderId="0" xfId="0" applyFont="1" applyAlignment="1">
      <alignment horizontal="center" wrapText="1"/>
    </xf>
    <xf numFmtId="0" fontId="30" fillId="0" borderId="0" xfId="0" applyFont="1"/>
    <xf numFmtId="4" fontId="30" fillId="0" borderId="0" xfId="0" applyNumberFormat="1" applyFont="1" applyAlignment="1">
      <alignment horizontal="right"/>
    </xf>
    <xf numFmtId="0" fontId="4" fillId="9" borderId="55" xfId="0" applyFont="1" applyFill="1" applyBorder="1" applyAlignment="1">
      <alignment vertical="center" wrapText="1"/>
    </xf>
    <xf numFmtId="3" fontId="4" fillId="0" borderId="51" xfId="0" applyNumberFormat="1" applyFont="1" applyBorder="1"/>
    <xf numFmtId="3" fontId="4" fillId="0" borderId="57" xfId="0" applyNumberFormat="1" applyFont="1" applyBorder="1"/>
    <xf numFmtId="3" fontId="4" fillId="0" borderId="67" xfId="0" applyNumberFormat="1" applyFont="1" applyBorder="1"/>
    <xf numFmtId="2" fontId="4" fillId="0" borderId="57" xfId="0" applyNumberFormat="1" applyFont="1" applyBorder="1"/>
    <xf numFmtId="0" fontId="4" fillId="0" borderId="52" xfId="0" applyFont="1" applyBorder="1"/>
    <xf numFmtId="0" fontId="4" fillId="0" borderId="0" xfId="0" applyFont="1" applyAlignment="1">
      <alignment horizontal="center" vertical="center" wrapText="1"/>
    </xf>
    <xf numFmtId="0" fontId="4" fillId="9" borderId="6" xfId="0" applyFont="1" applyFill="1" applyBorder="1" applyAlignment="1">
      <alignment vertical="center" wrapText="1"/>
    </xf>
    <xf numFmtId="3" fontId="4" fillId="0" borderId="51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170" fontId="4" fillId="0" borderId="55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70" fontId="4" fillId="0" borderId="5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55" xfId="0" applyNumberFormat="1" applyFont="1" applyBorder="1" applyAlignment="1">
      <alignment horizontal="center"/>
    </xf>
    <xf numFmtId="3" fontId="7" fillId="0" borderId="9" xfId="5" applyNumberFormat="1" applyFont="1" applyBorder="1" applyAlignment="1">
      <alignment horizontal="right" wrapText="1"/>
    </xf>
    <xf numFmtId="3" fontId="4" fillId="0" borderId="32" xfId="5" applyNumberFormat="1" applyFont="1" applyBorder="1" applyAlignment="1">
      <alignment vertical="center" wrapText="1"/>
    </xf>
    <xf numFmtId="3" fontId="4" fillId="0" borderId="24" xfId="5" applyNumberFormat="1" applyFont="1" applyBorder="1" applyAlignment="1">
      <alignment vertical="center" wrapText="1"/>
    </xf>
    <xf numFmtId="3" fontId="4" fillId="0" borderId="3" xfId="5" applyNumberFormat="1" applyFont="1" applyBorder="1" applyAlignment="1">
      <alignment vertical="center"/>
    </xf>
    <xf numFmtId="3" fontId="4" fillId="0" borderId="45" xfId="5" applyNumberFormat="1" applyFont="1" applyBorder="1" applyAlignment="1">
      <alignment vertical="center"/>
    </xf>
    <xf numFmtId="0" fontId="7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right" vertical="center" wrapText="1"/>
    </xf>
    <xf numFmtId="0" fontId="4" fillId="13" borderId="6" xfId="0" applyFont="1" applyFill="1" applyBorder="1" applyAlignment="1">
      <alignment vertical="center" wrapText="1"/>
    </xf>
    <xf numFmtId="0" fontId="4" fillId="13" borderId="21" xfId="0" applyFont="1" applyFill="1" applyBorder="1" applyAlignment="1">
      <alignment vertical="center" wrapText="1"/>
    </xf>
    <xf numFmtId="0" fontId="4" fillId="24" borderId="5" xfId="5" applyFont="1" applyFill="1" applyBorder="1" applyAlignment="1">
      <alignment horizontal="center" vertical="center" wrapText="1"/>
    </xf>
    <xf numFmtId="3" fontId="4" fillId="0" borderId="31" xfId="5" applyNumberFormat="1" applyFont="1" applyBorder="1" applyAlignment="1">
      <alignment vertical="center" wrapText="1"/>
    </xf>
    <xf numFmtId="3" fontId="4" fillId="0" borderId="44" xfId="5" applyNumberFormat="1" applyFont="1" applyBorder="1" applyAlignment="1">
      <alignment vertical="center"/>
    </xf>
    <xf numFmtId="3" fontId="7" fillId="3" borderId="8" xfId="5" applyNumberFormat="1" applyFont="1" applyFill="1" applyBorder="1" applyAlignment="1">
      <alignment horizontal="center" vertical="center" wrapText="1"/>
    </xf>
    <xf numFmtId="3" fontId="4" fillId="3" borderId="32" xfId="5" applyNumberFormat="1" applyFont="1" applyFill="1" applyBorder="1" applyAlignment="1">
      <alignment vertical="center" wrapText="1"/>
    </xf>
    <xf numFmtId="0" fontId="7" fillId="24" borderId="35" xfId="5" applyFont="1" applyFill="1" applyBorder="1" applyAlignment="1">
      <alignment horizontal="center" vertical="center" wrapText="1"/>
    </xf>
    <xf numFmtId="3" fontId="7" fillId="24" borderId="5" xfId="5" applyNumberFormat="1" applyFont="1" applyFill="1" applyBorder="1" applyAlignment="1">
      <alignment horizontal="left" vertical="center" wrapText="1"/>
    </xf>
    <xf numFmtId="0" fontId="7" fillId="0" borderId="37" xfId="5" applyFont="1" applyBorder="1" applyAlignment="1">
      <alignment vertical="center"/>
    </xf>
    <xf numFmtId="3" fontId="7" fillId="19" borderId="51" xfId="0" applyNumberFormat="1" applyFont="1" applyFill="1" applyBorder="1" applyAlignment="1">
      <alignment horizontal="center" vertical="center" wrapText="1"/>
    </xf>
    <xf numFmtId="3" fontId="7" fillId="19" borderId="57" xfId="0" applyNumberFormat="1" applyFont="1" applyFill="1" applyBorder="1" applyAlignment="1">
      <alignment horizontal="center" vertical="center" wrapText="1"/>
    </xf>
    <xf numFmtId="3" fontId="7" fillId="19" borderId="5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7" fillId="4" borderId="31" xfId="0" applyFont="1" applyFill="1" applyBorder="1" applyAlignment="1">
      <alignment horizontal="left"/>
    </xf>
    <xf numFmtId="10" fontId="7" fillId="4" borderId="32" xfId="0" applyNumberFormat="1" applyFont="1" applyFill="1" applyBorder="1"/>
    <xf numFmtId="10" fontId="7" fillId="4" borderId="24" xfId="0" applyNumberFormat="1" applyFont="1" applyFill="1" applyBorder="1"/>
    <xf numFmtId="0" fontId="7" fillId="4" borderId="36" xfId="0" applyFont="1" applyFill="1" applyBorder="1" applyAlignment="1">
      <alignment horizontal="left"/>
    </xf>
    <xf numFmtId="10" fontId="7" fillId="4" borderId="37" xfId="0" applyNumberFormat="1" applyFont="1" applyFill="1" applyBorder="1"/>
    <xf numFmtId="0" fontId="7" fillId="4" borderId="37" xfId="0" applyFont="1" applyFill="1" applyBorder="1"/>
    <xf numFmtId="10" fontId="7" fillId="4" borderId="28" xfId="0" applyNumberFormat="1" applyFont="1" applyFill="1" applyBorder="1"/>
    <xf numFmtId="0" fontId="4" fillId="3" borderId="42" xfId="0" applyFont="1" applyFill="1" applyBorder="1" applyAlignment="1">
      <alignment wrapText="1"/>
    </xf>
    <xf numFmtId="0" fontId="4" fillId="3" borderId="69" xfId="0" applyFont="1" applyFill="1" applyBorder="1"/>
    <xf numFmtId="3" fontId="4" fillId="6" borderId="42" xfId="0" applyNumberFormat="1" applyFont="1" applyFill="1" applyBorder="1"/>
    <xf numFmtId="3" fontId="7" fillId="3" borderId="54" xfId="0" applyNumberFormat="1" applyFont="1" applyFill="1" applyBorder="1"/>
    <xf numFmtId="3" fontId="4" fillId="0" borderId="19" xfId="0" applyNumberFormat="1" applyFont="1" applyBorder="1"/>
    <xf numFmtId="3" fontId="14" fillId="3" borderId="5" xfId="0" applyNumberFormat="1" applyFont="1" applyFill="1" applyBorder="1"/>
    <xf numFmtId="3" fontId="4" fillId="2" borderId="5" xfId="0" applyNumberFormat="1" applyFont="1" applyFill="1" applyBorder="1"/>
    <xf numFmtId="0" fontId="4" fillId="13" borderId="1" xfId="0" applyFont="1" applyFill="1" applyBorder="1" applyAlignment="1">
      <alignment vertical="center" wrapText="1"/>
    </xf>
    <xf numFmtId="171" fontId="4" fillId="0" borderId="52" xfId="0" applyNumberFormat="1" applyFont="1" applyBorder="1"/>
    <xf numFmtId="3" fontId="7" fillId="0" borderId="37" xfId="5" applyNumberFormat="1" applyFont="1" applyBorder="1" applyAlignment="1">
      <alignment horizontal="right" vertical="center"/>
    </xf>
    <xf numFmtId="0" fontId="7" fillId="3" borderId="1" xfId="5" applyFont="1" applyFill="1" applyBorder="1" applyAlignment="1">
      <alignment horizontal="center" vertical="center"/>
    </xf>
    <xf numFmtId="0" fontId="42" fillId="0" borderId="0" xfId="5" applyFont="1"/>
    <xf numFmtId="0" fontId="43" fillId="0" borderId="0" xfId="5" applyFont="1"/>
    <xf numFmtId="0" fontId="43" fillId="6" borderId="1" xfId="5" applyFont="1" applyFill="1" applyBorder="1" applyAlignment="1">
      <alignment horizontal="center"/>
    </xf>
    <xf numFmtId="0" fontId="43" fillId="0" borderId="1" xfId="5" applyFont="1" applyBorder="1"/>
    <xf numFmtId="3" fontId="43" fillId="0" borderId="4" xfId="5" applyNumberFormat="1" applyFont="1" applyBorder="1"/>
    <xf numFmtId="3" fontId="42" fillId="0" borderId="1" xfId="5" applyNumberFormat="1" applyFont="1" applyBorder="1"/>
    <xf numFmtId="3" fontId="43" fillId="0" borderId="1" xfId="5" applyNumberFormat="1" applyFont="1" applyBorder="1"/>
    <xf numFmtId="0" fontId="43" fillId="0" borderId="2" xfId="5" applyFont="1" applyBorder="1"/>
    <xf numFmtId="3" fontId="43" fillId="0" borderId="2" xfId="5" applyNumberFormat="1" applyFont="1" applyBorder="1"/>
    <xf numFmtId="0" fontId="42" fillId="0" borderId="3" xfId="5" applyFont="1" applyBorder="1"/>
    <xf numFmtId="3" fontId="43" fillId="0" borderId="3" xfId="5" applyNumberFormat="1" applyFont="1" applyBorder="1"/>
    <xf numFmtId="167" fontId="43" fillId="0" borderId="1" xfId="5" applyNumberFormat="1" applyFont="1" applyBorder="1"/>
    <xf numFmtId="10" fontId="43" fillId="0" borderId="1" xfId="5" applyNumberFormat="1" applyFont="1" applyBorder="1"/>
    <xf numFmtId="167" fontId="44" fillId="0" borderId="0" xfId="5" applyNumberFormat="1" applyFont="1"/>
    <xf numFmtId="167" fontId="43" fillId="0" borderId="0" xfId="5" applyNumberFormat="1" applyFont="1"/>
    <xf numFmtId="0" fontId="43" fillId="0" borderId="0" xfId="5" applyFont="1" applyAlignment="1">
      <alignment horizontal="center"/>
    </xf>
    <xf numFmtId="0" fontId="43" fillId="9" borderId="1" xfId="5" applyFont="1" applyFill="1" applyBorder="1" applyAlignment="1">
      <alignment horizontal="center"/>
    </xf>
    <xf numFmtId="0" fontId="43" fillId="0" borderId="1" xfId="6" applyFont="1" applyBorder="1"/>
    <xf numFmtId="3" fontId="43" fillId="0" borderId="4" xfId="6" applyNumberFormat="1" applyFont="1" applyBorder="1"/>
    <xf numFmtId="3" fontId="42" fillId="0" borderId="4" xfId="6" applyNumberFormat="1" applyFont="1" applyBorder="1"/>
    <xf numFmtId="3" fontId="43" fillId="0" borderId="1" xfId="6" applyNumberFormat="1" applyFont="1" applyBorder="1"/>
    <xf numFmtId="3" fontId="42" fillId="0" borderId="1" xfId="6" applyNumberFormat="1" applyFont="1" applyBorder="1"/>
    <xf numFmtId="0" fontId="43" fillId="0" borderId="2" xfId="6" applyFont="1" applyBorder="1"/>
    <xf numFmtId="3" fontId="43" fillId="0" borderId="2" xfId="6" applyNumberFormat="1" applyFont="1" applyBorder="1"/>
    <xf numFmtId="3" fontId="43" fillId="0" borderId="71" xfId="6" applyNumberFormat="1" applyFont="1" applyBorder="1"/>
    <xf numFmtId="0" fontId="42" fillId="0" borderId="3" xfId="6" applyFont="1" applyBorder="1"/>
    <xf numFmtId="3" fontId="42" fillId="0" borderId="34" xfId="6" applyNumberFormat="1" applyFont="1" applyBorder="1"/>
    <xf numFmtId="164" fontId="43" fillId="0" borderId="0" xfId="5" applyNumberFormat="1" applyFont="1"/>
    <xf numFmtId="0" fontId="45" fillId="0" borderId="0" xfId="5" applyFont="1"/>
    <xf numFmtId="0" fontId="45" fillId="0" borderId="0" xfId="5" applyFont="1" applyAlignment="1">
      <alignment horizontal="center"/>
    </xf>
    <xf numFmtId="3" fontId="45" fillId="0" borderId="0" xfId="5" applyNumberFormat="1" applyFont="1"/>
    <xf numFmtId="167" fontId="45" fillId="0" borderId="0" xfId="5" applyNumberFormat="1" applyFont="1"/>
    <xf numFmtId="3" fontId="43" fillId="0" borderId="34" xfId="5" applyNumberFormat="1" applyFont="1" applyBorder="1"/>
    <xf numFmtId="0" fontId="8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7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left" wrapText="1"/>
    </xf>
    <xf numFmtId="0" fontId="7" fillId="4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0" borderId="40" xfId="5" applyBorder="1" applyAlignment="1">
      <alignment horizontal="center" vertical="center" wrapText="1"/>
    </xf>
    <xf numFmtId="0" fontId="3" fillId="0" borderId="0" xfId="5" applyAlignment="1">
      <alignment horizontal="center" vertical="center" wrapText="1"/>
    </xf>
    <xf numFmtId="0" fontId="7" fillId="24" borderId="1" xfId="5" applyFont="1" applyFill="1" applyBorder="1" applyAlignment="1">
      <alignment horizontal="center" vertical="center" wrapText="1"/>
    </xf>
    <xf numFmtId="0" fontId="7" fillId="24" borderId="4" xfId="5" applyFont="1" applyFill="1" applyBorder="1" applyAlignment="1">
      <alignment horizontal="center" vertical="center" wrapText="1"/>
    </xf>
    <xf numFmtId="3" fontId="7" fillId="0" borderId="4" xfId="5" applyNumberFormat="1" applyFont="1" applyBorder="1" applyAlignment="1">
      <alignment horizontal="left"/>
    </xf>
    <xf numFmtId="3" fontId="7" fillId="0" borderId="20" xfId="5" applyNumberFormat="1" applyFont="1" applyBorder="1" applyAlignment="1">
      <alignment horizontal="left"/>
    </xf>
    <xf numFmtId="3" fontId="7" fillId="0" borderId="7" xfId="5" applyNumberFormat="1" applyFont="1" applyBorder="1" applyAlignment="1">
      <alignment horizontal="left"/>
    </xf>
    <xf numFmtId="0" fontId="7" fillId="24" borderId="46" xfId="5" applyFont="1" applyFill="1" applyBorder="1" applyAlignment="1">
      <alignment horizontal="center" vertical="center" wrapText="1"/>
    </xf>
    <xf numFmtId="0" fontId="7" fillId="24" borderId="44" xfId="5" applyFont="1" applyFill="1" applyBorder="1" applyAlignment="1">
      <alignment horizontal="center" vertical="center" wrapText="1"/>
    </xf>
    <xf numFmtId="0" fontId="4" fillId="24" borderId="32" xfId="5" applyFont="1" applyFill="1" applyBorder="1" applyAlignment="1">
      <alignment horizontal="center" vertical="center" wrapText="1"/>
    </xf>
    <xf numFmtId="0" fontId="4" fillId="24" borderId="1" xfId="5" applyFont="1" applyFill="1" applyBorder="1" applyAlignment="1">
      <alignment horizontal="center" vertical="center" wrapText="1"/>
    </xf>
    <xf numFmtId="0" fontId="4" fillId="24" borderId="5" xfId="5" applyFont="1" applyFill="1" applyBorder="1" applyAlignment="1">
      <alignment horizontal="center" vertical="center" wrapText="1"/>
    </xf>
    <xf numFmtId="0" fontId="4" fillId="24" borderId="47" xfId="5" applyFont="1" applyFill="1" applyBorder="1" applyAlignment="1">
      <alignment horizontal="center" vertical="center" wrapText="1"/>
    </xf>
    <xf numFmtId="0" fontId="4" fillId="24" borderId="29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40" xfId="5" applyFont="1" applyBorder="1" applyAlignment="1">
      <alignment horizontal="center" vertical="center" wrapText="1"/>
    </xf>
    <xf numFmtId="0" fontId="7" fillId="24" borderId="21" xfId="5" applyFont="1" applyFill="1" applyBorder="1" applyAlignment="1">
      <alignment horizontal="center" vertical="center" wrapText="1"/>
    </xf>
    <xf numFmtId="0" fontId="7" fillId="24" borderId="22" xfId="5" applyFont="1" applyFill="1" applyBorder="1" applyAlignment="1">
      <alignment horizontal="center" vertical="center" wrapText="1"/>
    </xf>
    <xf numFmtId="0" fontId="7" fillId="24" borderId="50" xfId="5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9" fontId="4" fillId="0" borderId="51" xfId="0" applyNumberFormat="1" applyFont="1" applyBorder="1" applyAlignment="1">
      <alignment horizontal="center"/>
    </xf>
    <xf numFmtId="9" fontId="4" fillId="0" borderId="57" xfId="0" applyNumberFormat="1" applyFont="1" applyBorder="1" applyAlignment="1">
      <alignment horizontal="center"/>
    </xf>
    <xf numFmtId="4" fontId="4" fillId="0" borderId="55" xfId="0" applyNumberFormat="1" applyFont="1" applyBorder="1" applyAlignment="1">
      <alignment horizontal="center"/>
    </xf>
    <xf numFmtId="4" fontId="4" fillId="0" borderId="56" xfId="0" applyNumberFormat="1" applyFont="1" applyBorder="1" applyAlignment="1">
      <alignment horizontal="center"/>
    </xf>
    <xf numFmtId="4" fontId="4" fillId="0" borderId="66" xfId="0" applyNumberFormat="1" applyFont="1" applyBorder="1" applyAlignment="1">
      <alignment horizontal="center"/>
    </xf>
    <xf numFmtId="0" fontId="4" fillId="24" borderId="39" xfId="5" applyFont="1" applyFill="1" applyBorder="1" applyAlignment="1">
      <alignment horizontal="center" vertical="center" wrapText="1"/>
    </xf>
    <xf numFmtId="0" fontId="7" fillId="24" borderId="23" xfId="5" applyFont="1" applyFill="1" applyBorder="1" applyAlignment="1">
      <alignment horizontal="center" vertical="center" wrapText="1"/>
    </xf>
    <xf numFmtId="9" fontId="4" fillId="0" borderId="55" xfId="0" applyNumberFormat="1" applyFont="1" applyBorder="1" applyAlignment="1">
      <alignment horizontal="center"/>
    </xf>
    <xf numFmtId="9" fontId="4" fillId="0" borderId="70" xfId="0" applyNumberFormat="1" applyFont="1" applyBorder="1" applyAlignment="1">
      <alignment horizontal="center"/>
    </xf>
    <xf numFmtId="0" fontId="4" fillId="0" borderId="49" xfId="5" applyFont="1" applyBorder="1" applyAlignment="1">
      <alignment horizontal="center" vertical="center" wrapText="1"/>
    </xf>
    <xf numFmtId="0" fontId="4" fillId="0" borderId="53" xfId="5" applyFont="1" applyBorder="1" applyAlignment="1">
      <alignment horizontal="center" vertical="center" wrapText="1"/>
    </xf>
    <xf numFmtId="0" fontId="4" fillId="0" borderId="68" xfId="5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5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 wrapText="1"/>
    </xf>
    <xf numFmtId="0" fontId="7" fillId="3" borderId="43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9" xfId="0" applyFont="1" applyFill="1" applyBorder="1" applyAlignment="1">
      <alignment horizontal="center" wrapText="1"/>
    </xf>
    <xf numFmtId="0" fontId="4" fillId="3" borderId="53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7" fillId="20" borderId="0" xfId="6" applyFont="1" applyFill="1" applyAlignment="1">
      <alignment horizontal="left"/>
    </xf>
    <xf numFmtId="1" fontId="4" fillId="23" borderId="1" xfId="10" applyNumberFormat="1" applyFont="1" applyFill="1" applyBorder="1" applyAlignment="1">
      <alignment horizontal="center"/>
    </xf>
    <xf numFmtId="0" fontId="4" fillId="23" borderId="1" xfId="6" applyFont="1" applyFill="1" applyBorder="1" applyAlignment="1">
      <alignment horizontal="center"/>
    </xf>
    <xf numFmtId="0" fontId="23" fillId="21" borderId="1" xfId="7" applyFont="1" applyFill="1" applyBorder="1" applyAlignment="1">
      <alignment horizontal="left" vertical="center" wrapText="1"/>
    </xf>
    <xf numFmtId="0" fontId="23" fillId="21" borderId="5" xfId="7" applyFont="1" applyFill="1" applyBorder="1" applyAlignment="1">
      <alignment horizontal="left" vertical="center" wrapText="1"/>
    </xf>
    <xf numFmtId="0" fontId="30" fillId="0" borderId="1" xfId="6" applyFont="1" applyBorder="1" applyAlignment="1">
      <alignment horizontal="center" wrapText="1"/>
    </xf>
    <xf numFmtId="0" fontId="4" fillId="23" borderId="4" xfId="6" applyFont="1" applyFill="1" applyBorder="1" applyAlignment="1">
      <alignment horizontal="center"/>
    </xf>
    <xf numFmtId="0" fontId="4" fillId="23" borderId="7" xfId="6" applyFont="1" applyFill="1" applyBorder="1" applyAlignment="1">
      <alignment horizontal="center"/>
    </xf>
    <xf numFmtId="0" fontId="4" fillId="22" borderId="1" xfId="7" applyFont="1" applyFill="1" applyBorder="1" applyAlignment="1">
      <alignment horizontal="center" vertical="center" wrapText="1"/>
    </xf>
    <xf numFmtId="3" fontId="4" fillId="23" borderId="1" xfId="7" applyNumberFormat="1" applyFont="1" applyFill="1" applyBorder="1" applyAlignment="1">
      <alignment horizontal="center" wrapText="1"/>
    </xf>
    <xf numFmtId="0" fontId="7" fillId="0" borderId="5" xfId="1" applyFont="1" applyBorder="1" applyAlignment="1">
      <alignment wrapText="1"/>
    </xf>
    <xf numFmtId="0" fontId="0" fillId="0" borderId="3" xfId="0" applyBorder="1"/>
    <xf numFmtId="0" fontId="7" fillId="0" borderId="5" xfId="6" applyFont="1" applyBorder="1" applyAlignment="1">
      <alignment wrapText="1"/>
    </xf>
    <xf numFmtId="0" fontId="3" fillId="0" borderId="3" xfId="5" applyBorder="1"/>
    <xf numFmtId="0" fontId="0" fillId="0" borderId="3" xfId="0" applyBorder="1" applyAlignment="1">
      <alignment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9" fontId="4" fillId="0" borderId="48" xfId="0" applyNumberFormat="1" applyFont="1" applyBorder="1" applyAlignment="1">
      <alignment horizontal="center"/>
    </xf>
    <xf numFmtId="9" fontId="4" fillId="0" borderId="30" xfId="0" applyNumberFormat="1" applyFont="1" applyBorder="1" applyAlignment="1">
      <alignment horizontal="center"/>
    </xf>
    <xf numFmtId="0" fontId="46" fillId="0" borderId="0" xfId="0" applyFont="1"/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/>
    <xf numFmtId="167" fontId="48" fillId="0" borderId="0" xfId="0" applyNumberFormat="1" applyFont="1"/>
    <xf numFmtId="10" fontId="48" fillId="0" borderId="0" xfId="0" applyNumberFormat="1" applyFont="1" applyAlignment="1">
      <alignment horizontal="center"/>
    </xf>
    <xf numFmtId="0" fontId="48" fillId="0" borderId="0" xfId="0" applyFont="1"/>
    <xf numFmtId="3" fontId="48" fillId="0" borderId="0" xfId="0" applyNumberFormat="1" applyFont="1"/>
    <xf numFmtId="3" fontId="48" fillId="3" borderId="1" xfId="0" applyNumberFormat="1" applyFont="1" applyFill="1" applyBorder="1"/>
    <xf numFmtId="0" fontId="49" fillId="3" borderId="1" xfId="0" applyFont="1" applyFill="1" applyBorder="1"/>
    <xf numFmtId="0" fontId="48" fillId="0" borderId="1" xfId="0" applyFont="1" applyBorder="1"/>
    <xf numFmtId="10" fontId="48" fillId="0" borderId="1" xfId="0" applyNumberFormat="1" applyFont="1" applyBorder="1"/>
    <xf numFmtId="0" fontId="48" fillId="0" borderId="0" xfId="6" applyFont="1"/>
    <xf numFmtId="0" fontId="48" fillId="0" borderId="0" xfId="7" applyFont="1" applyAlignment="1">
      <alignment horizontal="center"/>
    </xf>
    <xf numFmtId="0" fontId="48" fillId="0" borderId="0" xfId="7" applyFont="1"/>
    <xf numFmtId="0" fontId="48" fillId="0" borderId="1" xfId="6" applyFont="1" applyBorder="1" applyAlignment="1">
      <alignment horizontal="center" wrapText="1"/>
    </xf>
    <xf numFmtId="3" fontId="48" fillId="0" borderId="1" xfId="6" applyNumberFormat="1" applyFont="1" applyBorder="1"/>
    <xf numFmtId="0" fontId="49" fillId="0" borderId="1" xfId="1" applyFont="1" applyBorder="1"/>
    <xf numFmtId="0" fontId="48" fillId="0" borderId="0" xfId="0" applyFont="1" applyAlignment="1">
      <alignment horizontal="center"/>
    </xf>
    <xf numFmtId="0" fontId="49" fillId="0" borderId="1" xfId="6" applyFont="1" applyBorder="1"/>
  </cellXfs>
  <cellStyles count="13">
    <cellStyle name="Čiarka 2" xfId="10" xr:uid="{CF950170-8BFD-4E6D-9AB1-C1F40CA4DBCE}"/>
    <cellStyle name="Normal 10" xfId="4" xr:uid="{00000000-0005-0000-0000-000000000000}"/>
    <cellStyle name="Normal 9" xfId="8" xr:uid="{B4978C4D-AEDA-4E52-8FE7-12D8C1F553E8}"/>
    <cellStyle name="Normálna" xfId="0" builtinId="0"/>
    <cellStyle name="Normálna 2" xfId="3" xr:uid="{00000000-0005-0000-0000-000002000000}"/>
    <cellStyle name="Normálna 2 2" xfId="7" xr:uid="{D8712919-0151-44BD-9BD5-38395BAB4DA9}"/>
    <cellStyle name="Normálna 2 3" xfId="11" xr:uid="{DD208DC0-3C46-4515-BF09-AB4A1BBF983C}"/>
    <cellStyle name="Normálna 3" xfId="5" xr:uid="{00000000-0005-0000-0000-000003000000}"/>
    <cellStyle name="normálne 2" xfId="1" xr:uid="{00000000-0005-0000-0000-000004000000}"/>
    <cellStyle name="normálne 2 2" xfId="6" xr:uid="{00000000-0005-0000-0000-000005000000}"/>
    <cellStyle name="Percentá" xfId="2" builtinId="5"/>
    <cellStyle name="Percentá 2" xfId="9" xr:uid="{1055E57F-5DB2-4BEB-8355-0DD6CCA12E02}"/>
    <cellStyle name="Percentá 2 2" xfId="12" xr:uid="{DD75A034-BC45-4E52-99EE-B3FD4935E327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FFF"/>
      <color rgb="FF99FFCC"/>
      <color rgb="FFCCFF99"/>
      <color rgb="FFFFFFCC"/>
      <color rgb="FF99FF33"/>
      <color rgb="FFFFFF66"/>
      <color rgb="FF3399FF"/>
      <color rgb="FFFFFF00"/>
      <color rgb="FFCC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pustova.zuzana\Desktop\Pr&#237;loha_CBA%20BEMU_E&#352;_29.1.2025.xlsx" TargetMode="External"/><Relationship Id="rId1" Type="http://schemas.openxmlformats.org/officeDocument/2006/relationships/externalLinkPath" Target="https://slovakrail-my.sharepoint.com/personal/snajdarova_eva_slovakrail_sk/Documents/&#352;U/&#352;U-ZSSK-2025/NOV200/CBA/Pr&#237;loha_CBA%20BEMU_E&#352;_29.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pustova.zuzana\Desktop\Priloha_CBA_Stand_Tab_Cesty_rozsireny_2.xlsx" TargetMode="External"/><Relationship Id="rId1" Type="http://schemas.openxmlformats.org/officeDocument/2006/relationships/externalLinkPath" Target="https://slovakrail-my.sharepoint.com/Users/kapustova.zuzana/Desktop/Priloha_CBA_Stand_Tab_Cesty_rozsireny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e"/>
      <sheetName val="Vstupy"/>
      <sheetName val="01 Investičné výdavky"/>
      <sheetName val="02 Zostatková hodnota"/>
      <sheetName val="03 Prevádzkové výdavky"/>
      <sheetName val="03 A_Prevádzkové výdavky"/>
      <sheetName val="03 B Výdavky na obnovu"/>
      <sheetName val="04 Prevádzkové príjmy"/>
      <sheetName val="04A Prevádzkové príjmy"/>
      <sheetName val="05 Financovanie"/>
      <sheetName val="06 Finančná analýza"/>
      <sheetName val="07 Čas cestujúcich"/>
      <sheetName val="08 Spotreba PHM_E (cesty)"/>
      <sheetName val="09 Ostatné náklady (cesty)"/>
      <sheetName val="10 Bezpečnosť (cesty)"/>
      <sheetName val="10_A Bezpečnosť (cesty)"/>
      <sheetName val="11a Znečisťujúce látky (voz.)"/>
      <sheetName val="11b Znečisťujúce látky (cesty)"/>
      <sheetName val="12a Skleníkové plyny (voz.)"/>
      <sheetName val="12b Skleníkové plyny (cesty)"/>
      <sheetName val="13a Hluk (voz.)"/>
      <sheetName val="13b Hluk (cesty)"/>
      <sheetName val="14 Ekonomická analýza"/>
    </sheetNames>
    <sheetDataSet>
      <sheetData sheetId="0" refreshError="1">
        <row r="98">
          <cell r="C98">
            <v>0.72</v>
          </cell>
        </row>
        <row r="99">
          <cell r="C99">
            <v>0.82</v>
          </cell>
        </row>
        <row r="180">
          <cell r="C180">
            <v>0.60299999999999998</v>
          </cell>
        </row>
        <row r="181">
          <cell r="C181">
            <v>0.65300000000000002</v>
          </cell>
        </row>
        <row r="182">
          <cell r="C182">
            <v>0.20200000000000001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!!!"/>
      <sheetName val="Parametre"/>
      <sheetName val="Úseky 0"/>
      <sheetName val="Úseky 1"/>
      <sheetName val="Intenzity 0"/>
      <sheetName val="Intenzity 1"/>
      <sheetName val="Rýchlosti 0"/>
      <sheetName val="Rýchlosti 1"/>
      <sheetName val="01 Investičné výdavky"/>
      <sheetName val="02 Zostatková hodnota"/>
      <sheetName val="03 Prevádzkové výdavky"/>
      <sheetName val="04 Prevádzkové príjmy"/>
      <sheetName val="05 Financovanie"/>
      <sheetName val="06 Finančná analýza"/>
      <sheetName val="07 Čas cestujúcich"/>
      <sheetName val="08 Čas tovaru"/>
      <sheetName val="09 Spotreba PHM_E"/>
      <sheetName val="09-A(0)"/>
      <sheetName val="09-B(1)"/>
      <sheetName val="09-C(0)"/>
      <sheetName val="09-D(1)"/>
      <sheetName val="10 Ostatné náklady"/>
      <sheetName val="11 Bezpečnosť"/>
      <sheetName val="11-A(0)"/>
      <sheetName val="11-B(1)"/>
      <sheetName val="12 Znečisťujúce látky"/>
      <sheetName val="12-A(0)"/>
      <sheetName val="12-B(1)"/>
      <sheetName val="12-C(0)"/>
      <sheetName val="12-D(1)"/>
      <sheetName val="13 Skleníkové plyny"/>
      <sheetName val="13-A(0)"/>
      <sheetName val="13-B(1)"/>
      <sheetName val="14 Hluk"/>
      <sheetName val="14-A(0)"/>
      <sheetName val="14-B(1)"/>
      <sheetName val="15 Ekonomická analýza"/>
      <sheetName val="16 Analýza citlivo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239E-3E3B-41FB-9522-6B9382CFEA33}">
  <sheetPr>
    <tabColor rgb="FFFFFF00"/>
  </sheetPr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241"/>
  <sheetViews>
    <sheetView zoomScale="90" zoomScaleNormal="90" workbookViewId="0"/>
  </sheetViews>
  <sheetFormatPr defaultColWidth="6.85546875" defaultRowHeight="11.25" x14ac:dyDescent="0.2"/>
  <cols>
    <col min="1" max="1" width="2.85546875" style="2" customWidth="1"/>
    <col min="2" max="2" width="50.140625" style="2" customWidth="1"/>
    <col min="3" max="9" width="13.85546875" style="2" customWidth="1"/>
    <col min="10" max="43" width="7.85546875" style="2" customWidth="1"/>
    <col min="44" max="54" width="7.7109375" style="2" bestFit="1" customWidth="1"/>
    <col min="55" max="16384" width="6.85546875" style="2"/>
  </cols>
  <sheetData>
    <row r="1" spans="2:8" ht="12" thickBot="1" x14ac:dyDescent="0.25"/>
    <row r="2" spans="2:8" x14ac:dyDescent="0.2">
      <c r="B2" s="55" t="s">
        <v>2</v>
      </c>
      <c r="C2" s="56"/>
      <c r="D2" s="56"/>
      <c r="E2" s="56"/>
      <c r="F2" s="56"/>
      <c r="G2" s="56"/>
      <c r="H2" s="57"/>
    </row>
    <row r="3" spans="2:8" x14ac:dyDescent="0.2">
      <c r="B3" s="58" t="s">
        <v>295</v>
      </c>
      <c r="C3" s="59"/>
      <c r="D3" s="59"/>
      <c r="E3" s="59"/>
      <c r="F3" s="40"/>
      <c r="H3" s="60"/>
    </row>
    <row r="4" spans="2:8" x14ac:dyDescent="0.2">
      <c r="B4" s="58" t="s">
        <v>298</v>
      </c>
      <c r="C4" s="59"/>
      <c r="D4" s="59"/>
      <c r="E4" s="59"/>
      <c r="F4" s="59"/>
      <c r="G4" s="59"/>
      <c r="H4" s="60"/>
    </row>
    <row r="5" spans="2:8" x14ac:dyDescent="0.2">
      <c r="B5" s="58" t="s">
        <v>79</v>
      </c>
      <c r="C5" s="59"/>
      <c r="D5" s="59"/>
      <c r="E5" s="59"/>
      <c r="F5" s="59"/>
      <c r="G5" s="59"/>
      <c r="H5" s="60"/>
    </row>
    <row r="6" spans="2:8" ht="12" thickBot="1" x14ac:dyDescent="0.25">
      <c r="B6" s="61" t="s">
        <v>294</v>
      </c>
      <c r="C6" s="62"/>
      <c r="D6" s="62"/>
      <c r="E6" s="62"/>
      <c r="F6" s="62"/>
      <c r="G6" s="62"/>
      <c r="H6" s="63"/>
    </row>
    <row r="8" spans="2:8" ht="17.25" customHeight="1" x14ac:dyDescent="0.2">
      <c r="B8" s="623" t="s">
        <v>46</v>
      </c>
      <c r="C8" s="623"/>
    </row>
    <row r="9" spans="2:8" x14ac:dyDescent="0.2">
      <c r="B9" s="29" t="s">
        <v>3</v>
      </c>
      <c r="C9" s="41">
        <v>0.04</v>
      </c>
    </row>
    <row r="10" spans="2:8" x14ac:dyDescent="0.2">
      <c r="B10" s="3" t="s">
        <v>4</v>
      </c>
      <c r="C10" s="42">
        <v>0.05</v>
      </c>
    </row>
    <row r="11" spans="2:8" x14ac:dyDescent="0.2">
      <c r="B11" s="3" t="s">
        <v>5</v>
      </c>
      <c r="C11" s="18">
        <v>2024</v>
      </c>
      <c r="D11" s="2" t="s">
        <v>8</v>
      </c>
    </row>
    <row r="12" spans="2:8" x14ac:dyDescent="0.2">
      <c r="B12" s="3" t="s">
        <v>173</v>
      </c>
      <c r="C12" s="43">
        <f>'02 Zostatková hodnota NOV200'!E21</f>
        <v>40</v>
      </c>
      <c r="D12" s="2" t="s">
        <v>495</v>
      </c>
    </row>
    <row r="13" spans="2:8" x14ac:dyDescent="0.2">
      <c r="B13" s="3" t="s">
        <v>265</v>
      </c>
      <c r="C13" s="111">
        <v>2026</v>
      </c>
      <c r="D13" s="2" t="s">
        <v>174</v>
      </c>
    </row>
    <row r="14" spans="2:8" x14ac:dyDescent="0.2">
      <c r="B14" s="3" t="s">
        <v>266</v>
      </c>
      <c r="C14" s="111">
        <v>2031</v>
      </c>
      <c r="D14" s="743" t="s">
        <v>292</v>
      </c>
      <c r="E14" s="744">
        <f>C14+1</f>
        <v>2032</v>
      </c>
      <c r="F14" s="745" t="s">
        <v>293</v>
      </c>
    </row>
    <row r="15" spans="2:8" x14ac:dyDescent="0.2">
      <c r="B15" s="3" t="s">
        <v>303</v>
      </c>
      <c r="C15" s="18">
        <f>C14-C13+1</f>
        <v>6</v>
      </c>
      <c r="F15" s="742" t="s">
        <v>297</v>
      </c>
    </row>
    <row r="16" spans="2:8" x14ac:dyDescent="0.2">
      <c r="B16" s="3" t="s">
        <v>304</v>
      </c>
      <c r="C16" s="18">
        <f>40-C15</f>
        <v>34</v>
      </c>
      <c r="F16" s="129"/>
    </row>
    <row r="17" spans="2:54" x14ac:dyDescent="0.2">
      <c r="B17" s="3" t="s">
        <v>175</v>
      </c>
      <c r="C17" s="18">
        <f>C13+C12-1</f>
        <v>2065</v>
      </c>
    </row>
    <row r="18" spans="2:54" x14ac:dyDescent="0.2">
      <c r="B18" s="3" t="s">
        <v>6</v>
      </c>
      <c r="C18" s="43" t="s">
        <v>0</v>
      </c>
    </row>
    <row r="22" spans="2:54" x14ac:dyDescent="0.2">
      <c r="B22" s="623" t="s">
        <v>80</v>
      </c>
      <c r="C22" s="137"/>
      <c r="D22" s="138">
        <v>2024</v>
      </c>
      <c r="E22" s="138">
        <v>2025</v>
      </c>
      <c r="F22" s="138">
        <v>2026</v>
      </c>
      <c r="G22" s="138">
        <v>2027</v>
      </c>
      <c r="H22" s="138">
        <v>2028</v>
      </c>
      <c r="I22" s="138">
        <v>2029</v>
      </c>
      <c r="J22" s="138">
        <v>2030</v>
      </c>
      <c r="K22" s="138">
        <v>2031</v>
      </c>
      <c r="L22" s="138">
        <v>2032</v>
      </c>
      <c r="M22" s="138">
        <v>2033</v>
      </c>
      <c r="N22" s="138">
        <v>2034</v>
      </c>
      <c r="O22" s="138">
        <v>2035</v>
      </c>
      <c r="P22" s="138">
        <v>2036</v>
      </c>
      <c r="Q22" s="138">
        <v>2037</v>
      </c>
      <c r="R22" s="138">
        <v>2038</v>
      </c>
      <c r="S22" s="138">
        <v>2039</v>
      </c>
      <c r="T22" s="138">
        <v>2040</v>
      </c>
      <c r="U22" s="138">
        <v>2041</v>
      </c>
      <c r="V22" s="138">
        <v>2042</v>
      </c>
      <c r="W22" s="138">
        <v>2043</v>
      </c>
      <c r="X22" s="138">
        <v>2044</v>
      </c>
      <c r="Y22" s="138">
        <v>2045</v>
      </c>
      <c r="Z22" s="138">
        <v>2046</v>
      </c>
      <c r="AA22" s="138">
        <v>2047</v>
      </c>
      <c r="AB22" s="138">
        <v>2048</v>
      </c>
      <c r="AC22" s="138">
        <v>2049</v>
      </c>
      <c r="AD22" s="138">
        <v>2050</v>
      </c>
      <c r="AE22" s="138">
        <v>2051</v>
      </c>
      <c r="AF22" s="138">
        <v>2052</v>
      </c>
      <c r="AG22" s="138">
        <v>2053</v>
      </c>
      <c r="AH22" s="138">
        <v>2054</v>
      </c>
      <c r="AI22" s="138">
        <v>2055</v>
      </c>
      <c r="AJ22" s="138">
        <v>2056</v>
      </c>
      <c r="AK22" s="138">
        <v>2057</v>
      </c>
      <c r="AL22" s="138">
        <v>2058</v>
      </c>
      <c r="AM22" s="138">
        <v>2059</v>
      </c>
      <c r="AN22" s="138">
        <v>2060</v>
      </c>
      <c r="AO22" s="138">
        <v>2061</v>
      </c>
      <c r="AP22" s="138">
        <v>2062</v>
      </c>
      <c r="AQ22" s="138">
        <v>2063</v>
      </c>
      <c r="AR22" s="138">
        <v>2064</v>
      </c>
      <c r="AS22" s="138">
        <v>2065</v>
      </c>
      <c r="AT22" s="138">
        <v>2066</v>
      </c>
      <c r="AU22" s="138">
        <v>2067</v>
      </c>
      <c r="AV22" s="138">
        <v>2068</v>
      </c>
      <c r="AW22" s="138">
        <v>2069</v>
      </c>
      <c r="AX22" s="138">
        <v>2070</v>
      </c>
      <c r="AY22" s="138">
        <v>2071</v>
      </c>
      <c r="AZ22" s="138">
        <v>2072</v>
      </c>
      <c r="BA22" s="138">
        <v>2073</v>
      </c>
      <c r="BB22" s="138">
        <v>2074</v>
      </c>
    </row>
    <row r="23" spans="2:54" x14ac:dyDescent="0.2">
      <c r="B23" s="623" t="s">
        <v>37</v>
      </c>
      <c r="C23" s="3"/>
      <c r="D23" s="79">
        <v>2.7E-2</v>
      </c>
      <c r="E23" s="79">
        <v>2.8000000000000001E-2</v>
      </c>
      <c r="F23" s="79">
        <v>2.1000000000000001E-2</v>
      </c>
      <c r="G23" s="79">
        <v>1.7000000000000001E-2</v>
      </c>
      <c r="H23" s="79">
        <v>1.7999999999999999E-2</v>
      </c>
      <c r="I23" s="79">
        <v>1.6E-2</v>
      </c>
      <c r="J23" s="79">
        <v>1.6E-2</v>
      </c>
      <c r="K23" s="79">
        <v>1.4999999999999999E-2</v>
      </c>
      <c r="L23" s="79">
        <v>1.4999999999999999E-2</v>
      </c>
      <c r="M23" s="79">
        <v>1.4999999999999999E-2</v>
      </c>
      <c r="N23" s="79">
        <v>1.4999999999999999E-2</v>
      </c>
      <c r="O23" s="79">
        <v>1.4999999999999999E-2</v>
      </c>
      <c r="P23" s="79">
        <v>1.4999999999999999E-2</v>
      </c>
      <c r="Q23" s="79">
        <v>1.4999999999999999E-2</v>
      </c>
      <c r="R23" s="79">
        <v>1.4999999999999999E-2</v>
      </c>
      <c r="S23" s="79">
        <v>1.4999999999999999E-2</v>
      </c>
      <c r="T23" s="79">
        <v>1.4999999999999999E-2</v>
      </c>
      <c r="U23" s="79">
        <v>1.2999999999999999E-2</v>
      </c>
      <c r="V23" s="79">
        <v>1.2999999999999999E-2</v>
      </c>
      <c r="W23" s="79">
        <v>1.2999999999999999E-2</v>
      </c>
      <c r="X23" s="79">
        <v>1.2999999999999999E-2</v>
      </c>
      <c r="Y23" s="79">
        <v>1.2999999999999999E-2</v>
      </c>
      <c r="Z23" s="79">
        <v>1.2999999999999999E-2</v>
      </c>
      <c r="AA23" s="79">
        <v>1.2999999999999999E-2</v>
      </c>
      <c r="AB23" s="79">
        <v>1.2999999999999999E-2</v>
      </c>
      <c r="AC23" s="79">
        <v>1.2999999999999999E-2</v>
      </c>
      <c r="AD23" s="79">
        <v>1.2999999999999999E-2</v>
      </c>
      <c r="AE23" s="79">
        <v>1.2E-2</v>
      </c>
      <c r="AF23" s="79">
        <v>1.2E-2</v>
      </c>
      <c r="AG23" s="79">
        <v>1.2E-2</v>
      </c>
      <c r="AH23" s="79">
        <v>1.2E-2</v>
      </c>
      <c r="AI23" s="79">
        <v>1.2E-2</v>
      </c>
      <c r="AJ23" s="79">
        <v>1.2E-2</v>
      </c>
      <c r="AK23" s="79">
        <v>1.2E-2</v>
      </c>
      <c r="AL23" s="79">
        <v>1.2E-2</v>
      </c>
      <c r="AM23" s="79">
        <v>1.2E-2</v>
      </c>
      <c r="AN23" s="79">
        <v>1.2E-2</v>
      </c>
      <c r="AO23" s="79">
        <v>1.2999999999999999E-2</v>
      </c>
      <c r="AP23" s="79">
        <v>1.2999999999999999E-2</v>
      </c>
      <c r="AQ23" s="79">
        <v>1.2999999999999999E-2</v>
      </c>
      <c r="AR23" s="79">
        <v>1.2999999999999999E-2</v>
      </c>
      <c r="AS23" s="79">
        <v>1.2999999999999999E-2</v>
      </c>
      <c r="AT23" s="79">
        <v>1.2999999999999999E-2</v>
      </c>
      <c r="AU23" s="79">
        <v>1.2999999999999999E-2</v>
      </c>
      <c r="AV23" s="79">
        <v>1.2999999999999999E-2</v>
      </c>
      <c r="AW23" s="79">
        <v>1.2999999999999999E-2</v>
      </c>
      <c r="AX23" s="79">
        <v>1.2999999999999999E-2</v>
      </c>
      <c r="AY23" s="79">
        <v>1.2999999999999999E-2</v>
      </c>
      <c r="AZ23" s="79">
        <v>1.2999999999999999E-2</v>
      </c>
      <c r="BA23" s="79">
        <v>1.2999999999999999E-2</v>
      </c>
      <c r="BB23" s="79">
        <v>1.2999999999999999E-2</v>
      </c>
    </row>
    <row r="24" spans="2:54" x14ac:dyDescent="0.2">
      <c r="B24" s="1" t="s">
        <v>346</v>
      </c>
    </row>
    <row r="25" spans="2:54" x14ac:dyDescent="0.2">
      <c r="B25" s="1"/>
    </row>
    <row r="26" spans="2:54" x14ac:dyDescent="0.2">
      <c r="B26" s="629" t="s">
        <v>307</v>
      </c>
      <c r="C26" s="630" t="s">
        <v>306</v>
      </c>
      <c r="D26" s="630" t="s">
        <v>225</v>
      </c>
      <c r="E26" s="630"/>
      <c r="F26" s="630"/>
      <c r="G26" s="630"/>
      <c r="H26" s="630"/>
      <c r="I26" s="630"/>
    </row>
    <row r="27" spans="2:54" x14ac:dyDescent="0.2">
      <c r="B27" s="629"/>
      <c r="C27" s="630"/>
      <c r="D27" s="136" t="s">
        <v>229</v>
      </c>
      <c r="E27" s="136" t="s">
        <v>229</v>
      </c>
      <c r="F27" s="136" t="s">
        <v>229</v>
      </c>
      <c r="G27" s="136" t="s">
        <v>216</v>
      </c>
      <c r="H27" s="136" t="s">
        <v>229</v>
      </c>
      <c r="I27" s="136" t="s">
        <v>232</v>
      </c>
    </row>
    <row r="28" spans="2:54" ht="22.5" x14ac:dyDescent="0.2">
      <c r="B28" s="629"/>
      <c r="C28" s="630"/>
      <c r="D28" s="139" t="s">
        <v>230</v>
      </c>
      <c r="E28" s="139" t="s">
        <v>231</v>
      </c>
      <c r="F28" s="139" t="s">
        <v>239</v>
      </c>
      <c r="G28" s="139" t="s">
        <v>240</v>
      </c>
      <c r="H28" s="139" t="s">
        <v>240</v>
      </c>
      <c r="I28" s="139" t="s">
        <v>233</v>
      </c>
    </row>
    <row r="29" spans="2:54" x14ac:dyDescent="0.2">
      <c r="B29" s="130" t="s">
        <v>305</v>
      </c>
      <c r="C29" s="131" t="s">
        <v>226</v>
      </c>
      <c r="D29" s="270">
        <v>6.6</v>
      </c>
      <c r="E29" s="269">
        <v>7.9</v>
      </c>
      <c r="F29" s="269">
        <v>13.2</v>
      </c>
      <c r="G29" s="269">
        <v>9.6</v>
      </c>
      <c r="H29" s="269">
        <v>8.4</v>
      </c>
      <c r="I29" s="269">
        <v>7.5</v>
      </c>
    </row>
    <row r="30" spans="2:54" x14ac:dyDescent="0.2">
      <c r="B30" s="130" t="s">
        <v>267</v>
      </c>
      <c r="C30" s="131" t="s">
        <v>227</v>
      </c>
      <c r="D30" s="270">
        <v>79.7</v>
      </c>
      <c r="E30" s="269">
        <v>79.7</v>
      </c>
      <c r="F30" s="269">
        <v>95.6</v>
      </c>
      <c r="G30" s="269">
        <v>79.7</v>
      </c>
      <c r="H30" s="269">
        <v>79.7</v>
      </c>
      <c r="I30" s="269">
        <v>79.7</v>
      </c>
    </row>
    <row r="31" spans="2:54" x14ac:dyDescent="0.2">
      <c r="B31" s="1" t="s">
        <v>481</v>
      </c>
    </row>
    <row r="33" spans="2:5" ht="33.75" x14ac:dyDescent="0.2">
      <c r="B33" s="140" t="s">
        <v>271</v>
      </c>
      <c r="C33" s="136" t="s">
        <v>272</v>
      </c>
    </row>
    <row r="34" spans="2:5" x14ac:dyDescent="0.2">
      <c r="B34" s="134" t="s">
        <v>268</v>
      </c>
      <c r="C34" s="179">
        <v>2.75E-2</v>
      </c>
    </row>
    <row r="35" spans="2:5" x14ac:dyDescent="0.2">
      <c r="B35" s="134" t="s">
        <v>269</v>
      </c>
      <c r="C35" s="179">
        <v>1.8200000000000001E-2</v>
      </c>
    </row>
    <row r="36" spans="2:5" x14ac:dyDescent="0.2">
      <c r="B36" s="134" t="s">
        <v>270</v>
      </c>
      <c r="C36" s="179">
        <v>2.46E-2</v>
      </c>
    </row>
    <row r="37" spans="2:5" x14ac:dyDescent="0.2">
      <c r="B37" s="1" t="s">
        <v>72</v>
      </c>
    </row>
    <row r="39" spans="2:5" ht="17.25" customHeight="1" x14ac:dyDescent="0.2">
      <c r="B39" s="623" t="s">
        <v>7</v>
      </c>
      <c r="C39" s="623"/>
      <c r="E39" s="2" t="s">
        <v>96</v>
      </c>
    </row>
    <row r="40" spans="2:5" x14ac:dyDescent="0.2">
      <c r="B40" s="29" t="s">
        <v>65</v>
      </c>
      <c r="C40" s="74">
        <v>0.9</v>
      </c>
      <c r="E40" s="2" t="s">
        <v>97</v>
      </c>
    </row>
    <row r="41" spans="2:5" x14ac:dyDescent="0.2">
      <c r="B41" s="3" t="s">
        <v>94</v>
      </c>
      <c r="C41" s="75">
        <v>0.54</v>
      </c>
    </row>
    <row r="42" spans="2:5" x14ac:dyDescent="0.2">
      <c r="B42" s="3" t="s">
        <v>93</v>
      </c>
      <c r="C42" s="75">
        <v>0.64</v>
      </c>
    </row>
    <row r="43" spans="2:5" x14ac:dyDescent="0.2">
      <c r="B43" s="3" t="s">
        <v>308</v>
      </c>
      <c r="C43" s="75">
        <v>0.99</v>
      </c>
    </row>
    <row r="44" spans="2:5" x14ac:dyDescent="0.2">
      <c r="B44" s="3" t="s">
        <v>66</v>
      </c>
      <c r="C44" s="75">
        <v>1</v>
      </c>
    </row>
    <row r="45" spans="2:5" x14ac:dyDescent="0.2">
      <c r="B45" s="1" t="s">
        <v>309</v>
      </c>
      <c r="C45" s="78"/>
    </row>
    <row r="46" spans="2:5" x14ac:dyDescent="0.2">
      <c r="B46" s="1"/>
      <c r="C46" s="78"/>
    </row>
    <row r="47" spans="2:5" ht="17.25" customHeight="1" x14ac:dyDescent="0.2">
      <c r="B47" s="135" t="s">
        <v>95</v>
      </c>
      <c r="C47" s="180">
        <v>0.9</v>
      </c>
      <c r="E47" s="2" t="s">
        <v>98</v>
      </c>
    </row>
    <row r="48" spans="2:5" x14ac:dyDescent="0.2">
      <c r="B48" s="1" t="s">
        <v>309</v>
      </c>
    </row>
    <row r="50" spans="2:54" ht="34.5" customHeight="1" x14ac:dyDescent="0.2">
      <c r="B50" s="141" t="s">
        <v>67</v>
      </c>
      <c r="C50" s="142" t="s">
        <v>197</v>
      </c>
      <c r="D50" s="142" t="s">
        <v>68</v>
      </c>
      <c r="E50" s="142" t="s">
        <v>69</v>
      </c>
    </row>
    <row r="51" spans="2:54" x14ac:dyDescent="0.2">
      <c r="B51" s="3" t="s">
        <v>101</v>
      </c>
      <c r="C51" s="69">
        <v>7.2999999999999995E-2</v>
      </c>
      <c r="D51" s="69">
        <v>0.24399999999999999</v>
      </c>
      <c r="E51" s="69">
        <v>0.68300000000000005</v>
      </c>
      <c r="F51" s="746">
        <f>SUM(C51:E51)</f>
        <v>1</v>
      </c>
    </row>
    <row r="52" spans="2:54" x14ac:dyDescent="0.2">
      <c r="B52" s="3" t="s">
        <v>73</v>
      </c>
      <c r="C52" s="69">
        <v>3.6999999999999998E-2</v>
      </c>
      <c r="D52" s="69">
        <v>0.33800000000000002</v>
      </c>
      <c r="E52" s="69">
        <v>0.625</v>
      </c>
      <c r="F52" s="746">
        <f t="shared" ref="F52:F54" si="0">SUM(C52:E52)</f>
        <v>1</v>
      </c>
    </row>
    <row r="53" spans="2:54" x14ac:dyDescent="0.2">
      <c r="B53" s="3" t="s">
        <v>70</v>
      </c>
      <c r="C53" s="69">
        <v>3.7999999999999999E-2</v>
      </c>
      <c r="D53" s="69">
        <v>0.39200000000000002</v>
      </c>
      <c r="E53" s="69">
        <v>0.56999999999999995</v>
      </c>
      <c r="F53" s="746">
        <f t="shared" si="0"/>
        <v>1</v>
      </c>
    </row>
    <row r="54" spans="2:54" x14ac:dyDescent="0.2">
      <c r="B54" s="3" t="s">
        <v>102</v>
      </c>
      <c r="C54" s="69">
        <v>4.2999999999999997E-2</v>
      </c>
      <c r="D54" s="69">
        <v>0.25600000000000001</v>
      </c>
      <c r="E54" s="69">
        <v>0.70099999999999996</v>
      </c>
      <c r="F54" s="746">
        <f t="shared" si="0"/>
        <v>1</v>
      </c>
    </row>
    <row r="55" spans="2:54" x14ac:dyDescent="0.2">
      <c r="B55" s="1" t="s">
        <v>482</v>
      </c>
    </row>
    <row r="57" spans="2:54" ht="17.25" customHeight="1" x14ac:dyDescent="0.2">
      <c r="B57" s="143" t="s">
        <v>105</v>
      </c>
      <c r="C57" s="138">
        <v>2024</v>
      </c>
      <c r="D57" s="138">
        <v>2025</v>
      </c>
      <c r="E57" s="138">
        <v>2026</v>
      </c>
      <c r="F57" s="138">
        <v>2027</v>
      </c>
      <c r="G57" s="138">
        <v>2028</v>
      </c>
      <c r="H57" s="138">
        <v>2029</v>
      </c>
      <c r="I57" s="138">
        <v>2030</v>
      </c>
      <c r="J57" s="138">
        <v>2031</v>
      </c>
      <c r="K57" s="138">
        <v>2032</v>
      </c>
      <c r="L57" s="138">
        <v>2033</v>
      </c>
      <c r="M57" s="138">
        <v>2034</v>
      </c>
      <c r="N57" s="138">
        <v>2035</v>
      </c>
      <c r="O57" s="138">
        <v>2036</v>
      </c>
      <c r="P57" s="138">
        <v>2037</v>
      </c>
      <c r="Q57" s="138">
        <v>2038</v>
      </c>
      <c r="R57" s="138">
        <v>2039</v>
      </c>
      <c r="S57" s="138">
        <v>2040</v>
      </c>
      <c r="T57" s="138">
        <v>2041</v>
      </c>
      <c r="U57" s="138">
        <v>2042</v>
      </c>
      <c r="V57" s="138">
        <v>2043</v>
      </c>
      <c r="W57" s="138">
        <v>2044</v>
      </c>
      <c r="X57" s="138">
        <v>2045</v>
      </c>
      <c r="Y57" s="138">
        <v>2046</v>
      </c>
      <c r="Z57" s="138">
        <v>2047</v>
      </c>
      <c r="AA57" s="138">
        <v>2048</v>
      </c>
      <c r="AB57" s="138">
        <v>2049</v>
      </c>
      <c r="AC57" s="138">
        <v>2050</v>
      </c>
      <c r="AD57" s="138">
        <v>2051</v>
      </c>
      <c r="AE57" s="138">
        <v>2052</v>
      </c>
      <c r="AF57" s="138">
        <v>2053</v>
      </c>
      <c r="AG57" s="138">
        <v>2054</v>
      </c>
      <c r="AH57" s="138">
        <v>2055</v>
      </c>
      <c r="AI57" s="138">
        <v>2056</v>
      </c>
      <c r="AJ57" s="138">
        <v>2057</v>
      </c>
      <c r="AK57" s="138">
        <v>2058</v>
      </c>
      <c r="AL57" s="138">
        <v>2059</v>
      </c>
      <c r="AM57" s="138">
        <v>2060</v>
      </c>
      <c r="AN57" s="138">
        <v>2061</v>
      </c>
      <c r="AO57" s="138">
        <v>2062</v>
      </c>
      <c r="AP57" s="138">
        <v>2063</v>
      </c>
      <c r="AQ57" s="138">
        <v>2064</v>
      </c>
      <c r="AR57" s="138">
        <v>2065</v>
      </c>
      <c r="AS57" s="138">
        <v>2066</v>
      </c>
      <c r="AT57" s="138">
        <v>2067</v>
      </c>
      <c r="AU57" s="138">
        <v>2068</v>
      </c>
      <c r="AV57" s="138">
        <v>2069</v>
      </c>
      <c r="AW57" s="138">
        <v>2070</v>
      </c>
      <c r="AX57" s="138">
        <v>2071</v>
      </c>
      <c r="AY57" s="138">
        <v>2072</v>
      </c>
      <c r="AZ57" s="138">
        <v>2073</v>
      </c>
      <c r="BA57" s="138">
        <v>2074</v>
      </c>
      <c r="BB57" s="138">
        <v>2075</v>
      </c>
    </row>
    <row r="58" spans="2:54" x14ac:dyDescent="0.2">
      <c r="B58" s="64" t="s">
        <v>147</v>
      </c>
      <c r="C58" s="65">
        <v>20.83</v>
      </c>
      <c r="D58" s="65">
        <f>ROUND(C58*(1+(0.8*D23)),2)</f>
        <v>21.28</v>
      </c>
      <c r="E58" s="65">
        <f t="shared" ref="E58:BB58" si="1">ROUND(D58*(1+(0.8*E23)),2)</f>
        <v>21.76</v>
      </c>
      <c r="F58" s="65">
        <f t="shared" si="1"/>
        <v>22.13</v>
      </c>
      <c r="G58" s="65">
        <f t="shared" si="1"/>
        <v>22.43</v>
      </c>
      <c r="H58" s="65">
        <f t="shared" si="1"/>
        <v>22.75</v>
      </c>
      <c r="I58" s="65">
        <f t="shared" si="1"/>
        <v>23.04</v>
      </c>
      <c r="J58" s="65">
        <f t="shared" si="1"/>
        <v>23.33</v>
      </c>
      <c r="K58" s="65">
        <f t="shared" si="1"/>
        <v>23.61</v>
      </c>
      <c r="L58" s="65">
        <f t="shared" si="1"/>
        <v>23.89</v>
      </c>
      <c r="M58" s="65">
        <f t="shared" si="1"/>
        <v>24.18</v>
      </c>
      <c r="N58" s="65">
        <f t="shared" si="1"/>
        <v>24.47</v>
      </c>
      <c r="O58" s="65">
        <f t="shared" si="1"/>
        <v>24.76</v>
      </c>
      <c r="P58" s="65">
        <f t="shared" si="1"/>
        <v>25.06</v>
      </c>
      <c r="Q58" s="65">
        <f t="shared" si="1"/>
        <v>25.36</v>
      </c>
      <c r="R58" s="65">
        <f t="shared" si="1"/>
        <v>25.66</v>
      </c>
      <c r="S58" s="65">
        <f t="shared" si="1"/>
        <v>25.97</v>
      </c>
      <c r="T58" s="65">
        <f t="shared" si="1"/>
        <v>26.28</v>
      </c>
      <c r="U58" s="65">
        <f t="shared" si="1"/>
        <v>26.55</v>
      </c>
      <c r="V58" s="65">
        <f t="shared" si="1"/>
        <v>26.83</v>
      </c>
      <c r="W58" s="65">
        <f t="shared" si="1"/>
        <v>27.11</v>
      </c>
      <c r="X58" s="65">
        <f t="shared" si="1"/>
        <v>27.39</v>
      </c>
      <c r="Y58" s="65">
        <f t="shared" si="1"/>
        <v>27.67</v>
      </c>
      <c r="Z58" s="65">
        <f t="shared" si="1"/>
        <v>27.96</v>
      </c>
      <c r="AA58" s="65">
        <f t="shared" si="1"/>
        <v>28.25</v>
      </c>
      <c r="AB58" s="65">
        <f t="shared" si="1"/>
        <v>28.54</v>
      </c>
      <c r="AC58" s="65">
        <f t="shared" si="1"/>
        <v>28.84</v>
      </c>
      <c r="AD58" s="65">
        <f t="shared" si="1"/>
        <v>29.14</v>
      </c>
      <c r="AE58" s="65">
        <f t="shared" si="1"/>
        <v>29.42</v>
      </c>
      <c r="AF58" s="65">
        <f t="shared" si="1"/>
        <v>29.7</v>
      </c>
      <c r="AG58" s="65">
        <f t="shared" si="1"/>
        <v>29.99</v>
      </c>
      <c r="AH58" s="65">
        <f t="shared" si="1"/>
        <v>30.28</v>
      </c>
      <c r="AI58" s="65">
        <f t="shared" si="1"/>
        <v>30.57</v>
      </c>
      <c r="AJ58" s="65">
        <f t="shared" si="1"/>
        <v>30.86</v>
      </c>
      <c r="AK58" s="65">
        <f t="shared" si="1"/>
        <v>31.16</v>
      </c>
      <c r="AL58" s="65">
        <f t="shared" si="1"/>
        <v>31.46</v>
      </c>
      <c r="AM58" s="65">
        <f t="shared" si="1"/>
        <v>31.76</v>
      </c>
      <c r="AN58" s="65">
        <f t="shared" si="1"/>
        <v>32.06</v>
      </c>
      <c r="AO58" s="65">
        <f t="shared" si="1"/>
        <v>32.39</v>
      </c>
      <c r="AP58" s="65">
        <f t="shared" si="1"/>
        <v>32.729999999999997</v>
      </c>
      <c r="AQ58" s="65">
        <f t="shared" si="1"/>
        <v>33.07</v>
      </c>
      <c r="AR58" s="65">
        <f t="shared" si="1"/>
        <v>33.409999999999997</v>
      </c>
      <c r="AS58" s="65">
        <f t="shared" si="1"/>
        <v>33.76</v>
      </c>
      <c r="AT58" s="65">
        <f t="shared" si="1"/>
        <v>34.11</v>
      </c>
      <c r="AU58" s="65">
        <f t="shared" si="1"/>
        <v>34.46</v>
      </c>
      <c r="AV58" s="65">
        <f t="shared" si="1"/>
        <v>34.82</v>
      </c>
      <c r="AW58" s="65">
        <f t="shared" si="1"/>
        <v>35.18</v>
      </c>
      <c r="AX58" s="65">
        <f t="shared" si="1"/>
        <v>35.549999999999997</v>
      </c>
      <c r="AY58" s="65">
        <f t="shared" si="1"/>
        <v>35.92</v>
      </c>
      <c r="AZ58" s="65">
        <f t="shared" si="1"/>
        <v>36.29</v>
      </c>
      <c r="BA58" s="65">
        <f t="shared" si="1"/>
        <v>36.67</v>
      </c>
      <c r="BB58" s="65">
        <f t="shared" si="1"/>
        <v>37.049999999999997</v>
      </c>
    </row>
    <row r="59" spans="2:54" x14ac:dyDescent="0.2">
      <c r="B59" s="44" t="s">
        <v>103</v>
      </c>
      <c r="C59" s="66">
        <v>9.83</v>
      </c>
      <c r="D59" s="66">
        <f>ROUND(C59*(1+(0.8*D23)),2)</f>
        <v>10.039999999999999</v>
      </c>
      <c r="E59" s="66">
        <f t="shared" ref="E59:BB59" si="2">ROUND(D59*(1+(0.8*E23)),2)</f>
        <v>10.26</v>
      </c>
      <c r="F59" s="66">
        <f t="shared" si="2"/>
        <v>10.43</v>
      </c>
      <c r="G59" s="66">
        <f t="shared" si="2"/>
        <v>10.57</v>
      </c>
      <c r="H59" s="66">
        <f t="shared" si="2"/>
        <v>10.72</v>
      </c>
      <c r="I59" s="66">
        <f t="shared" si="2"/>
        <v>10.86</v>
      </c>
      <c r="J59" s="66">
        <f t="shared" si="2"/>
        <v>11</v>
      </c>
      <c r="K59" s="66">
        <f t="shared" si="2"/>
        <v>11.13</v>
      </c>
      <c r="L59" s="66">
        <f t="shared" si="2"/>
        <v>11.26</v>
      </c>
      <c r="M59" s="66">
        <f t="shared" si="2"/>
        <v>11.4</v>
      </c>
      <c r="N59" s="66">
        <f t="shared" si="2"/>
        <v>11.54</v>
      </c>
      <c r="O59" s="66">
        <f t="shared" si="2"/>
        <v>11.68</v>
      </c>
      <c r="P59" s="66">
        <f t="shared" si="2"/>
        <v>11.82</v>
      </c>
      <c r="Q59" s="66">
        <f t="shared" si="2"/>
        <v>11.96</v>
      </c>
      <c r="R59" s="66">
        <f t="shared" si="2"/>
        <v>12.1</v>
      </c>
      <c r="S59" s="66">
        <f t="shared" si="2"/>
        <v>12.25</v>
      </c>
      <c r="T59" s="66">
        <f t="shared" si="2"/>
        <v>12.4</v>
      </c>
      <c r="U59" s="66">
        <f t="shared" si="2"/>
        <v>12.53</v>
      </c>
      <c r="V59" s="66">
        <f t="shared" si="2"/>
        <v>12.66</v>
      </c>
      <c r="W59" s="66">
        <f t="shared" si="2"/>
        <v>12.79</v>
      </c>
      <c r="X59" s="66">
        <f t="shared" si="2"/>
        <v>12.92</v>
      </c>
      <c r="Y59" s="66">
        <f t="shared" si="2"/>
        <v>13.05</v>
      </c>
      <c r="Z59" s="66">
        <f t="shared" si="2"/>
        <v>13.19</v>
      </c>
      <c r="AA59" s="66">
        <f t="shared" si="2"/>
        <v>13.33</v>
      </c>
      <c r="AB59" s="66">
        <f t="shared" si="2"/>
        <v>13.47</v>
      </c>
      <c r="AC59" s="66">
        <f t="shared" si="2"/>
        <v>13.61</v>
      </c>
      <c r="AD59" s="66">
        <f t="shared" si="2"/>
        <v>13.75</v>
      </c>
      <c r="AE59" s="66">
        <f t="shared" si="2"/>
        <v>13.88</v>
      </c>
      <c r="AF59" s="66">
        <f t="shared" si="2"/>
        <v>14.01</v>
      </c>
      <c r="AG59" s="66">
        <f t="shared" si="2"/>
        <v>14.14</v>
      </c>
      <c r="AH59" s="66">
        <f t="shared" si="2"/>
        <v>14.28</v>
      </c>
      <c r="AI59" s="66">
        <f t="shared" si="2"/>
        <v>14.42</v>
      </c>
      <c r="AJ59" s="66">
        <f t="shared" si="2"/>
        <v>14.56</v>
      </c>
      <c r="AK59" s="66">
        <f t="shared" si="2"/>
        <v>14.7</v>
      </c>
      <c r="AL59" s="66">
        <f t="shared" si="2"/>
        <v>14.84</v>
      </c>
      <c r="AM59" s="66">
        <f t="shared" si="2"/>
        <v>14.98</v>
      </c>
      <c r="AN59" s="66">
        <f t="shared" si="2"/>
        <v>15.12</v>
      </c>
      <c r="AO59" s="66">
        <f t="shared" si="2"/>
        <v>15.28</v>
      </c>
      <c r="AP59" s="66">
        <f t="shared" si="2"/>
        <v>15.44</v>
      </c>
      <c r="AQ59" s="66">
        <f t="shared" si="2"/>
        <v>15.6</v>
      </c>
      <c r="AR59" s="66">
        <f t="shared" si="2"/>
        <v>15.76</v>
      </c>
      <c r="AS59" s="66">
        <f t="shared" si="2"/>
        <v>15.92</v>
      </c>
      <c r="AT59" s="66">
        <f t="shared" si="2"/>
        <v>16.09</v>
      </c>
      <c r="AU59" s="66">
        <f t="shared" si="2"/>
        <v>16.260000000000002</v>
      </c>
      <c r="AV59" s="66">
        <f t="shared" si="2"/>
        <v>16.43</v>
      </c>
      <c r="AW59" s="66">
        <f t="shared" si="2"/>
        <v>16.600000000000001</v>
      </c>
      <c r="AX59" s="66">
        <f t="shared" si="2"/>
        <v>16.77</v>
      </c>
      <c r="AY59" s="66">
        <f t="shared" si="2"/>
        <v>16.940000000000001</v>
      </c>
      <c r="AZ59" s="66">
        <f t="shared" si="2"/>
        <v>17.12</v>
      </c>
      <c r="BA59" s="66">
        <f t="shared" si="2"/>
        <v>17.3</v>
      </c>
      <c r="BB59" s="66">
        <f t="shared" si="2"/>
        <v>17.48</v>
      </c>
    </row>
    <row r="60" spans="2:54" x14ac:dyDescent="0.2">
      <c r="B60" s="67" t="s">
        <v>104</v>
      </c>
      <c r="C60" s="66">
        <v>6.42</v>
      </c>
      <c r="D60" s="66">
        <f>ROUND(C60*(1+(0.8*D23)),2)</f>
        <v>6.56</v>
      </c>
      <c r="E60" s="66">
        <f t="shared" ref="E60:BB60" si="3">ROUND(D60*(1+(0.8*E23)),2)</f>
        <v>6.71</v>
      </c>
      <c r="F60" s="66">
        <f t="shared" si="3"/>
        <v>6.82</v>
      </c>
      <c r="G60" s="66">
        <f t="shared" si="3"/>
        <v>6.91</v>
      </c>
      <c r="H60" s="66">
        <f t="shared" si="3"/>
        <v>7.01</v>
      </c>
      <c r="I60" s="66">
        <f t="shared" si="3"/>
        <v>7.1</v>
      </c>
      <c r="J60" s="66">
        <f t="shared" si="3"/>
        <v>7.19</v>
      </c>
      <c r="K60" s="66">
        <f t="shared" si="3"/>
        <v>7.28</v>
      </c>
      <c r="L60" s="66">
        <f t="shared" si="3"/>
        <v>7.37</v>
      </c>
      <c r="M60" s="66">
        <f t="shared" si="3"/>
        <v>7.46</v>
      </c>
      <c r="N60" s="66">
        <f t="shared" si="3"/>
        <v>7.55</v>
      </c>
      <c r="O60" s="66">
        <f t="shared" si="3"/>
        <v>7.64</v>
      </c>
      <c r="P60" s="66">
        <f t="shared" si="3"/>
        <v>7.73</v>
      </c>
      <c r="Q60" s="66">
        <f t="shared" si="3"/>
        <v>7.82</v>
      </c>
      <c r="R60" s="66">
        <f t="shared" si="3"/>
        <v>7.91</v>
      </c>
      <c r="S60" s="66">
        <f t="shared" si="3"/>
        <v>8</v>
      </c>
      <c r="T60" s="66">
        <f t="shared" si="3"/>
        <v>8.1</v>
      </c>
      <c r="U60" s="66">
        <f t="shared" si="3"/>
        <v>8.18</v>
      </c>
      <c r="V60" s="66">
        <f t="shared" si="3"/>
        <v>8.27</v>
      </c>
      <c r="W60" s="66">
        <f t="shared" si="3"/>
        <v>8.36</v>
      </c>
      <c r="X60" s="66">
        <f t="shared" si="3"/>
        <v>8.4499999999999993</v>
      </c>
      <c r="Y60" s="66">
        <f t="shared" si="3"/>
        <v>8.5399999999999991</v>
      </c>
      <c r="Z60" s="66">
        <f t="shared" si="3"/>
        <v>8.6300000000000008</v>
      </c>
      <c r="AA60" s="66">
        <f t="shared" si="3"/>
        <v>8.7200000000000006</v>
      </c>
      <c r="AB60" s="66">
        <f t="shared" si="3"/>
        <v>8.81</v>
      </c>
      <c r="AC60" s="66">
        <f t="shared" si="3"/>
        <v>8.9</v>
      </c>
      <c r="AD60" s="66">
        <f t="shared" si="3"/>
        <v>8.99</v>
      </c>
      <c r="AE60" s="66">
        <f t="shared" si="3"/>
        <v>9.08</v>
      </c>
      <c r="AF60" s="66">
        <f t="shared" si="3"/>
        <v>9.17</v>
      </c>
      <c r="AG60" s="66">
        <f t="shared" si="3"/>
        <v>9.26</v>
      </c>
      <c r="AH60" s="66">
        <f t="shared" si="3"/>
        <v>9.35</v>
      </c>
      <c r="AI60" s="66">
        <f t="shared" si="3"/>
        <v>9.44</v>
      </c>
      <c r="AJ60" s="66">
        <f t="shared" si="3"/>
        <v>9.5299999999999994</v>
      </c>
      <c r="AK60" s="66">
        <f t="shared" si="3"/>
        <v>9.6199999999999992</v>
      </c>
      <c r="AL60" s="66">
        <f t="shared" si="3"/>
        <v>9.7100000000000009</v>
      </c>
      <c r="AM60" s="66">
        <f t="shared" si="3"/>
        <v>9.8000000000000007</v>
      </c>
      <c r="AN60" s="66">
        <f t="shared" si="3"/>
        <v>9.89</v>
      </c>
      <c r="AO60" s="66">
        <f t="shared" si="3"/>
        <v>9.99</v>
      </c>
      <c r="AP60" s="66">
        <f t="shared" si="3"/>
        <v>10.09</v>
      </c>
      <c r="AQ60" s="66">
        <f t="shared" si="3"/>
        <v>10.19</v>
      </c>
      <c r="AR60" s="66">
        <f t="shared" si="3"/>
        <v>10.3</v>
      </c>
      <c r="AS60" s="66">
        <f t="shared" si="3"/>
        <v>10.41</v>
      </c>
      <c r="AT60" s="66">
        <f t="shared" si="3"/>
        <v>10.52</v>
      </c>
      <c r="AU60" s="66">
        <f t="shared" si="3"/>
        <v>10.63</v>
      </c>
      <c r="AV60" s="66">
        <f t="shared" si="3"/>
        <v>10.74</v>
      </c>
      <c r="AW60" s="66">
        <f t="shared" si="3"/>
        <v>10.85</v>
      </c>
      <c r="AX60" s="66">
        <f t="shared" si="3"/>
        <v>10.96</v>
      </c>
      <c r="AY60" s="66">
        <f t="shared" si="3"/>
        <v>11.07</v>
      </c>
      <c r="AZ60" s="66">
        <f t="shared" si="3"/>
        <v>11.19</v>
      </c>
      <c r="BA60" s="66">
        <f t="shared" si="3"/>
        <v>11.31</v>
      </c>
      <c r="BB60" s="66">
        <f t="shared" si="3"/>
        <v>11.43</v>
      </c>
    </row>
    <row r="61" spans="2:54" x14ac:dyDescent="0.2">
      <c r="B61" s="1" t="s">
        <v>74</v>
      </c>
    </row>
    <row r="62" spans="2:54" x14ac:dyDescent="0.2">
      <c r="B62" s="1"/>
    </row>
    <row r="63" spans="2:54" x14ac:dyDescent="0.2">
      <c r="B63" s="15" t="s">
        <v>311</v>
      </c>
    </row>
    <row r="64" spans="2:54" x14ac:dyDescent="0.2">
      <c r="B64" s="182" t="s">
        <v>312</v>
      </c>
      <c r="C64" s="183" t="s">
        <v>313</v>
      </c>
      <c r="D64" s="183" t="s">
        <v>314</v>
      </c>
      <c r="E64" s="183" t="s">
        <v>315</v>
      </c>
      <c r="F64" s="183" t="s">
        <v>316</v>
      </c>
      <c r="G64" s="183" t="s">
        <v>317</v>
      </c>
      <c r="H64" s="183" t="s">
        <v>318</v>
      </c>
      <c r="I64" s="183" t="s">
        <v>319</v>
      </c>
      <c r="J64" s="183" t="s">
        <v>320</v>
      </c>
      <c r="K64" s="183" t="s">
        <v>321</v>
      </c>
      <c r="L64" s="183" t="s">
        <v>322</v>
      </c>
    </row>
    <row r="65" spans="2:14" x14ac:dyDescent="0.2">
      <c r="B65" s="182" t="s">
        <v>323</v>
      </c>
      <c r="C65" s="18">
        <v>2</v>
      </c>
      <c r="D65" s="18">
        <v>1.8</v>
      </c>
      <c r="E65" s="18">
        <v>1.5</v>
      </c>
      <c r="F65" s="18">
        <v>1.4</v>
      </c>
      <c r="G65" s="18">
        <v>1.2</v>
      </c>
      <c r="H65" s="18">
        <v>1</v>
      </c>
      <c r="I65" s="18">
        <v>0.9</v>
      </c>
      <c r="J65" s="18">
        <v>0.75</v>
      </c>
      <c r="K65" s="18">
        <v>0.6</v>
      </c>
      <c r="L65" s="18">
        <v>0.4</v>
      </c>
    </row>
    <row r="66" spans="2:14" ht="12.75" x14ac:dyDescent="0.2">
      <c r="B66" s="18"/>
      <c r="C66" s="631" t="s">
        <v>324</v>
      </c>
      <c r="D66" s="632"/>
      <c r="E66" s="632"/>
      <c r="F66" s="633"/>
      <c r="G66" s="634" t="s">
        <v>325</v>
      </c>
      <c r="H66" s="635"/>
      <c r="I66" s="635"/>
      <c r="J66" s="635"/>
      <c r="K66" s="635"/>
      <c r="L66" s="636"/>
    </row>
    <row r="67" spans="2:14" x14ac:dyDescent="0.2">
      <c r="B67" s="1" t="s">
        <v>310</v>
      </c>
    </row>
    <row r="68" spans="2:14" x14ac:dyDescent="0.2">
      <c r="B68" s="1"/>
    </row>
    <row r="69" spans="2:14" x14ac:dyDescent="0.2">
      <c r="B69" s="1"/>
      <c r="C69" s="185" t="s">
        <v>326</v>
      </c>
      <c r="D69" s="186"/>
      <c r="E69" s="186"/>
      <c r="F69" s="186"/>
      <c r="G69" s="186"/>
      <c r="H69" s="186"/>
      <c r="I69" s="186"/>
      <c r="J69" s="186"/>
      <c r="K69" s="186"/>
      <c r="L69" s="187"/>
      <c r="M69" s="187"/>
      <c r="N69" s="188" t="s">
        <v>327</v>
      </c>
    </row>
    <row r="70" spans="2:14" x14ac:dyDescent="0.2">
      <c r="B70" s="184" t="s">
        <v>328</v>
      </c>
      <c r="C70" s="181">
        <v>4</v>
      </c>
      <c r="D70" s="181">
        <v>5</v>
      </c>
      <c r="E70" s="181">
        <v>6</v>
      </c>
      <c r="F70" s="181">
        <v>7</v>
      </c>
      <c r="G70" s="181">
        <v>8</v>
      </c>
      <c r="H70" s="181">
        <v>9</v>
      </c>
      <c r="I70" s="181">
        <v>10</v>
      </c>
      <c r="J70" s="181">
        <v>11</v>
      </c>
      <c r="K70" s="181">
        <v>12</v>
      </c>
      <c r="L70" s="181">
        <v>13</v>
      </c>
      <c r="M70" s="181">
        <v>14</v>
      </c>
      <c r="N70" s="181">
        <v>15</v>
      </c>
    </row>
    <row r="71" spans="2:14" x14ac:dyDescent="0.2">
      <c r="B71" s="1" t="s">
        <v>329</v>
      </c>
    </row>
    <row r="72" spans="2:14" x14ac:dyDescent="0.2">
      <c r="B72" s="1"/>
    </row>
    <row r="73" spans="2:14" x14ac:dyDescent="0.2">
      <c r="B73" s="644" t="s">
        <v>241</v>
      </c>
      <c r="C73" s="630" t="s">
        <v>131</v>
      </c>
      <c r="D73" s="630" t="s">
        <v>225</v>
      </c>
      <c r="E73" s="630"/>
      <c r="F73" s="630"/>
      <c r="G73" s="630"/>
      <c r="H73" s="630"/>
      <c r="I73" s="630"/>
    </row>
    <row r="74" spans="2:14" x14ac:dyDescent="0.2">
      <c r="B74" s="645"/>
      <c r="C74" s="630"/>
      <c r="D74" s="139" t="s">
        <v>229</v>
      </c>
      <c r="E74" s="139" t="s">
        <v>229</v>
      </c>
      <c r="F74" s="139" t="s">
        <v>229</v>
      </c>
      <c r="G74" s="139" t="s">
        <v>216</v>
      </c>
      <c r="H74" s="139" t="s">
        <v>229</v>
      </c>
      <c r="I74" s="139" t="s">
        <v>232</v>
      </c>
    </row>
    <row r="75" spans="2:14" ht="22.5" x14ac:dyDescent="0.2">
      <c r="B75" s="144" t="s">
        <v>228</v>
      </c>
      <c r="C75" s="630"/>
      <c r="D75" s="139" t="s">
        <v>230</v>
      </c>
      <c r="E75" s="139" t="s">
        <v>231</v>
      </c>
      <c r="F75" s="139" t="s">
        <v>239</v>
      </c>
      <c r="G75" s="139" t="s">
        <v>240</v>
      </c>
      <c r="H75" s="139" t="s">
        <v>240</v>
      </c>
      <c r="I75" s="139" t="s">
        <v>233</v>
      </c>
    </row>
    <row r="76" spans="2:14" x14ac:dyDescent="0.2">
      <c r="B76" s="130" t="s">
        <v>234</v>
      </c>
      <c r="C76" s="131" t="s">
        <v>235</v>
      </c>
      <c r="D76" s="43" t="s">
        <v>236</v>
      </c>
      <c r="E76" s="131" t="s">
        <v>236</v>
      </c>
      <c r="F76" s="131" t="s">
        <v>236</v>
      </c>
      <c r="G76" s="269">
        <v>2.6</v>
      </c>
      <c r="H76" s="131" t="s">
        <v>236</v>
      </c>
      <c r="I76" s="269">
        <v>2.4</v>
      </c>
    </row>
    <row r="77" spans="2:14" x14ac:dyDescent="0.2">
      <c r="B77" s="130" t="s">
        <v>237</v>
      </c>
      <c r="C77" s="131" t="s">
        <v>238</v>
      </c>
      <c r="D77" s="270">
        <v>9.9</v>
      </c>
      <c r="E77" s="269">
        <v>10.3</v>
      </c>
      <c r="F77" s="269">
        <v>26</v>
      </c>
      <c r="G77" s="131" t="s">
        <v>236</v>
      </c>
      <c r="H77" s="269">
        <v>12.8</v>
      </c>
      <c r="I77" s="131" t="s">
        <v>236</v>
      </c>
    </row>
    <row r="78" spans="2:14" x14ac:dyDescent="0.2">
      <c r="B78" s="1" t="s">
        <v>483</v>
      </c>
    </row>
    <row r="80" spans="2:14" ht="12.75" x14ac:dyDescent="0.2">
      <c r="B80" s="626" t="s">
        <v>243</v>
      </c>
      <c r="C80" s="627"/>
      <c r="D80" s="627"/>
      <c r="E80" s="627"/>
      <c r="F80" s="628"/>
      <c r="G80" s="628"/>
    </row>
    <row r="81" spans="2:54" x14ac:dyDescent="0.2">
      <c r="B81" s="145" t="s">
        <v>92</v>
      </c>
      <c r="C81" s="139" t="s">
        <v>246</v>
      </c>
      <c r="D81" s="139" t="s">
        <v>247</v>
      </c>
      <c r="E81" s="139" t="s">
        <v>248</v>
      </c>
      <c r="F81" s="146" t="s">
        <v>133</v>
      </c>
      <c r="G81" s="146" t="s">
        <v>249</v>
      </c>
    </row>
    <row r="82" spans="2:54" x14ac:dyDescent="0.2">
      <c r="B82" s="46" t="s">
        <v>244</v>
      </c>
      <c r="C82" s="90">
        <v>1.1000000000000001</v>
      </c>
      <c r="D82" s="90">
        <v>63</v>
      </c>
      <c r="E82" s="90">
        <v>0.02</v>
      </c>
      <c r="F82" s="77">
        <v>4.8</v>
      </c>
      <c r="G82" s="77">
        <v>10</v>
      </c>
    </row>
    <row r="83" spans="2:54" x14ac:dyDescent="0.2">
      <c r="B83" s="89" t="s">
        <v>245</v>
      </c>
      <c r="C83" s="90">
        <v>2</v>
      </c>
      <c r="D83" s="90">
        <v>54.4</v>
      </c>
      <c r="E83" s="90">
        <v>0.02</v>
      </c>
      <c r="F83" s="77">
        <v>4.5999999999999996</v>
      </c>
      <c r="G83" s="77">
        <v>10</v>
      </c>
    </row>
    <row r="84" spans="2:54" x14ac:dyDescent="0.2">
      <c r="B84" s="46" t="s">
        <v>233</v>
      </c>
      <c r="C84" s="90">
        <v>1</v>
      </c>
      <c r="D84" s="90">
        <v>39.9</v>
      </c>
      <c r="E84" s="90">
        <v>0.02</v>
      </c>
      <c r="F84" s="77">
        <v>4.7</v>
      </c>
      <c r="G84" s="77">
        <v>10</v>
      </c>
    </row>
    <row r="85" spans="2:54" x14ac:dyDescent="0.2">
      <c r="B85" s="1" t="s">
        <v>331</v>
      </c>
    </row>
    <row r="86" spans="2:54" x14ac:dyDescent="0.2">
      <c r="B86" s="1"/>
    </row>
    <row r="87" spans="2:54" ht="22.5" x14ac:dyDescent="0.2">
      <c r="B87" s="143" t="s">
        <v>139</v>
      </c>
      <c r="C87" s="138">
        <v>2024</v>
      </c>
      <c r="D87" s="138">
        <v>2025</v>
      </c>
      <c r="E87" s="138">
        <v>2026</v>
      </c>
      <c r="F87" s="138">
        <v>2027</v>
      </c>
      <c r="G87" s="138">
        <v>2028</v>
      </c>
      <c r="H87" s="138">
        <v>2029</v>
      </c>
      <c r="I87" s="138">
        <v>2030</v>
      </c>
      <c r="J87" s="138">
        <v>2031</v>
      </c>
      <c r="K87" s="138">
        <v>2032</v>
      </c>
      <c r="L87" s="138">
        <v>2033</v>
      </c>
      <c r="M87" s="138">
        <v>2034</v>
      </c>
      <c r="N87" s="138">
        <v>2035</v>
      </c>
      <c r="O87" s="138">
        <v>2036</v>
      </c>
      <c r="P87" s="138">
        <v>2037</v>
      </c>
      <c r="Q87" s="138">
        <v>2038</v>
      </c>
      <c r="R87" s="138">
        <v>2039</v>
      </c>
      <c r="S87" s="138">
        <v>2040</v>
      </c>
      <c r="T87" s="138">
        <v>2041</v>
      </c>
      <c r="U87" s="138">
        <v>2042</v>
      </c>
      <c r="V87" s="138">
        <v>2043</v>
      </c>
      <c r="W87" s="138">
        <v>2044</v>
      </c>
      <c r="X87" s="138">
        <v>2045</v>
      </c>
      <c r="Y87" s="138">
        <v>2046</v>
      </c>
      <c r="Z87" s="138">
        <v>2047</v>
      </c>
      <c r="AA87" s="138">
        <v>2048</v>
      </c>
      <c r="AB87" s="138">
        <v>2049</v>
      </c>
      <c r="AC87" s="138">
        <v>2050</v>
      </c>
      <c r="AD87" s="138">
        <v>2051</v>
      </c>
      <c r="AE87" s="138">
        <v>2052</v>
      </c>
      <c r="AF87" s="138">
        <v>2053</v>
      </c>
      <c r="AG87" s="138">
        <v>2054</v>
      </c>
      <c r="AH87" s="138">
        <v>2055</v>
      </c>
      <c r="AI87" s="138">
        <v>2056</v>
      </c>
      <c r="AJ87" s="138">
        <v>2057</v>
      </c>
      <c r="AK87" s="138">
        <v>2058</v>
      </c>
      <c r="AL87" s="138">
        <v>2059</v>
      </c>
      <c r="AM87" s="138">
        <v>2060</v>
      </c>
      <c r="AN87" s="138">
        <v>2061</v>
      </c>
      <c r="AO87" s="138">
        <v>2062</v>
      </c>
      <c r="AP87" s="138">
        <v>2063</v>
      </c>
      <c r="AQ87" s="138">
        <v>2064</v>
      </c>
      <c r="AR87" s="138">
        <v>2065</v>
      </c>
      <c r="AS87" s="138">
        <v>2066</v>
      </c>
      <c r="AT87" s="138">
        <v>2067</v>
      </c>
      <c r="AU87" s="138">
        <v>2068</v>
      </c>
      <c r="AV87" s="138">
        <v>2069</v>
      </c>
      <c r="AW87" s="138">
        <v>2070</v>
      </c>
      <c r="AX87" s="138">
        <v>2071</v>
      </c>
      <c r="AY87" s="138">
        <v>2072</v>
      </c>
      <c r="AZ87" s="138">
        <v>2073</v>
      </c>
      <c r="BA87" s="138">
        <v>2074</v>
      </c>
      <c r="BB87" s="138">
        <v>2075</v>
      </c>
    </row>
    <row r="88" spans="2:54" x14ac:dyDescent="0.2">
      <c r="B88" s="45" t="s">
        <v>141</v>
      </c>
      <c r="C88" s="94">
        <v>162.1</v>
      </c>
      <c r="D88" s="94">
        <f>ROUND(C88*(1+(0.8*D23)),2)</f>
        <v>165.6</v>
      </c>
      <c r="E88" s="94">
        <f t="shared" ref="E88:BB88" si="4">ROUND(D88*(1+(0.8*E23)),2)</f>
        <v>169.31</v>
      </c>
      <c r="F88" s="94">
        <f t="shared" si="4"/>
        <v>172.15</v>
      </c>
      <c r="G88" s="94">
        <f t="shared" si="4"/>
        <v>174.49</v>
      </c>
      <c r="H88" s="94">
        <f t="shared" si="4"/>
        <v>177</v>
      </c>
      <c r="I88" s="94">
        <f t="shared" si="4"/>
        <v>179.27</v>
      </c>
      <c r="J88" s="94">
        <f t="shared" si="4"/>
        <v>181.56</v>
      </c>
      <c r="K88" s="94">
        <f t="shared" si="4"/>
        <v>183.74</v>
      </c>
      <c r="L88" s="94">
        <f t="shared" si="4"/>
        <v>185.94</v>
      </c>
      <c r="M88" s="94">
        <f t="shared" si="4"/>
        <v>188.17</v>
      </c>
      <c r="N88" s="94">
        <f t="shared" si="4"/>
        <v>190.43</v>
      </c>
      <c r="O88" s="94">
        <f t="shared" si="4"/>
        <v>192.72</v>
      </c>
      <c r="P88" s="94">
        <f t="shared" si="4"/>
        <v>195.03</v>
      </c>
      <c r="Q88" s="94">
        <f t="shared" si="4"/>
        <v>197.37</v>
      </c>
      <c r="R88" s="94">
        <f t="shared" si="4"/>
        <v>199.74</v>
      </c>
      <c r="S88" s="94">
        <f t="shared" si="4"/>
        <v>202.14</v>
      </c>
      <c r="T88" s="94">
        <f t="shared" si="4"/>
        <v>204.57</v>
      </c>
      <c r="U88" s="94">
        <f t="shared" si="4"/>
        <v>206.7</v>
      </c>
      <c r="V88" s="94">
        <f t="shared" si="4"/>
        <v>208.85</v>
      </c>
      <c r="W88" s="94">
        <f t="shared" si="4"/>
        <v>211.02</v>
      </c>
      <c r="X88" s="94">
        <f t="shared" si="4"/>
        <v>213.21</v>
      </c>
      <c r="Y88" s="94">
        <f t="shared" si="4"/>
        <v>215.43</v>
      </c>
      <c r="Z88" s="94">
        <f t="shared" si="4"/>
        <v>217.67</v>
      </c>
      <c r="AA88" s="94">
        <f t="shared" si="4"/>
        <v>219.93</v>
      </c>
      <c r="AB88" s="94">
        <f t="shared" si="4"/>
        <v>222.22</v>
      </c>
      <c r="AC88" s="94">
        <f t="shared" si="4"/>
        <v>224.53</v>
      </c>
      <c r="AD88" s="94">
        <f t="shared" si="4"/>
        <v>226.87</v>
      </c>
      <c r="AE88" s="94">
        <f t="shared" si="4"/>
        <v>229.05</v>
      </c>
      <c r="AF88" s="94">
        <f t="shared" si="4"/>
        <v>231.25</v>
      </c>
      <c r="AG88" s="94">
        <f t="shared" si="4"/>
        <v>233.47</v>
      </c>
      <c r="AH88" s="94">
        <f t="shared" si="4"/>
        <v>235.71</v>
      </c>
      <c r="AI88" s="94">
        <f t="shared" si="4"/>
        <v>237.97</v>
      </c>
      <c r="AJ88" s="94">
        <f t="shared" si="4"/>
        <v>240.25</v>
      </c>
      <c r="AK88" s="94">
        <f t="shared" si="4"/>
        <v>242.56</v>
      </c>
      <c r="AL88" s="94">
        <f t="shared" si="4"/>
        <v>244.89</v>
      </c>
      <c r="AM88" s="94">
        <f t="shared" si="4"/>
        <v>247.24</v>
      </c>
      <c r="AN88" s="94">
        <f t="shared" si="4"/>
        <v>249.61</v>
      </c>
      <c r="AO88" s="94">
        <f t="shared" si="4"/>
        <v>252.21</v>
      </c>
      <c r="AP88" s="94">
        <f t="shared" si="4"/>
        <v>254.83</v>
      </c>
      <c r="AQ88" s="94">
        <f t="shared" si="4"/>
        <v>257.48</v>
      </c>
      <c r="AR88" s="94">
        <f t="shared" si="4"/>
        <v>260.16000000000003</v>
      </c>
      <c r="AS88" s="94">
        <f t="shared" si="4"/>
        <v>262.87</v>
      </c>
      <c r="AT88" s="94">
        <f t="shared" si="4"/>
        <v>265.60000000000002</v>
      </c>
      <c r="AU88" s="94">
        <f t="shared" si="4"/>
        <v>268.36</v>
      </c>
      <c r="AV88" s="94">
        <f t="shared" si="4"/>
        <v>271.14999999999998</v>
      </c>
      <c r="AW88" s="94">
        <f t="shared" si="4"/>
        <v>273.97000000000003</v>
      </c>
      <c r="AX88" s="94">
        <f t="shared" si="4"/>
        <v>276.82</v>
      </c>
      <c r="AY88" s="94">
        <f t="shared" si="4"/>
        <v>279.7</v>
      </c>
      <c r="AZ88" s="94">
        <f t="shared" si="4"/>
        <v>282.61</v>
      </c>
      <c r="BA88" s="94">
        <f t="shared" si="4"/>
        <v>285.55</v>
      </c>
      <c r="BB88" s="94">
        <f t="shared" si="4"/>
        <v>288.52</v>
      </c>
    </row>
    <row r="89" spans="2:54" x14ac:dyDescent="0.2">
      <c r="B89" s="45" t="s">
        <v>140</v>
      </c>
      <c r="C89" s="94">
        <v>91.1</v>
      </c>
      <c r="D89" s="94">
        <f>ROUND(C89*(1+(0.8*D23)),2)</f>
        <v>93.07</v>
      </c>
      <c r="E89" s="94">
        <f t="shared" ref="E89:BB89" si="5">ROUND(D89*(1+(0.8*E23)),2)</f>
        <v>95.15</v>
      </c>
      <c r="F89" s="94">
        <f t="shared" si="5"/>
        <v>96.75</v>
      </c>
      <c r="G89" s="94">
        <f t="shared" si="5"/>
        <v>98.07</v>
      </c>
      <c r="H89" s="94">
        <f t="shared" si="5"/>
        <v>99.48</v>
      </c>
      <c r="I89" s="94">
        <f t="shared" si="5"/>
        <v>100.75</v>
      </c>
      <c r="J89" s="94">
        <f t="shared" si="5"/>
        <v>102.04</v>
      </c>
      <c r="K89" s="94">
        <f t="shared" si="5"/>
        <v>103.26</v>
      </c>
      <c r="L89" s="94">
        <f t="shared" si="5"/>
        <v>104.5</v>
      </c>
      <c r="M89" s="94">
        <f t="shared" si="5"/>
        <v>105.75</v>
      </c>
      <c r="N89" s="94">
        <f t="shared" si="5"/>
        <v>107.02</v>
      </c>
      <c r="O89" s="94">
        <f t="shared" si="5"/>
        <v>108.3</v>
      </c>
      <c r="P89" s="94">
        <f t="shared" si="5"/>
        <v>109.6</v>
      </c>
      <c r="Q89" s="94">
        <f t="shared" si="5"/>
        <v>110.92</v>
      </c>
      <c r="R89" s="94">
        <f t="shared" si="5"/>
        <v>112.25</v>
      </c>
      <c r="S89" s="94">
        <f t="shared" si="5"/>
        <v>113.6</v>
      </c>
      <c r="T89" s="94">
        <f t="shared" si="5"/>
        <v>114.96</v>
      </c>
      <c r="U89" s="94">
        <f t="shared" si="5"/>
        <v>116.16</v>
      </c>
      <c r="V89" s="94">
        <f t="shared" si="5"/>
        <v>117.37</v>
      </c>
      <c r="W89" s="94">
        <f t="shared" si="5"/>
        <v>118.59</v>
      </c>
      <c r="X89" s="94">
        <f t="shared" si="5"/>
        <v>119.82</v>
      </c>
      <c r="Y89" s="94">
        <f t="shared" si="5"/>
        <v>121.07</v>
      </c>
      <c r="Z89" s="94">
        <f t="shared" si="5"/>
        <v>122.33</v>
      </c>
      <c r="AA89" s="94">
        <f t="shared" si="5"/>
        <v>123.6</v>
      </c>
      <c r="AB89" s="94">
        <f t="shared" si="5"/>
        <v>124.89</v>
      </c>
      <c r="AC89" s="94">
        <f t="shared" si="5"/>
        <v>126.19</v>
      </c>
      <c r="AD89" s="94">
        <f t="shared" si="5"/>
        <v>127.5</v>
      </c>
      <c r="AE89" s="94">
        <f t="shared" si="5"/>
        <v>128.72</v>
      </c>
      <c r="AF89" s="94">
        <f t="shared" si="5"/>
        <v>129.96</v>
      </c>
      <c r="AG89" s="94">
        <f t="shared" si="5"/>
        <v>131.21</v>
      </c>
      <c r="AH89" s="94">
        <f t="shared" si="5"/>
        <v>132.47</v>
      </c>
      <c r="AI89" s="94">
        <f t="shared" si="5"/>
        <v>133.74</v>
      </c>
      <c r="AJ89" s="94">
        <f t="shared" si="5"/>
        <v>135.02000000000001</v>
      </c>
      <c r="AK89" s="94">
        <f t="shared" si="5"/>
        <v>136.32</v>
      </c>
      <c r="AL89" s="94">
        <f t="shared" si="5"/>
        <v>137.63</v>
      </c>
      <c r="AM89" s="94">
        <f t="shared" si="5"/>
        <v>138.94999999999999</v>
      </c>
      <c r="AN89" s="94">
        <f t="shared" si="5"/>
        <v>140.28</v>
      </c>
      <c r="AO89" s="94">
        <f t="shared" si="5"/>
        <v>141.74</v>
      </c>
      <c r="AP89" s="94">
        <f t="shared" si="5"/>
        <v>143.21</v>
      </c>
      <c r="AQ89" s="94">
        <f t="shared" si="5"/>
        <v>144.69999999999999</v>
      </c>
      <c r="AR89" s="94">
        <f t="shared" si="5"/>
        <v>146.19999999999999</v>
      </c>
      <c r="AS89" s="94">
        <f t="shared" si="5"/>
        <v>147.72</v>
      </c>
      <c r="AT89" s="94">
        <f t="shared" si="5"/>
        <v>149.26</v>
      </c>
      <c r="AU89" s="94">
        <f t="shared" si="5"/>
        <v>150.81</v>
      </c>
      <c r="AV89" s="94">
        <f t="shared" si="5"/>
        <v>152.38</v>
      </c>
      <c r="AW89" s="94">
        <f t="shared" si="5"/>
        <v>153.96</v>
      </c>
      <c r="AX89" s="94">
        <f t="shared" si="5"/>
        <v>155.56</v>
      </c>
      <c r="AY89" s="94">
        <f t="shared" si="5"/>
        <v>157.18</v>
      </c>
      <c r="AZ89" s="94">
        <f t="shared" si="5"/>
        <v>158.81</v>
      </c>
      <c r="BA89" s="94">
        <f t="shared" si="5"/>
        <v>160.46</v>
      </c>
      <c r="BB89" s="94">
        <f t="shared" si="5"/>
        <v>162.13</v>
      </c>
    </row>
    <row r="90" spans="2:54" x14ac:dyDescent="0.2">
      <c r="B90" s="45" t="s">
        <v>145</v>
      </c>
      <c r="C90" s="94">
        <v>38.299999999999997</v>
      </c>
      <c r="D90" s="94">
        <f>ROUND(C90*(1+(0.8*D23)),2)</f>
        <v>39.130000000000003</v>
      </c>
      <c r="E90" s="94">
        <f t="shared" ref="E90:BB90" si="6">ROUND(D90*(1+(0.8*E23)),2)</f>
        <v>40.01</v>
      </c>
      <c r="F90" s="94">
        <f t="shared" si="6"/>
        <v>40.68</v>
      </c>
      <c r="G90" s="94">
        <f t="shared" si="6"/>
        <v>41.23</v>
      </c>
      <c r="H90" s="94">
        <f t="shared" si="6"/>
        <v>41.82</v>
      </c>
      <c r="I90" s="94">
        <f t="shared" si="6"/>
        <v>42.36</v>
      </c>
      <c r="J90" s="94">
        <f t="shared" si="6"/>
        <v>42.9</v>
      </c>
      <c r="K90" s="94">
        <f t="shared" si="6"/>
        <v>43.41</v>
      </c>
      <c r="L90" s="94">
        <f t="shared" si="6"/>
        <v>43.93</v>
      </c>
      <c r="M90" s="94">
        <f t="shared" si="6"/>
        <v>44.46</v>
      </c>
      <c r="N90" s="94">
        <f t="shared" si="6"/>
        <v>44.99</v>
      </c>
      <c r="O90" s="94">
        <f t="shared" si="6"/>
        <v>45.53</v>
      </c>
      <c r="P90" s="94">
        <f t="shared" si="6"/>
        <v>46.08</v>
      </c>
      <c r="Q90" s="94">
        <f t="shared" si="6"/>
        <v>46.63</v>
      </c>
      <c r="R90" s="94">
        <f t="shared" si="6"/>
        <v>47.19</v>
      </c>
      <c r="S90" s="94">
        <f t="shared" si="6"/>
        <v>47.76</v>
      </c>
      <c r="T90" s="94">
        <f t="shared" si="6"/>
        <v>48.33</v>
      </c>
      <c r="U90" s="94">
        <f t="shared" si="6"/>
        <v>48.83</v>
      </c>
      <c r="V90" s="94">
        <f t="shared" si="6"/>
        <v>49.34</v>
      </c>
      <c r="W90" s="94">
        <f t="shared" si="6"/>
        <v>49.85</v>
      </c>
      <c r="X90" s="94">
        <f t="shared" si="6"/>
        <v>50.37</v>
      </c>
      <c r="Y90" s="94">
        <f t="shared" si="6"/>
        <v>50.89</v>
      </c>
      <c r="Z90" s="94">
        <f t="shared" si="6"/>
        <v>51.42</v>
      </c>
      <c r="AA90" s="94">
        <f t="shared" si="6"/>
        <v>51.95</v>
      </c>
      <c r="AB90" s="94">
        <f t="shared" si="6"/>
        <v>52.49</v>
      </c>
      <c r="AC90" s="94">
        <f t="shared" si="6"/>
        <v>53.04</v>
      </c>
      <c r="AD90" s="94">
        <f t="shared" si="6"/>
        <v>53.59</v>
      </c>
      <c r="AE90" s="94">
        <f t="shared" si="6"/>
        <v>54.1</v>
      </c>
      <c r="AF90" s="94">
        <f t="shared" si="6"/>
        <v>54.62</v>
      </c>
      <c r="AG90" s="94">
        <f t="shared" si="6"/>
        <v>55.14</v>
      </c>
      <c r="AH90" s="94">
        <f t="shared" si="6"/>
        <v>55.67</v>
      </c>
      <c r="AI90" s="94">
        <f t="shared" si="6"/>
        <v>56.2</v>
      </c>
      <c r="AJ90" s="94">
        <f t="shared" si="6"/>
        <v>56.74</v>
      </c>
      <c r="AK90" s="94">
        <f t="shared" si="6"/>
        <v>57.28</v>
      </c>
      <c r="AL90" s="94">
        <f t="shared" si="6"/>
        <v>57.83</v>
      </c>
      <c r="AM90" s="94">
        <f t="shared" si="6"/>
        <v>58.39</v>
      </c>
      <c r="AN90" s="94">
        <f t="shared" si="6"/>
        <v>58.95</v>
      </c>
      <c r="AO90" s="94">
        <f t="shared" si="6"/>
        <v>59.56</v>
      </c>
      <c r="AP90" s="94">
        <f t="shared" si="6"/>
        <v>60.18</v>
      </c>
      <c r="AQ90" s="94">
        <f t="shared" si="6"/>
        <v>60.81</v>
      </c>
      <c r="AR90" s="94">
        <f t="shared" si="6"/>
        <v>61.44</v>
      </c>
      <c r="AS90" s="94">
        <f t="shared" si="6"/>
        <v>62.08</v>
      </c>
      <c r="AT90" s="94">
        <f t="shared" si="6"/>
        <v>62.73</v>
      </c>
      <c r="AU90" s="94">
        <f t="shared" si="6"/>
        <v>63.38</v>
      </c>
      <c r="AV90" s="94">
        <f t="shared" si="6"/>
        <v>64.040000000000006</v>
      </c>
      <c r="AW90" s="94">
        <f t="shared" si="6"/>
        <v>64.709999999999994</v>
      </c>
      <c r="AX90" s="94">
        <f t="shared" si="6"/>
        <v>65.38</v>
      </c>
      <c r="AY90" s="94">
        <f t="shared" si="6"/>
        <v>66.06</v>
      </c>
      <c r="AZ90" s="94">
        <f t="shared" si="6"/>
        <v>66.75</v>
      </c>
      <c r="BA90" s="94">
        <f t="shared" si="6"/>
        <v>67.44</v>
      </c>
      <c r="BB90" s="94">
        <f t="shared" si="6"/>
        <v>68.14</v>
      </c>
    </row>
    <row r="91" spans="2:54" x14ac:dyDescent="0.2">
      <c r="B91" s="45" t="s">
        <v>146</v>
      </c>
      <c r="C91" s="94">
        <v>22.7</v>
      </c>
      <c r="D91" s="94">
        <f>ROUND(C91*(1+(0.8*D23)),2)</f>
        <v>23.19</v>
      </c>
      <c r="E91" s="94">
        <f t="shared" ref="E91:BB91" si="7">ROUND(D91*(1+(0.8*E23)),2)</f>
        <v>23.71</v>
      </c>
      <c r="F91" s="94">
        <f t="shared" si="7"/>
        <v>24.11</v>
      </c>
      <c r="G91" s="94">
        <f t="shared" si="7"/>
        <v>24.44</v>
      </c>
      <c r="H91" s="94">
        <f t="shared" si="7"/>
        <v>24.79</v>
      </c>
      <c r="I91" s="94">
        <f t="shared" si="7"/>
        <v>25.11</v>
      </c>
      <c r="J91" s="94">
        <f t="shared" si="7"/>
        <v>25.43</v>
      </c>
      <c r="K91" s="94">
        <f t="shared" si="7"/>
        <v>25.74</v>
      </c>
      <c r="L91" s="94">
        <f t="shared" si="7"/>
        <v>26.05</v>
      </c>
      <c r="M91" s="94">
        <f t="shared" si="7"/>
        <v>26.36</v>
      </c>
      <c r="N91" s="94">
        <f t="shared" si="7"/>
        <v>26.68</v>
      </c>
      <c r="O91" s="94">
        <f t="shared" si="7"/>
        <v>27</v>
      </c>
      <c r="P91" s="94">
        <f t="shared" si="7"/>
        <v>27.32</v>
      </c>
      <c r="Q91" s="94">
        <f t="shared" si="7"/>
        <v>27.65</v>
      </c>
      <c r="R91" s="94">
        <f t="shared" si="7"/>
        <v>27.98</v>
      </c>
      <c r="S91" s="94">
        <f t="shared" si="7"/>
        <v>28.32</v>
      </c>
      <c r="T91" s="94">
        <f t="shared" si="7"/>
        <v>28.66</v>
      </c>
      <c r="U91" s="94">
        <f t="shared" si="7"/>
        <v>28.96</v>
      </c>
      <c r="V91" s="94">
        <f t="shared" si="7"/>
        <v>29.26</v>
      </c>
      <c r="W91" s="94">
        <f t="shared" si="7"/>
        <v>29.56</v>
      </c>
      <c r="X91" s="94">
        <f t="shared" si="7"/>
        <v>29.87</v>
      </c>
      <c r="Y91" s="94">
        <f t="shared" si="7"/>
        <v>30.18</v>
      </c>
      <c r="Z91" s="94">
        <f t="shared" si="7"/>
        <v>30.49</v>
      </c>
      <c r="AA91" s="94">
        <f t="shared" si="7"/>
        <v>30.81</v>
      </c>
      <c r="AB91" s="94">
        <f t="shared" si="7"/>
        <v>31.13</v>
      </c>
      <c r="AC91" s="94">
        <f t="shared" si="7"/>
        <v>31.45</v>
      </c>
      <c r="AD91" s="94">
        <f t="shared" si="7"/>
        <v>31.78</v>
      </c>
      <c r="AE91" s="94">
        <f t="shared" si="7"/>
        <v>32.090000000000003</v>
      </c>
      <c r="AF91" s="94">
        <f t="shared" si="7"/>
        <v>32.4</v>
      </c>
      <c r="AG91" s="94">
        <f t="shared" si="7"/>
        <v>32.71</v>
      </c>
      <c r="AH91" s="94">
        <f t="shared" si="7"/>
        <v>33.020000000000003</v>
      </c>
      <c r="AI91" s="94">
        <f t="shared" si="7"/>
        <v>33.340000000000003</v>
      </c>
      <c r="AJ91" s="94">
        <f t="shared" si="7"/>
        <v>33.659999999999997</v>
      </c>
      <c r="AK91" s="94">
        <f t="shared" si="7"/>
        <v>33.979999999999997</v>
      </c>
      <c r="AL91" s="94">
        <f t="shared" si="7"/>
        <v>34.31</v>
      </c>
      <c r="AM91" s="94">
        <f t="shared" si="7"/>
        <v>34.64</v>
      </c>
      <c r="AN91" s="94">
        <f t="shared" si="7"/>
        <v>34.97</v>
      </c>
      <c r="AO91" s="94">
        <f t="shared" si="7"/>
        <v>35.33</v>
      </c>
      <c r="AP91" s="94">
        <f t="shared" si="7"/>
        <v>35.700000000000003</v>
      </c>
      <c r="AQ91" s="94">
        <f t="shared" si="7"/>
        <v>36.07</v>
      </c>
      <c r="AR91" s="94">
        <f t="shared" si="7"/>
        <v>36.450000000000003</v>
      </c>
      <c r="AS91" s="94">
        <f t="shared" si="7"/>
        <v>36.83</v>
      </c>
      <c r="AT91" s="94">
        <f t="shared" si="7"/>
        <v>37.21</v>
      </c>
      <c r="AU91" s="94">
        <f t="shared" si="7"/>
        <v>37.6</v>
      </c>
      <c r="AV91" s="94">
        <f t="shared" si="7"/>
        <v>37.99</v>
      </c>
      <c r="AW91" s="94">
        <f t="shared" si="7"/>
        <v>38.39</v>
      </c>
      <c r="AX91" s="94">
        <f t="shared" si="7"/>
        <v>38.79</v>
      </c>
      <c r="AY91" s="94">
        <f t="shared" si="7"/>
        <v>39.19</v>
      </c>
      <c r="AZ91" s="94">
        <f t="shared" si="7"/>
        <v>39.6</v>
      </c>
      <c r="BA91" s="94">
        <f t="shared" si="7"/>
        <v>40.01</v>
      </c>
      <c r="BB91" s="94">
        <f t="shared" si="7"/>
        <v>40.43</v>
      </c>
    </row>
    <row r="92" spans="2:54" x14ac:dyDescent="0.2">
      <c r="B92" s="45" t="s">
        <v>144</v>
      </c>
      <c r="C92" s="94">
        <v>15.6</v>
      </c>
      <c r="D92" s="94">
        <f>ROUND(C92*(1+(0.8*D23)),2)</f>
        <v>15.94</v>
      </c>
      <c r="E92" s="94">
        <f t="shared" ref="E92:BB92" si="8">ROUND(D92*(1+(0.8*E23)),2)</f>
        <v>16.3</v>
      </c>
      <c r="F92" s="94">
        <f t="shared" si="8"/>
        <v>16.57</v>
      </c>
      <c r="G92" s="94">
        <f t="shared" si="8"/>
        <v>16.8</v>
      </c>
      <c r="H92" s="94">
        <f t="shared" si="8"/>
        <v>17.04</v>
      </c>
      <c r="I92" s="94">
        <f t="shared" si="8"/>
        <v>17.260000000000002</v>
      </c>
      <c r="J92" s="94">
        <f t="shared" si="8"/>
        <v>17.48</v>
      </c>
      <c r="K92" s="94">
        <f t="shared" si="8"/>
        <v>17.690000000000001</v>
      </c>
      <c r="L92" s="94">
        <f t="shared" si="8"/>
        <v>17.899999999999999</v>
      </c>
      <c r="M92" s="94">
        <f t="shared" si="8"/>
        <v>18.11</v>
      </c>
      <c r="N92" s="94">
        <f t="shared" si="8"/>
        <v>18.329999999999998</v>
      </c>
      <c r="O92" s="94">
        <f t="shared" si="8"/>
        <v>18.55</v>
      </c>
      <c r="P92" s="94">
        <f t="shared" si="8"/>
        <v>18.77</v>
      </c>
      <c r="Q92" s="94">
        <f t="shared" si="8"/>
        <v>19</v>
      </c>
      <c r="R92" s="94">
        <f t="shared" si="8"/>
        <v>19.23</v>
      </c>
      <c r="S92" s="94">
        <f t="shared" si="8"/>
        <v>19.46</v>
      </c>
      <c r="T92" s="94">
        <f t="shared" si="8"/>
        <v>19.690000000000001</v>
      </c>
      <c r="U92" s="94">
        <f t="shared" si="8"/>
        <v>19.89</v>
      </c>
      <c r="V92" s="94">
        <f t="shared" si="8"/>
        <v>20.100000000000001</v>
      </c>
      <c r="W92" s="94">
        <f t="shared" si="8"/>
        <v>20.309999999999999</v>
      </c>
      <c r="X92" s="94">
        <f t="shared" si="8"/>
        <v>20.52</v>
      </c>
      <c r="Y92" s="94">
        <f t="shared" si="8"/>
        <v>20.73</v>
      </c>
      <c r="Z92" s="94">
        <f t="shared" si="8"/>
        <v>20.95</v>
      </c>
      <c r="AA92" s="94">
        <f t="shared" si="8"/>
        <v>21.17</v>
      </c>
      <c r="AB92" s="94">
        <f t="shared" si="8"/>
        <v>21.39</v>
      </c>
      <c r="AC92" s="94">
        <f t="shared" si="8"/>
        <v>21.61</v>
      </c>
      <c r="AD92" s="94">
        <f t="shared" si="8"/>
        <v>21.83</v>
      </c>
      <c r="AE92" s="94">
        <f t="shared" si="8"/>
        <v>22.04</v>
      </c>
      <c r="AF92" s="94">
        <f t="shared" si="8"/>
        <v>22.25</v>
      </c>
      <c r="AG92" s="94">
        <f t="shared" si="8"/>
        <v>22.46</v>
      </c>
      <c r="AH92" s="94">
        <f t="shared" si="8"/>
        <v>22.68</v>
      </c>
      <c r="AI92" s="94">
        <f t="shared" si="8"/>
        <v>22.9</v>
      </c>
      <c r="AJ92" s="94">
        <f t="shared" si="8"/>
        <v>23.12</v>
      </c>
      <c r="AK92" s="94">
        <f t="shared" si="8"/>
        <v>23.34</v>
      </c>
      <c r="AL92" s="94">
        <f t="shared" si="8"/>
        <v>23.56</v>
      </c>
      <c r="AM92" s="94">
        <f t="shared" si="8"/>
        <v>23.79</v>
      </c>
      <c r="AN92" s="94">
        <f t="shared" si="8"/>
        <v>24.02</v>
      </c>
      <c r="AO92" s="94">
        <f t="shared" si="8"/>
        <v>24.27</v>
      </c>
      <c r="AP92" s="94">
        <f t="shared" si="8"/>
        <v>24.52</v>
      </c>
      <c r="AQ92" s="94">
        <f t="shared" si="8"/>
        <v>24.78</v>
      </c>
      <c r="AR92" s="94">
        <f t="shared" si="8"/>
        <v>25.04</v>
      </c>
      <c r="AS92" s="94">
        <f t="shared" si="8"/>
        <v>25.3</v>
      </c>
      <c r="AT92" s="94">
        <f t="shared" si="8"/>
        <v>25.56</v>
      </c>
      <c r="AU92" s="94">
        <f t="shared" si="8"/>
        <v>25.83</v>
      </c>
      <c r="AV92" s="94">
        <f t="shared" si="8"/>
        <v>26.1</v>
      </c>
      <c r="AW92" s="94">
        <f t="shared" si="8"/>
        <v>26.37</v>
      </c>
      <c r="AX92" s="94">
        <f t="shared" si="8"/>
        <v>26.64</v>
      </c>
      <c r="AY92" s="94">
        <f t="shared" si="8"/>
        <v>26.92</v>
      </c>
      <c r="AZ92" s="94">
        <f t="shared" si="8"/>
        <v>27.2</v>
      </c>
      <c r="BA92" s="94">
        <f t="shared" si="8"/>
        <v>27.48</v>
      </c>
      <c r="BB92" s="94">
        <f t="shared" si="8"/>
        <v>27.77</v>
      </c>
    </row>
    <row r="93" spans="2:54" x14ac:dyDescent="0.2">
      <c r="B93" s="45" t="s">
        <v>142</v>
      </c>
      <c r="C93" s="94">
        <v>1.1000000000000001</v>
      </c>
      <c r="D93" s="94">
        <f>ROUND(C93*(1+(0.8*D23)),2)</f>
        <v>1.1200000000000001</v>
      </c>
      <c r="E93" s="94">
        <f t="shared" ref="E93:BB93" si="9">ROUND(D93*(1+(0.8*E23)),2)</f>
        <v>1.1499999999999999</v>
      </c>
      <c r="F93" s="94">
        <f t="shared" si="9"/>
        <v>1.17</v>
      </c>
      <c r="G93" s="94">
        <f t="shared" si="9"/>
        <v>1.19</v>
      </c>
      <c r="H93" s="94">
        <f t="shared" si="9"/>
        <v>1.21</v>
      </c>
      <c r="I93" s="94">
        <f t="shared" si="9"/>
        <v>1.23</v>
      </c>
      <c r="J93" s="94">
        <f t="shared" si="9"/>
        <v>1.25</v>
      </c>
      <c r="K93" s="94">
        <f t="shared" si="9"/>
        <v>1.27</v>
      </c>
      <c r="L93" s="94">
        <f t="shared" si="9"/>
        <v>1.29</v>
      </c>
      <c r="M93" s="94">
        <f t="shared" si="9"/>
        <v>1.31</v>
      </c>
      <c r="N93" s="94">
        <f t="shared" si="9"/>
        <v>1.33</v>
      </c>
      <c r="O93" s="94">
        <f t="shared" si="9"/>
        <v>1.35</v>
      </c>
      <c r="P93" s="94">
        <f t="shared" si="9"/>
        <v>1.37</v>
      </c>
      <c r="Q93" s="94">
        <f t="shared" si="9"/>
        <v>1.39</v>
      </c>
      <c r="R93" s="94">
        <f t="shared" si="9"/>
        <v>1.41</v>
      </c>
      <c r="S93" s="94">
        <f t="shared" si="9"/>
        <v>1.43</v>
      </c>
      <c r="T93" s="94">
        <f t="shared" si="9"/>
        <v>1.45</v>
      </c>
      <c r="U93" s="94">
        <f t="shared" si="9"/>
        <v>1.47</v>
      </c>
      <c r="V93" s="94">
        <f t="shared" si="9"/>
        <v>1.49</v>
      </c>
      <c r="W93" s="94">
        <f t="shared" si="9"/>
        <v>1.51</v>
      </c>
      <c r="X93" s="94">
        <f t="shared" si="9"/>
        <v>1.53</v>
      </c>
      <c r="Y93" s="94">
        <f t="shared" si="9"/>
        <v>1.55</v>
      </c>
      <c r="Z93" s="94">
        <f t="shared" si="9"/>
        <v>1.57</v>
      </c>
      <c r="AA93" s="94">
        <f t="shared" si="9"/>
        <v>1.59</v>
      </c>
      <c r="AB93" s="94">
        <f t="shared" si="9"/>
        <v>1.61</v>
      </c>
      <c r="AC93" s="94">
        <f t="shared" si="9"/>
        <v>1.63</v>
      </c>
      <c r="AD93" s="94">
        <f t="shared" si="9"/>
        <v>1.65</v>
      </c>
      <c r="AE93" s="94">
        <f t="shared" si="9"/>
        <v>1.67</v>
      </c>
      <c r="AF93" s="94">
        <f t="shared" si="9"/>
        <v>1.69</v>
      </c>
      <c r="AG93" s="94">
        <f t="shared" si="9"/>
        <v>1.71</v>
      </c>
      <c r="AH93" s="94">
        <f t="shared" si="9"/>
        <v>1.73</v>
      </c>
      <c r="AI93" s="94">
        <f t="shared" si="9"/>
        <v>1.75</v>
      </c>
      <c r="AJ93" s="94">
        <f t="shared" si="9"/>
        <v>1.77</v>
      </c>
      <c r="AK93" s="94">
        <f t="shared" si="9"/>
        <v>1.79</v>
      </c>
      <c r="AL93" s="94">
        <f t="shared" si="9"/>
        <v>1.81</v>
      </c>
      <c r="AM93" s="94">
        <f t="shared" si="9"/>
        <v>1.83</v>
      </c>
      <c r="AN93" s="94">
        <f t="shared" si="9"/>
        <v>1.85</v>
      </c>
      <c r="AO93" s="94">
        <f t="shared" si="9"/>
        <v>1.87</v>
      </c>
      <c r="AP93" s="94">
        <f t="shared" si="9"/>
        <v>1.89</v>
      </c>
      <c r="AQ93" s="94">
        <f t="shared" si="9"/>
        <v>1.91</v>
      </c>
      <c r="AR93" s="94">
        <f t="shared" si="9"/>
        <v>1.93</v>
      </c>
      <c r="AS93" s="94">
        <f t="shared" si="9"/>
        <v>1.95</v>
      </c>
      <c r="AT93" s="94">
        <f t="shared" si="9"/>
        <v>1.97</v>
      </c>
      <c r="AU93" s="94">
        <f t="shared" si="9"/>
        <v>1.99</v>
      </c>
      <c r="AV93" s="94">
        <f t="shared" si="9"/>
        <v>2.0099999999999998</v>
      </c>
      <c r="AW93" s="94">
        <f t="shared" si="9"/>
        <v>2.0299999999999998</v>
      </c>
      <c r="AX93" s="94">
        <f t="shared" si="9"/>
        <v>2.0499999999999998</v>
      </c>
      <c r="AY93" s="94">
        <f t="shared" si="9"/>
        <v>2.0699999999999998</v>
      </c>
      <c r="AZ93" s="94">
        <f t="shared" si="9"/>
        <v>2.09</v>
      </c>
      <c r="BA93" s="94">
        <f t="shared" si="9"/>
        <v>2.11</v>
      </c>
      <c r="BB93" s="94">
        <f t="shared" si="9"/>
        <v>2.13</v>
      </c>
    </row>
    <row r="94" spans="2:54" x14ac:dyDescent="0.2">
      <c r="B94" s="45" t="s">
        <v>143</v>
      </c>
      <c r="C94" s="94">
        <v>37.700000000000003</v>
      </c>
      <c r="D94" s="94">
        <f>ROUND(C94*(1+(0.8*D23)),2)</f>
        <v>38.51</v>
      </c>
      <c r="E94" s="94">
        <f t="shared" ref="E94:BB94" si="10">ROUND(D94*(1+(0.8*E23)),2)</f>
        <v>39.369999999999997</v>
      </c>
      <c r="F94" s="94">
        <f t="shared" si="10"/>
        <v>40.03</v>
      </c>
      <c r="G94" s="94">
        <f t="shared" si="10"/>
        <v>40.57</v>
      </c>
      <c r="H94" s="94">
        <f t="shared" si="10"/>
        <v>41.15</v>
      </c>
      <c r="I94" s="94">
        <f t="shared" si="10"/>
        <v>41.68</v>
      </c>
      <c r="J94" s="94">
        <f t="shared" si="10"/>
        <v>42.21</v>
      </c>
      <c r="K94" s="94">
        <f t="shared" si="10"/>
        <v>42.72</v>
      </c>
      <c r="L94" s="94">
        <f t="shared" si="10"/>
        <v>43.23</v>
      </c>
      <c r="M94" s="94">
        <f t="shared" si="10"/>
        <v>43.75</v>
      </c>
      <c r="N94" s="94">
        <f t="shared" si="10"/>
        <v>44.28</v>
      </c>
      <c r="O94" s="94">
        <f t="shared" si="10"/>
        <v>44.81</v>
      </c>
      <c r="P94" s="94">
        <f t="shared" si="10"/>
        <v>45.35</v>
      </c>
      <c r="Q94" s="94">
        <f t="shared" si="10"/>
        <v>45.89</v>
      </c>
      <c r="R94" s="94">
        <f t="shared" si="10"/>
        <v>46.44</v>
      </c>
      <c r="S94" s="94">
        <f t="shared" si="10"/>
        <v>47</v>
      </c>
      <c r="T94" s="94">
        <f t="shared" si="10"/>
        <v>47.56</v>
      </c>
      <c r="U94" s="94">
        <f t="shared" si="10"/>
        <v>48.05</v>
      </c>
      <c r="V94" s="94">
        <f t="shared" si="10"/>
        <v>48.55</v>
      </c>
      <c r="W94" s="94">
        <f t="shared" si="10"/>
        <v>49.05</v>
      </c>
      <c r="X94" s="94">
        <f t="shared" si="10"/>
        <v>49.56</v>
      </c>
      <c r="Y94" s="94">
        <f t="shared" si="10"/>
        <v>50.08</v>
      </c>
      <c r="Z94" s="94">
        <f t="shared" si="10"/>
        <v>50.6</v>
      </c>
      <c r="AA94" s="94">
        <f t="shared" si="10"/>
        <v>51.13</v>
      </c>
      <c r="AB94" s="94">
        <f t="shared" si="10"/>
        <v>51.66</v>
      </c>
      <c r="AC94" s="94">
        <f t="shared" si="10"/>
        <v>52.2</v>
      </c>
      <c r="AD94" s="94">
        <f t="shared" si="10"/>
        <v>52.74</v>
      </c>
      <c r="AE94" s="94">
        <f t="shared" si="10"/>
        <v>53.25</v>
      </c>
      <c r="AF94" s="94">
        <f t="shared" si="10"/>
        <v>53.76</v>
      </c>
      <c r="AG94" s="94">
        <f t="shared" si="10"/>
        <v>54.28</v>
      </c>
      <c r="AH94" s="94">
        <f t="shared" si="10"/>
        <v>54.8</v>
      </c>
      <c r="AI94" s="94">
        <f t="shared" si="10"/>
        <v>55.33</v>
      </c>
      <c r="AJ94" s="94">
        <f t="shared" si="10"/>
        <v>55.86</v>
      </c>
      <c r="AK94" s="94">
        <f t="shared" si="10"/>
        <v>56.4</v>
      </c>
      <c r="AL94" s="94">
        <f t="shared" si="10"/>
        <v>56.94</v>
      </c>
      <c r="AM94" s="94">
        <f t="shared" si="10"/>
        <v>57.49</v>
      </c>
      <c r="AN94" s="94">
        <f t="shared" si="10"/>
        <v>58.04</v>
      </c>
      <c r="AO94" s="94">
        <f t="shared" si="10"/>
        <v>58.64</v>
      </c>
      <c r="AP94" s="94">
        <f t="shared" si="10"/>
        <v>59.25</v>
      </c>
      <c r="AQ94" s="94">
        <f t="shared" si="10"/>
        <v>59.87</v>
      </c>
      <c r="AR94" s="94">
        <f t="shared" si="10"/>
        <v>60.49</v>
      </c>
      <c r="AS94" s="94">
        <f t="shared" si="10"/>
        <v>61.12</v>
      </c>
      <c r="AT94" s="94">
        <f t="shared" si="10"/>
        <v>61.76</v>
      </c>
      <c r="AU94" s="94">
        <f t="shared" si="10"/>
        <v>62.4</v>
      </c>
      <c r="AV94" s="94">
        <f t="shared" si="10"/>
        <v>63.05</v>
      </c>
      <c r="AW94" s="94">
        <f t="shared" si="10"/>
        <v>63.71</v>
      </c>
      <c r="AX94" s="94">
        <f t="shared" si="10"/>
        <v>64.37</v>
      </c>
      <c r="AY94" s="94">
        <f t="shared" si="10"/>
        <v>65.040000000000006</v>
      </c>
      <c r="AZ94" s="94">
        <f t="shared" si="10"/>
        <v>65.72</v>
      </c>
      <c r="BA94" s="94">
        <f t="shared" si="10"/>
        <v>66.400000000000006</v>
      </c>
      <c r="BB94" s="94">
        <f t="shared" si="10"/>
        <v>67.09</v>
      </c>
    </row>
    <row r="95" spans="2:54" x14ac:dyDescent="0.2">
      <c r="B95" s="1" t="s">
        <v>484</v>
      </c>
    </row>
    <row r="96" spans="2:54" x14ac:dyDescent="0.2">
      <c r="B96" s="1"/>
    </row>
    <row r="97" spans="2:7" ht="16.5" customHeight="1" x14ac:dyDescent="0.2">
      <c r="B97" s="143" t="s">
        <v>127</v>
      </c>
      <c r="C97" s="147" t="s">
        <v>130</v>
      </c>
      <c r="D97" s="147" t="s">
        <v>131</v>
      </c>
    </row>
    <row r="98" spans="2:7" x14ac:dyDescent="0.2">
      <c r="B98" s="64" t="s">
        <v>109</v>
      </c>
      <c r="C98" s="74">
        <v>0.72</v>
      </c>
      <c r="D98" s="3" t="s">
        <v>129</v>
      </c>
    </row>
    <row r="99" spans="2:7" x14ac:dyDescent="0.2">
      <c r="B99" s="44" t="s">
        <v>110</v>
      </c>
      <c r="C99" s="75">
        <v>0.82</v>
      </c>
      <c r="D99" s="3" t="s">
        <v>129</v>
      </c>
    </row>
    <row r="100" spans="2:7" x14ac:dyDescent="0.2">
      <c r="B100" s="44" t="s">
        <v>128</v>
      </c>
      <c r="C100" s="75">
        <v>0.7</v>
      </c>
      <c r="D100" s="3" t="s">
        <v>132</v>
      </c>
    </row>
    <row r="101" spans="2:7" x14ac:dyDescent="0.2">
      <c r="B101" s="1" t="s">
        <v>332</v>
      </c>
    </row>
    <row r="102" spans="2:7" x14ac:dyDescent="0.2">
      <c r="B102" s="1"/>
    </row>
    <row r="103" spans="2:7" ht="16.5" customHeight="1" x14ac:dyDescent="0.2">
      <c r="B103" s="626" t="s">
        <v>250</v>
      </c>
      <c r="C103" s="627"/>
      <c r="D103" s="627"/>
      <c r="E103" s="627"/>
      <c r="F103"/>
      <c r="G103"/>
    </row>
    <row r="104" spans="2:7" ht="12.75" customHeight="1" x14ac:dyDescent="0.2">
      <c r="B104" s="145" t="s">
        <v>92</v>
      </c>
      <c r="C104" s="139" t="s">
        <v>251</v>
      </c>
      <c r="D104" s="139" t="s">
        <v>252</v>
      </c>
      <c r="E104" s="139" t="s">
        <v>253</v>
      </c>
      <c r="F104" s="98"/>
      <c r="G104" s="98"/>
    </row>
    <row r="105" spans="2:7" x14ac:dyDescent="0.2">
      <c r="B105" s="46" t="s">
        <v>244</v>
      </c>
      <c r="C105" s="99">
        <v>3140</v>
      </c>
      <c r="D105" s="90">
        <v>0.182</v>
      </c>
      <c r="E105" s="90">
        <v>2.4E-2</v>
      </c>
      <c r="F105" s="97"/>
      <c r="G105" s="97"/>
    </row>
    <row r="106" spans="2:7" x14ac:dyDescent="0.2">
      <c r="B106" s="89" t="s">
        <v>245</v>
      </c>
      <c r="C106" s="99">
        <v>3190</v>
      </c>
      <c r="D106" s="90">
        <v>0.17599999999999999</v>
      </c>
      <c r="E106" s="90">
        <v>2.4E-2</v>
      </c>
      <c r="F106" s="97"/>
      <c r="G106" s="97"/>
    </row>
    <row r="107" spans="2:7" x14ac:dyDescent="0.2">
      <c r="B107" s="46" t="s">
        <v>233</v>
      </c>
      <c r="C107" s="99">
        <v>3140</v>
      </c>
      <c r="D107" s="90">
        <v>0.17899999999999999</v>
      </c>
      <c r="E107" s="90">
        <v>2.4E-2</v>
      </c>
      <c r="F107" s="97"/>
      <c r="G107" s="97"/>
    </row>
    <row r="108" spans="2:7" x14ac:dyDescent="0.2">
      <c r="B108" s="102" t="s">
        <v>334</v>
      </c>
      <c r="C108" s="96"/>
      <c r="D108" s="96"/>
      <c r="E108" s="96"/>
      <c r="F108" s="97"/>
      <c r="G108" s="97"/>
    </row>
    <row r="109" spans="2:7" x14ac:dyDescent="0.2">
      <c r="B109" s="95"/>
      <c r="C109" s="96"/>
      <c r="D109" s="96"/>
      <c r="E109" s="96"/>
      <c r="F109" s="97"/>
      <c r="G109" s="97"/>
    </row>
    <row r="110" spans="2:7" ht="17.25" customHeight="1" x14ac:dyDescent="0.2">
      <c r="B110" s="641" t="s">
        <v>257</v>
      </c>
      <c r="C110" s="642"/>
      <c r="D110" s="643"/>
      <c r="E110" s="96"/>
      <c r="F110" s="97"/>
      <c r="G110" s="97"/>
    </row>
    <row r="111" spans="2:7" ht="22.5" x14ac:dyDescent="0.2">
      <c r="B111" s="146" t="s">
        <v>254</v>
      </c>
      <c r="C111" s="139" t="s">
        <v>255</v>
      </c>
      <c r="D111" s="139" t="s">
        <v>256</v>
      </c>
      <c r="E111" s="96"/>
      <c r="F111" s="97"/>
      <c r="G111" s="97"/>
    </row>
    <row r="112" spans="2:7" x14ac:dyDescent="0.2">
      <c r="B112" s="43">
        <v>206</v>
      </c>
      <c r="C112" s="131">
        <v>210</v>
      </c>
      <c r="D112" s="131">
        <v>216</v>
      </c>
      <c r="E112" s="96"/>
      <c r="F112" s="97"/>
      <c r="G112" s="97"/>
    </row>
    <row r="113" spans="2:54" x14ac:dyDescent="0.2">
      <c r="B113" s="102" t="s">
        <v>337</v>
      </c>
      <c r="C113" s="96"/>
      <c r="D113" s="96"/>
      <c r="E113" s="96"/>
      <c r="F113" s="97"/>
      <c r="G113" s="97"/>
    </row>
    <row r="114" spans="2:54" x14ac:dyDescent="0.2">
      <c r="B114" s="95"/>
      <c r="C114" s="96"/>
      <c r="D114" s="96"/>
      <c r="E114" s="96"/>
      <c r="F114" s="97"/>
      <c r="G114" s="97"/>
    </row>
    <row r="115" spans="2:54" ht="16.5" customHeight="1" x14ac:dyDescent="0.2">
      <c r="B115" s="624" t="s">
        <v>258</v>
      </c>
      <c r="C115" s="625"/>
      <c r="D115" s="625"/>
      <c r="E115" s="625"/>
      <c r="F115" s="97"/>
      <c r="G115" s="97"/>
    </row>
    <row r="116" spans="2:54" x14ac:dyDescent="0.2">
      <c r="B116" s="148"/>
      <c r="C116" s="139" t="s">
        <v>251</v>
      </c>
      <c r="D116" s="139" t="s">
        <v>252</v>
      </c>
      <c r="E116" s="139" t="s">
        <v>253</v>
      </c>
      <c r="F116" s="97"/>
      <c r="G116" s="97"/>
    </row>
    <row r="117" spans="2:54" x14ac:dyDescent="0.2">
      <c r="B117" s="46" t="s">
        <v>153</v>
      </c>
      <c r="C117" s="99">
        <v>1</v>
      </c>
      <c r="D117" s="99">
        <v>25</v>
      </c>
      <c r="E117" s="99">
        <v>298</v>
      </c>
      <c r="F117" s="97"/>
      <c r="G117" s="97"/>
    </row>
    <row r="118" spans="2:54" x14ac:dyDescent="0.2">
      <c r="B118" s="102" t="s">
        <v>335</v>
      </c>
      <c r="C118" s="96"/>
      <c r="D118" s="96"/>
      <c r="E118" s="96"/>
      <c r="F118" s="97"/>
      <c r="G118" s="97"/>
    </row>
    <row r="119" spans="2:54" x14ac:dyDescent="0.2">
      <c r="B119" s="102"/>
      <c r="C119" s="96"/>
      <c r="D119" s="96"/>
      <c r="E119" s="96"/>
      <c r="F119" s="97"/>
      <c r="G119" s="97"/>
    </row>
    <row r="120" spans="2:54" ht="16.5" customHeight="1" x14ac:dyDescent="0.2">
      <c r="B120" s="143" t="s">
        <v>154</v>
      </c>
      <c r="C120" s="138">
        <v>2024</v>
      </c>
      <c r="D120" s="138">
        <v>2025</v>
      </c>
      <c r="E120" s="138">
        <v>2026</v>
      </c>
      <c r="F120" s="138">
        <v>2027</v>
      </c>
      <c r="G120" s="138">
        <v>2028</v>
      </c>
      <c r="H120" s="138">
        <v>2029</v>
      </c>
      <c r="I120" s="138">
        <v>2030</v>
      </c>
      <c r="J120" s="138">
        <v>2031</v>
      </c>
      <c r="K120" s="138">
        <v>2032</v>
      </c>
      <c r="L120" s="138">
        <v>2033</v>
      </c>
      <c r="M120" s="138">
        <v>2034</v>
      </c>
      <c r="N120" s="138">
        <v>2035</v>
      </c>
      <c r="O120" s="138">
        <v>2036</v>
      </c>
      <c r="P120" s="138">
        <v>2037</v>
      </c>
      <c r="Q120" s="138">
        <v>2038</v>
      </c>
      <c r="R120" s="138">
        <v>2039</v>
      </c>
      <c r="S120" s="138">
        <v>2040</v>
      </c>
      <c r="T120" s="138">
        <v>2041</v>
      </c>
      <c r="U120" s="138">
        <v>2042</v>
      </c>
      <c r="V120" s="138">
        <v>2043</v>
      </c>
      <c r="W120" s="138">
        <v>2044</v>
      </c>
      <c r="X120" s="138">
        <v>2045</v>
      </c>
      <c r="Y120" s="138">
        <v>2046</v>
      </c>
      <c r="Z120" s="138">
        <v>2047</v>
      </c>
      <c r="AA120" s="138">
        <v>2048</v>
      </c>
      <c r="AB120" s="138">
        <v>2049</v>
      </c>
      <c r="AC120" s="138">
        <v>2050</v>
      </c>
      <c r="AD120" s="138">
        <v>2051</v>
      </c>
      <c r="AE120" s="138">
        <v>2052</v>
      </c>
      <c r="AF120" s="138">
        <v>2053</v>
      </c>
      <c r="AG120" s="138">
        <v>2054</v>
      </c>
      <c r="AH120" s="138">
        <v>2055</v>
      </c>
      <c r="AI120" s="138">
        <v>2056</v>
      </c>
      <c r="AJ120" s="138">
        <v>2057</v>
      </c>
      <c r="AK120" s="138">
        <v>2058</v>
      </c>
      <c r="AL120" s="138">
        <v>2059</v>
      </c>
      <c r="AM120" s="138">
        <v>2060</v>
      </c>
      <c r="AN120" s="138">
        <v>2061</v>
      </c>
      <c r="AO120" s="138">
        <v>2062</v>
      </c>
      <c r="AP120" s="138">
        <v>2063</v>
      </c>
      <c r="AQ120" s="138">
        <v>2064</v>
      </c>
      <c r="AR120" s="138">
        <v>2065</v>
      </c>
      <c r="AS120" s="138">
        <v>2066</v>
      </c>
      <c r="AT120" s="138">
        <v>2067</v>
      </c>
      <c r="AU120" s="138">
        <v>2068</v>
      </c>
      <c r="AV120" s="138">
        <v>2069</v>
      </c>
      <c r="AW120" s="138">
        <v>2070</v>
      </c>
      <c r="AX120" s="138">
        <v>2071</v>
      </c>
      <c r="AY120" s="138">
        <v>2072</v>
      </c>
      <c r="AZ120" s="138">
        <v>2073</v>
      </c>
      <c r="BA120" s="138">
        <v>2074</v>
      </c>
      <c r="BB120" s="138">
        <v>2075</v>
      </c>
    </row>
    <row r="121" spans="2:54" x14ac:dyDescent="0.2">
      <c r="B121" s="46" t="s">
        <v>336</v>
      </c>
      <c r="C121" s="94">
        <v>183.3</v>
      </c>
      <c r="D121" s="149">
        <v>230.8</v>
      </c>
      <c r="E121" s="94">
        <f>ROUND(D121+($I$121-$D$121)/5,1)</f>
        <v>254.6</v>
      </c>
      <c r="F121" s="94">
        <f t="shared" ref="F121:H121" si="11">ROUND(E121+($I$121-$D$121)/5,1)</f>
        <v>278.39999999999998</v>
      </c>
      <c r="G121" s="94">
        <f t="shared" si="11"/>
        <v>302.2</v>
      </c>
      <c r="H121" s="94">
        <f t="shared" si="11"/>
        <v>326</v>
      </c>
      <c r="I121" s="149">
        <v>349.8</v>
      </c>
      <c r="J121" s="94">
        <f>ROUND(I121+($N$121-$I$121)/5,1)</f>
        <v>389</v>
      </c>
      <c r="K121" s="94">
        <f t="shared" ref="K121:M121" si="12">ROUND(J121+($N$121-$I$121)/5,1)</f>
        <v>428.2</v>
      </c>
      <c r="L121" s="94">
        <f t="shared" si="12"/>
        <v>467.4</v>
      </c>
      <c r="M121" s="94">
        <f t="shared" si="12"/>
        <v>506.6</v>
      </c>
      <c r="N121" s="149">
        <v>545.6</v>
      </c>
      <c r="O121" s="94">
        <f>ROUND(N121+($S$121-$N$121)/5,1)</f>
        <v>583.4</v>
      </c>
      <c r="P121" s="94">
        <f t="shared" ref="P121:R121" si="13">ROUND(O121+($S$121-$N$121)/5,1)</f>
        <v>621.20000000000005</v>
      </c>
      <c r="Q121" s="94">
        <f t="shared" si="13"/>
        <v>659</v>
      </c>
      <c r="R121" s="94">
        <f t="shared" si="13"/>
        <v>696.8</v>
      </c>
      <c r="S121" s="149">
        <v>734.5</v>
      </c>
      <c r="T121" s="94">
        <f>ROUND(S121+($X$121-$S$121)/5,1)</f>
        <v>772.3</v>
      </c>
      <c r="U121" s="94">
        <f t="shared" ref="U121:W121" si="14">ROUND(T121+($X$121-$S$121)/5,1)</f>
        <v>810.1</v>
      </c>
      <c r="V121" s="94">
        <f t="shared" si="14"/>
        <v>847.9</v>
      </c>
      <c r="W121" s="94">
        <f t="shared" si="14"/>
        <v>885.7</v>
      </c>
      <c r="X121" s="149">
        <v>923.4</v>
      </c>
      <c r="Y121" s="94">
        <f>ROUND(X121+($AC$121-$X$121)/5,1)</f>
        <v>962.6</v>
      </c>
      <c r="Z121" s="94">
        <f t="shared" ref="Z121:AB121" si="15">ROUND(Y121+($AC$121-$X$121)/5,1)</f>
        <v>1001.8</v>
      </c>
      <c r="AA121" s="94">
        <f t="shared" si="15"/>
        <v>1041</v>
      </c>
      <c r="AB121" s="94">
        <f t="shared" si="15"/>
        <v>1080.2</v>
      </c>
      <c r="AC121" s="149">
        <v>1119.2</v>
      </c>
      <c r="AD121" s="94">
        <f>ROUND(AC121*(1+(0.8*AD23)),1)</f>
        <v>1130.8</v>
      </c>
      <c r="AE121" s="94">
        <f t="shared" ref="AE121:BB121" si="16">ROUND(AD121*(1+(0.8*AE23)),1)</f>
        <v>1141.7</v>
      </c>
      <c r="AF121" s="94">
        <f t="shared" si="16"/>
        <v>1152.7</v>
      </c>
      <c r="AG121" s="94">
        <f t="shared" si="16"/>
        <v>1163.8</v>
      </c>
      <c r="AH121" s="94">
        <f t="shared" si="16"/>
        <v>1175</v>
      </c>
      <c r="AI121" s="94">
        <f t="shared" si="16"/>
        <v>1186.3</v>
      </c>
      <c r="AJ121" s="94">
        <f t="shared" si="16"/>
        <v>1197.7</v>
      </c>
      <c r="AK121" s="94">
        <f t="shared" si="16"/>
        <v>1209.2</v>
      </c>
      <c r="AL121" s="94">
        <f t="shared" si="16"/>
        <v>1220.8</v>
      </c>
      <c r="AM121" s="94">
        <f t="shared" si="16"/>
        <v>1232.5</v>
      </c>
      <c r="AN121" s="94">
        <f t="shared" si="16"/>
        <v>1244.3</v>
      </c>
      <c r="AO121" s="94">
        <f t="shared" si="16"/>
        <v>1257.2</v>
      </c>
      <c r="AP121" s="94">
        <f t="shared" si="16"/>
        <v>1270.3</v>
      </c>
      <c r="AQ121" s="94">
        <f t="shared" si="16"/>
        <v>1283.5</v>
      </c>
      <c r="AR121" s="94">
        <f t="shared" si="16"/>
        <v>1296.8</v>
      </c>
      <c r="AS121" s="94">
        <f t="shared" si="16"/>
        <v>1310.3</v>
      </c>
      <c r="AT121" s="94">
        <f t="shared" si="16"/>
        <v>1323.9</v>
      </c>
      <c r="AU121" s="94">
        <f t="shared" si="16"/>
        <v>1337.7</v>
      </c>
      <c r="AV121" s="94">
        <f t="shared" si="16"/>
        <v>1351.6</v>
      </c>
      <c r="AW121" s="94">
        <f t="shared" si="16"/>
        <v>1365.7</v>
      </c>
      <c r="AX121" s="94">
        <f t="shared" si="16"/>
        <v>1379.9</v>
      </c>
      <c r="AY121" s="94">
        <f t="shared" si="16"/>
        <v>1394.3</v>
      </c>
      <c r="AZ121" s="94">
        <f t="shared" si="16"/>
        <v>1408.8</v>
      </c>
      <c r="BA121" s="94">
        <f t="shared" si="16"/>
        <v>1423.5</v>
      </c>
      <c r="BB121" s="94">
        <f t="shared" si="16"/>
        <v>1438.3</v>
      </c>
    </row>
    <row r="122" spans="2:54" x14ac:dyDescent="0.2">
      <c r="B122" s="1" t="s">
        <v>370</v>
      </c>
      <c r="AQ122" s="68"/>
    </row>
    <row r="123" spans="2:54" x14ac:dyDescent="0.2">
      <c r="AQ123" s="68"/>
    </row>
    <row r="124" spans="2:54" ht="22.5" x14ac:dyDescent="0.2">
      <c r="B124" s="143" t="s">
        <v>155</v>
      </c>
      <c r="C124" s="138">
        <v>2024</v>
      </c>
      <c r="D124" s="138">
        <v>2025</v>
      </c>
      <c r="E124" s="138">
        <v>2026</v>
      </c>
      <c r="F124" s="138">
        <v>2027</v>
      </c>
      <c r="G124" s="138">
        <v>2028</v>
      </c>
      <c r="H124" s="138">
        <v>2029</v>
      </c>
      <c r="I124" s="138">
        <v>2030</v>
      </c>
      <c r="J124" s="138">
        <v>2031</v>
      </c>
      <c r="K124" s="138">
        <v>2032</v>
      </c>
      <c r="L124" s="138">
        <v>2033</v>
      </c>
      <c r="M124" s="138">
        <v>2034</v>
      </c>
      <c r="N124" s="138">
        <v>2035</v>
      </c>
      <c r="O124" s="138">
        <v>2036</v>
      </c>
      <c r="P124" s="138">
        <v>2037</v>
      </c>
      <c r="Q124" s="138">
        <v>2038</v>
      </c>
      <c r="R124" s="138">
        <v>2039</v>
      </c>
      <c r="S124" s="138">
        <v>2040</v>
      </c>
      <c r="T124" s="138">
        <v>2041</v>
      </c>
      <c r="U124" s="138">
        <v>2042</v>
      </c>
      <c r="V124" s="138">
        <v>2043</v>
      </c>
      <c r="W124" s="138">
        <v>2044</v>
      </c>
      <c r="X124" s="138">
        <v>2045</v>
      </c>
      <c r="Y124" s="138">
        <v>2046</v>
      </c>
      <c r="Z124" s="138">
        <v>2047</v>
      </c>
      <c r="AA124" s="138">
        <v>2048</v>
      </c>
      <c r="AB124" s="138">
        <v>2049</v>
      </c>
      <c r="AC124" s="138">
        <v>2050</v>
      </c>
      <c r="AD124" s="138">
        <v>2051</v>
      </c>
      <c r="AE124" s="138">
        <v>2052</v>
      </c>
      <c r="AF124" s="138">
        <v>2053</v>
      </c>
      <c r="AG124" s="138">
        <v>2054</v>
      </c>
      <c r="AH124" s="138">
        <v>2055</v>
      </c>
      <c r="AI124" s="138">
        <v>2056</v>
      </c>
      <c r="AJ124" s="138">
        <v>2057</v>
      </c>
      <c r="AK124" s="138">
        <v>2058</v>
      </c>
      <c r="AL124" s="138">
        <v>2059</v>
      </c>
      <c r="AM124" s="138">
        <v>2060</v>
      </c>
      <c r="AN124" s="138">
        <v>2061</v>
      </c>
      <c r="AO124" s="138">
        <v>2062</v>
      </c>
      <c r="AP124" s="138">
        <v>2063</v>
      </c>
      <c r="AQ124" s="138">
        <v>2064</v>
      </c>
      <c r="AR124" s="138">
        <v>2065</v>
      </c>
      <c r="AS124" s="138">
        <v>2066</v>
      </c>
      <c r="AT124" s="138">
        <v>2067</v>
      </c>
      <c r="AU124" s="138">
        <v>2068</v>
      </c>
      <c r="AV124" s="138">
        <v>2069</v>
      </c>
      <c r="AW124" s="138">
        <v>2070</v>
      </c>
      <c r="AX124" s="138">
        <v>2071</v>
      </c>
      <c r="AY124" s="138">
        <v>2072</v>
      </c>
      <c r="AZ124" s="138">
        <v>2073</v>
      </c>
      <c r="BA124" s="138">
        <v>2074</v>
      </c>
      <c r="BB124" s="138">
        <v>2075</v>
      </c>
    </row>
    <row r="125" spans="2:54" x14ac:dyDescent="0.2">
      <c r="B125" s="45" t="s">
        <v>259</v>
      </c>
      <c r="C125" s="103">
        <f>98.06*0.01</f>
        <v>0.98060000000000003</v>
      </c>
      <c r="D125" s="103">
        <f>ROUND(C125*(1+(0.8*D23)),4)</f>
        <v>1.0018</v>
      </c>
      <c r="E125" s="103">
        <f t="shared" ref="E125:BB125" si="17">ROUND(D125*(1+(0.8*E23)),4)</f>
        <v>1.0242</v>
      </c>
      <c r="F125" s="103">
        <f t="shared" si="17"/>
        <v>1.0414000000000001</v>
      </c>
      <c r="G125" s="103">
        <f t="shared" si="17"/>
        <v>1.0556000000000001</v>
      </c>
      <c r="H125" s="103">
        <f t="shared" si="17"/>
        <v>1.0708</v>
      </c>
      <c r="I125" s="103">
        <f t="shared" si="17"/>
        <v>1.0845</v>
      </c>
      <c r="J125" s="103">
        <f t="shared" si="17"/>
        <v>1.0984</v>
      </c>
      <c r="K125" s="103">
        <f t="shared" si="17"/>
        <v>1.1115999999999999</v>
      </c>
      <c r="L125" s="103">
        <f t="shared" si="17"/>
        <v>1.1249</v>
      </c>
      <c r="M125" s="103">
        <f t="shared" si="17"/>
        <v>1.1384000000000001</v>
      </c>
      <c r="N125" s="103">
        <f t="shared" si="17"/>
        <v>1.1520999999999999</v>
      </c>
      <c r="O125" s="103">
        <f t="shared" si="17"/>
        <v>1.1658999999999999</v>
      </c>
      <c r="P125" s="103">
        <f t="shared" si="17"/>
        <v>1.1798999999999999</v>
      </c>
      <c r="Q125" s="103">
        <f t="shared" si="17"/>
        <v>1.1940999999999999</v>
      </c>
      <c r="R125" s="103">
        <f t="shared" si="17"/>
        <v>1.2083999999999999</v>
      </c>
      <c r="S125" s="103">
        <f t="shared" si="17"/>
        <v>1.2229000000000001</v>
      </c>
      <c r="T125" s="103">
        <f t="shared" si="17"/>
        <v>1.2376</v>
      </c>
      <c r="U125" s="103">
        <f t="shared" si="17"/>
        <v>1.2504999999999999</v>
      </c>
      <c r="V125" s="103">
        <f t="shared" si="17"/>
        <v>1.2635000000000001</v>
      </c>
      <c r="W125" s="103">
        <f t="shared" si="17"/>
        <v>1.2766</v>
      </c>
      <c r="X125" s="103">
        <f t="shared" si="17"/>
        <v>1.2899</v>
      </c>
      <c r="Y125" s="103">
        <f t="shared" si="17"/>
        <v>1.3032999999999999</v>
      </c>
      <c r="Z125" s="103">
        <f t="shared" si="17"/>
        <v>1.3169</v>
      </c>
      <c r="AA125" s="103">
        <f t="shared" si="17"/>
        <v>1.3306</v>
      </c>
      <c r="AB125" s="103">
        <f t="shared" si="17"/>
        <v>1.3444</v>
      </c>
      <c r="AC125" s="103">
        <f t="shared" si="17"/>
        <v>1.3584000000000001</v>
      </c>
      <c r="AD125" s="103">
        <f t="shared" si="17"/>
        <v>1.3725000000000001</v>
      </c>
      <c r="AE125" s="103">
        <f t="shared" si="17"/>
        <v>1.3856999999999999</v>
      </c>
      <c r="AF125" s="103">
        <f t="shared" si="17"/>
        <v>1.399</v>
      </c>
      <c r="AG125" s="103">
        <f t="shared" si="17"/>
        <v>1.4124000000000001</v>
      </c>
      <c r="AH125" s="103">
        <f t="shared" si="17"/>
        <v>1.4259999999999999</v>
      </c>
      <c r="AI125" s="103">
        <f t="shared" si="17"/>
        <v>1.4397</v>
      </c>
      <c r="AJ125" s="103">
        <f t="shared" si="17"/>
        <v>1.4535</v>
      </c>
      <c r="AK125" s="103">
        <f t="shared" si="17"/>
        <v>1.4675</v>
      </c>
      <c r="AL125" s="103">
        <f t="shared" si="17"/>
        <v>1.4816</v>
      </c>
      <c r="AM125" s="103">
        <f t="shared" si="17"/>
        <v>1.4958</v>
      </c>
      <c r="AN125" s="103">
        <f t="shared" si="17"/>
        <v>1.5102</v>
      </c>
      <c r="AO125" s="103">
        <f t="shared" si="17"/>
        <v>1.5259</v>
      </c>
      <c r="AP125" s="103">
        <f t="shared" si="17"/>
        <v>1.5418000000000001</v>
      </c>
      <c r="AQ125" s="103">
        <f t="shared" si="17"/>
        <v>1.5578000000000001</v>
      </c>
      <c r="AR125" s="103">
        <f t="shared" si="17"/>
        <v>1.5740000000000001</v>
      </c>
      <c r="AS125" s="103">
        <f t="shared" si="17"/>
        <v>1.5904</v>
      </c>
      <c r="AT125" s="103">
        <f t="shared" si="17"/>
        <v>1.6069</v>
      </c>
      <c r="AU125" s="103">
        <f t="shared" si="17"/>
        <v>1.6235999999999999</v>
      </c>
      <c r="AV125" s="103">
        <f t="shared" si="17"/>
        <v>1.6405000000000001</v>
      </c>
      <c r="AW125" s="103">
        <f t="shared" si="17"/>
        <v>1.6576</v>
      </c>
      <c r="AX125" s="103">
        <f t="shared" si="17"/>
        <v>1.6748000000000001</v>
      </c>
      <c r="AY125" s="103">
        <f t="shared" si="17"/>
        <v>1.6921999999999999</v>
      </c>
      <c r="AZ125" s="103">
        <f t="shared" si="17"/>
        <v>1.7098</v>
      </c>
      <c r="BA125" s="103">
        <f t="shared" si="17"/>
        <v>1.7276</v>
      </c>
      <c r="BB125" s="103">
        <f t="shared" si="17"/>
        <v>1.7456</v>
      </c>
    </row>
    <row r="126" spans="2:54" x14ac:dyDescent="0.2">
      <c r="B126" s="45" t="s">
        <v>260</v>
      </c>
      <c r="C126" s="103">
        <f>43.25*0.01</f>
        <v>0.4325</v>
      </c>
      <c r="D126" s="103">
        <f>ROUND(C126*(1+(0.8*D23)),4)</f>
        <v>0.44180000000000003</v>
      </c>
      <c r="E126" s="103">
        <f t="shared" ref="E126:BB126" si="18">ROUND(D126*(1+(0.8*E23)),4)</f>
        <v>0.45169999999999999</v>
      </c>
      <c r="F126" s="103">
        <f t="shared" si="18"/>
        <v>0.45929999999999999</v>
      </c>
      <c r="G126" s="103">
        <f t="shared" si="18"/>
        <v>0.46550000000000002</v>
      </c>
      <c r="H126" s="103">
        <f t="shared" si="18"/>
        <v>0.47220000000000001</v>
      </c>
      <c r="I126" s="103">
        <f t="shared" si="18"/>
        <v>0.47820000000000001</v>
      </c>
      <c r="J126" s="103">
        <f t="shared" si="18"/>
        <v>0.48430000000000001</v>
      </c>
      <c r="K126" s="103">
        <f t="shared" si="18"/>
        <v>0.49009999999999998</v>
      </c>
      <c r="L126" s="103">
        <f t="shared" si="18"/>
        <v>0.496</v>
      </c>
      <c r="M126" s="103">
        <f t="shared" si="18"/>
        <v>0.502</v>
      </c>
      <c r="N126" s="103">
        <f t="shared" si="18"/>
        <v>0.50800000000000001</v>
      </c>
      <c r="O126" s="103">
        <f t="shared" si="18"/>
        <v>0.5141</v>
      </c>
      <c r="P126" s="103">
        <f t="shared" si="18"/>
        <v>0.52029999999999998</v>
      </c>
      <c r="Q126" s="103">
        <f t="shared" si="18"/>
        <v>0.52649999999999997</v>
      </c>
      <c r="R126" s="103">
        <f t="shared" si="18"/>
        <v>0.53280000000000005</v>
      </c>
      <c r="S126" s="103">
        <f t="shared" si="18"/>
        <v>0.53920000000000001</v>
      </c>
      <c r="T126" s="103">
        <f t="shared" si="18"/>
        <v>0.54569999999999996</v>
      </c>
      <c r="U126" s="103">
        <f t="shared" si="18"/>
        <v>0.5514</v>
      </c>
      <c r="V126" s="103">
        <f t="shared" si="18"/>
        <v>0.55710000000000004</v>
      </c>
      <c r="W126" s="103">
        <f t="shared" si="18"/>
        <v>0.56289999999999996</v>
      </c>
      <c r="X126" s="103">
        <f t="shared" si="18"/>
        <v>0.56879999999999997</v>
      </c>
      <c r="Y126" s="103">
        <f t="shared" si="18"/>
        <v>0.57469999999999999</v>
      </c>
      <c r="Z126" s="103">
        <f t="shared" si="18"/>
        <v>0.58069999999999999</v>
      </c>
      <c r="AA126" s="103">
        <f t="shared" si="18"/>
        <v>0.5867</v>
      </c>
      <c r="AB126" s="103">
        <f t="shared" si="18"/>
        <v>0.59279999999999999</v>
      </c>
      <c r="AC126" s="103">
        <f t="shared" si="18"/>
        <v>0.59899999999999998</v>
      </c>
      <c r="AD126" s="103">
        <f t="shared" si="18"/>
        <v>0.60519999999999996</v>
      </c>
      <c r="AE126" s="103">
        <f t="shared" si="18"/>
        <v>0.61099999999999999</v>
      </c>
      <c r="AF126" s="103">
        <f t="shared" si="18"/>
        <v>0.6169</v>
      </c>
      <c r="AG126" s="103">
        <f t="shared" si="18"/>
        <v>0.62280000000000002</v>
      </c>
      <c r="AH126" s="103">
        <f t="shared" si="18"/>
        <v>0.62880000000000003</v>
      </c>
      <c r="AI126" s="103">
        <f t="shared" si="18"/>
        <v>0.63480000000000003</v>
      </c>
      <c r="AJ126" s="103">
        <f t="shared" si="18"/>
        <v>0.64090000000000003</v>
      </c>
      <c r="AK126" s="103">
        <f t="shared" si="18"/>
        <v>0.64710000000000001</v>
      </c>
      <c r="AL126" s="103">
        <f t="shared" si="18"/>
        <v>0.65329999999999999</v>
      </c>
      <c r="AM126" s="103">
        <f t="shared" si="18"/>
        <v>0.65959999999999996</v>
      </c>
      <c r="AN126" s="103">
        <f t="shared" si="18"/>
        <v>0.66590000000000005</v>
      </c>
      <c r="AO126" s="103">
        <f t="shared" si="18"/>
        <v>0.67279999999999995</v>
      </c>
      <c r="AP126" s="103">
        <f t="shared" si="18"/>
        <v>0.67979999999999996</v>
      </c>
      <c r="AQ126" s="103">
        <f t="shared" si="18"/>
        <v>0.68689999999999996</v>
      </c>
      <c r="AR126" s="103">
        <f t="shared" si="18"/>
        <v>0.69399999999999995</v>
      </c>
      <c r="AS126" s="103">
        <f t="shared" si="18"/>
        <v>0.70120000000000005</v>
      </c>
      <c r="AT126" s="103">
        <f t="shared" si="18"/>
        <v>0.70850000000000002</v>
      </c>
      <c r="AU126" s="103">
        <f t="shared" si="18"/>
        <v>0.71589999999999998</v>
      </c>
      <c r="AV126" s="103">
        <f t="shared" si="18"/>
        <v>0.72330000000000005</v>
      </c>
      <c r="AW126" s="103">
        <f t="shared" si="18"/>
        <v>0.73080000000000001</v>
      </c>
      <c r="AX126" s="103">
        <f t="shared" si="18"/>
        <v>0.73839999999999995</v>
      </c>
      <c r="AY126" s="103">
        <f t="shared" si="18"/>
        <v>0.74609999999999999</v>
      </c>
      <c r="AZ126" s="103">
        <f t="shared" si="18"/>
        <v>0.75390000000000001</v>
      </c>
      <c r="BA126" s="103">
        <f t="shared" si="18"/>
        <v>0.76170000000000004</v>
      </c>
      <c r="BB126" s="103">
        <f t="shared" si="18"/>
        <v>0.76959999999999995</v>
      </c>
    </row>
    <row r="127" spans="2:54" x14ac:dyDescent="0.2">
      <c r="B127" s="45" t="s">
        <v>261</v>
      </c>
      <c r="C127" s="103">
        <f>6.24*0.01</f>
        <v>6.2400000000000004E-2</v>
      </c>
      <c r="D127" s="103">
        <f>ROUND(C127*(1+(0.8*D23)),4)</f>
        <v>6.3700000000000007E-2</v>
      </c>
      <c r="E127" s="103">
        <f t="shared" ref="E127:BB127" si="19">ROUND(D127*(1+(0.8*E23)),4)</f>
        <v>6.5100000000000005E-2</v>
      </c>
      <c r="F127" s="103">
        <f t="shared" si="19"/>
        <v>6.6199999999999995E-2</v>
      </c>
      <c r="G127" s="103">
        <f t="shared" si="19"/>
        <v>6.7100000000000007E-2</v>
      </c>
      <c r="H127" s="103">
        <f t="shared" si="19"/>
        <v>6.8099999999999994E-2</v>
      </c>
      <c r="I127" s="103">
        <f t="shared" si="19"/>
        <v>6.9000000000000006E-2</v>
      </c>
      <c r="J127" s="103">
        <f t="shared" si="19"/>
        <v>6.9900000000000004E-2</v>
      </c>
      <c r="K127" s="103">
        <f t="shared" si="19"/>
        <v>7.0699999999999999E-2</v>
      </c>
      <c r="L127" s="103">
        <f t="shared" si="19"/>
        <v>7.1499999999999994E-2</v>
      </c>
      <c r="M127" s="103">
        <f t="shared" si="19"/>
        <v>7.2400000000000006E-2</v>
      </c>
      <c r="N127" s="103">
        <f t="shared" si="19"/>
        <v>7.3300000000000004E-2</v>
      </c>
      <c r="O127" s="103">
        <f t="shared" si="19"/>
        <v>7.4200000000000002E-2</v>
      </c>
      <c r="P127" s="103">
        <f t="shared" si="19"/>
        <v>7.51E-2</v>
      </c>
      <c r="Q127" s="103">
        <f t="shared" si="19"/>
        <v>7.5999999999999998E-2</v>
      </c>
      <c r="R127" s="103">
        <f t="shared" si="19"/>
        <v>7.6899999999999996E-2</v>
      </c>
      <c r="S127" s="103">
        <f t="shared" si="19"/>
        <v>7.7799999999999994E-2</v>
      </c>
      <c r="T127" s="103">
        <f t="shared" si="19"/>
        <v>7.8700000000000006E-2</v>
      </c>
      <c r="U127" s="103">
        <f t="shared" si="19"/>
        <v>7.9500000000000001E-2</v>
      </c>
      <c r="V127" s="103">
        <f t="shared" si="19"/>
        <v>8.0299999999999996E-2</v>
      </c>
      <c r="W127" s="103">
        <f t="shared" si="19"/>
        <v>8.1100000000000005E-2</v>
      </c>
      <c r="X127" s="103">
        <f t="shared" si="19"/>
        <v>8.1900000000000001E-2</v>
      </c>
      <c r="Y127" s="103">
        <f t="shared" si="19"/>
        <v>8.2799999999999999E-2</v>
      </c>
      <c r="Z127" s="103">
        <f t="shared" si="19"/>
        <v>8.3699999999999997E-2</v>
      </c>
      <c r="AA127" s="103">
        <f t="shared" si="19"/>
        <v>8.4599999999999995E-2</v>
      </c>
      <c r="AB127" s="103">
        <f t="shared" si="19"/>
        <v>8.5500000000000007E-2</v>
      </c>
      <c r="AC127" s="103">
        <f t="shared" si="19"/>
        <v>8.6400000000000005E-2</v>
      </c>
      <c r="AD127" s="103">
        <f t="shared" si="19"/>
        <v>8.7300000000000003E-2</v>
      </c>
      <c r="AE127" s="103">
        <f t="shared" si="19"/>
        <v>8.8099999999999998E-2</v>
      </c>
      <c r="AF127" s="103">
        <f t="shared" si="19"/>
        <v>8.8900000000000007E-2</v>
      </c>
      <c r="AG127" s="103">
        <f t="shared" si="19"/>
        <v>8.9800000000000005E-2</v>
      </c>
      <c r="AH127" s="103">
        <f t="shared" si="19"/>
        <v>9.0700000000000003E-2</v>
      </c>
      <c r="AI127" s="103">
        <f t="shared" si="19"/>
        <v>9.1600000000000001E-2</v>
      </c>
      <c r="AJ127" s="103">
        <f t="shared" si="19"/>
        <v>9.2499999999999999E-2</v>
      </c>
      <c r="AK127" s="103">
        <f t="shared" si="19"/>
        <v>9.3399999999999997E-2</v>
      </c>
      <c r="AL127" s="103">
        <f t="shared" si="19"/>
        <v>9.4299999999999995E-2</v>
      </c>
      <c r="AM127" s="103">
        <f t="shared" si="19"/>
        <v>9.5200000000000007E-2</v>
      </c>
      <c r="AN127" s="103">
        <f t="shared" si="19"/>
        <v>9.6100000000000005E-2</v>
      </c>
      <c r="AO127" s="103">
        <f t="shared" si="19"/>
        <v>9.7100000000000006E-2</v>
      </c>
      <c r="AP127" s="103">
        <f t="shared" si="19"/>
        <v>9.8100000000000007E-2</v>
      </c>
      <c r="AQ127" s="103">
        <f t="shared" si="19"/>
        <v>9.9099999999999994E-2</v>
      </c>
      <c r="AR127" s="103">
        <f t="shared" si="19"/>
        <v>0.10009999999999999</v>
      </c>
      <c r="AS127" s="103">
        <f t="shared" si="19"/>
        <v>0.1011</v>
      </c>
      <c r="AT127" s="103">
        <f t="shared" si="19"/>
        <v>0.1022</v>
      </c>
      <c r="AU127" s="103">
        <f t="shared" si="19"/>
        <v>0.1033</v>
      </c>
      <c r="AV127" s="103">
        <f t="shared" si="19"/>
        <v>0.10440000000000001</v>
      </c>
      <c r="AW127" s="103">
        <f t="shared" si="19"/>
        <v>0.1055</v>
      </c>
      <c r="AX127" s="103">
        <f t="shared" si="19"/>
        <v>0.1066</v>
      </c>
      <c r="AY127" s="103">
        <f t="shared" si="19"/>
        <v>0.1077</v>
      </c>
      <c r="AZ127" s="103">
        <f t="shared" si="19"/>
        <v>0.10879999999999999</v>
      </c>
      <c r="BA127" s="103">
        <f t="shared" si="19"/>
        <v>0.1099</v>
      </c>
      <c r="BB127" s="103">
        <f t="shared" si="19"/>
        <v>0.111</v>
      </c>
    </row>
    <row r="128" spans="2:54" x14ac:dyDescent="0.2">
      <c r="B128" s="1" t="s">
        <v>485</v>
      </c>
    </row>
    <row r="131" spans="2:8" ht="27.75" x14ac:dyDescent="0.4">
      <c r="B131" s="132" t="s">
        <v>262</v>
      </c>
    </row>
    <row r="134" spans="2:8" x14ac:dyDescent="0.2">
      <c r="B134" s="15" t="s">
        <v>338</v>
      </c>
      <c r="C134" s="15"/>
      <c r="D134" s="15"/>
      <c r="E134" s="15"/>
      <c r="F134" s="15"/>
      <c r="G134" s="15"/>
      <c r="H134" s="15"/>
    </row>
    <row r="135" spans="2:8" ht="17.25" customHeight="1" x14ac:dyDescent="0.2">
      <c r="B135" s="189" t="s">
        <v>89</v>
      </c>
      <c r="C135" s="190" t="s">
        <v>90</v>
      </c>
    </row>
    <row r="136" spans="2:8" x14ac:dyDescent="0.2">
      <c r="B136" s="3" t="s">
        <v>82</v>
      </c>
      <c r="C136" s="191">
        <v>7</v>
      </c>
      <c r="E136" s="2" t="s">
        <v>91</v>
      </c>
    </row>
    <row r="137" spans="2:8" x14ac:dyDescent="0.2">
      <c r="B137" s="3" t="s">
        <v>83</v>
      </c>
      <c r="C137" s="191">
        <v>5.8</v>
      </c>
      <c r="E137" s="2" t="s">
        <v>339</v>
      </c>
    </row>
    <row r="138" spans="2:8" x14ac:dyDescent="0.2">
      <c r="B138" s="3" t="s">
        <v>84</v>
      </c>
      <c r="C138" s="191">
        <v>139.4</v>
      </c>
    </row>
    <row r="139" spans="2:8" x14ac:dyDescent="0.2">
      <c r="B139" s="3" t="s">
        <v>340</v>
      </c>
      <c r="C139" s="191">
        <v>61.1</v>
      </c>
    </row>
    <row r="140" spans="2:8" x14ac:dyDescent="0.2">
      <c r="B140" s="3" t="s">
        <v>85</v>
      </c>
      <c r="C140" s="191">
        <v>6.2</v>
      </c>
    </row>
    <row r="141" spans="2:8" x14ac:dyDescent="0.2">
      <c r="B141" s="3" t="s">
        <v>86</v>
      </c>
      <c r="C141" s="191">
        <v>5.4</v>
      </c>
    </row>
    <row r="142" spans="2:8" x14ac:dyDescent="0.2">
      <c r="B142" s="3" t="s">
        <v>341</v>
      </c>
      <c r="C142" s="191">
        <v>124.8</v>
      </c>
    </row>
    <row r="143" spans="2:8" x14ac:dyDescent="0.2">
      <c r="B143" s="3" t="s">
        <v>342</v>
      </c>
      <c r="C143" s="191">
        <v>46.5</v>
      </c>
    </row>
    <row r="144" spans="2:8" x14ac:dyDescent="0.2">
      <c r="B144" s="3" t="s">
        <v>87</v>
      </c>
      <c r="C144" s="191">
        <v>5.0999999999999996</v>
      </c>
    </row>
    <row r="145" spans="2:123" x14ac:dyDescent="0.2">
      <c r="B145" s="3" t="s">
        <v>88</v>
      </c>
      <c r="C145" s="191">
        <v>3.9</v>
      </c>
    </row>
    <row r="146" spans="2:123" x14ac:dyDescent="0.2">
      <c r="B146" s="3" t="s">
        <v>343</v>
      </c>
      <c r="C146" s="191">
        <v>46.5</v>
      </c>
    </row>
    <row r="147" spans="2:123" x14ac:dyDescent="0.2">
      <c r="B147" s="3" t="s">
        <v>81</v>
      </c>
      <c r="C147" s="191">
        <v>164.3</v>
      </c>
    </row>
    <row r="148" spans="2:123" x14ac:dyDescent="0.2">
      <c r="B148" s="1" t="s">
        <v>486</v>
      </c>
      <c r="C148" s="78"/>
    </row>
    <row r="150" spans="2:123" ht="17.25" customHeight="1" x14ac:dyDescent="0.2">
      <c r="B150" s="646" t="s">
        <v>99</v>
      </c>
      <c r="C150" s="646"/>
    </row>
    <row r="151" spans="2:123" x14ac:dyDescent="0.2">
      <c r="B151" s="3" t="s">
        <v>344</v>
      </c>
      <c r="C151" s="75">
        <v>1.34</v>
      </c>
    </row>
    <row r="152" spans="2:123" x14ac:dyDescent="0.2">
      <c r="B152" s="3" t="s">
        <v>345</v>
      </c>
      <c r="C152" s="75">
        <v>1.51</v>
      </c>
    </row>
    <row r="153" spans="2:123" x14ac:dyDescent="0.2">
      <c r="B153" s="3" t="s">
        <v>100</v>
      </c>
      <c r="C153" s="192">
        <v>22</v>
      </c>
    </row>
    <row r="154" spans="2:123" x14ac:dyDescent="0.2">
      <c r="B154" s="1" t="s">
        <v>71</v>
      </c>
    </row>
    <row r="156" spans="2:123" ht="22.5" x14ac:dyDescent="0.2">
      <c r="B156" s="173" t="s">
        <v>111</v>
      </c>
      <c r="C156" s="174" t="s">
        <v>106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1"/>
    </row>
    <row r="157" spans="2:123" ht="17.25" customHeight="1" x14ac:dyDescent="0.2">
      <c r="B157" s="83" t="s">
        <v>92</v>
      </c>
      <c r="C157" s="193">
        <v>10</v>
      </c>
      <c r="D157" s="193">
        <v>11</v>
      </c>
      <c r="E157" s="193">
        <v>12</v>
      </c>
      <c r="F157" s="193">
        <v>13</v>
      </c>
      <c r="G157" s="193">
        <v>14</v>
      </c>
      <c r="H157" s="193">
        <v>15</v>
      </c>
      <c r="I157" s="193">
        <v>16</v>
      </c>
      <c r="J157" s="193">
        <v>17</v>
      </c>
      <c r="K157" s="193">
        <v>18</v>
      </c>
      <c r="L157" s="193">
        <v>19</v>
      </c>
      <c r="M157" s="193">
        <v>20</v>
      </c>
      <c r="N157" s="193">
        <v>21</v>
      </c>
      <c r="O157" s="193">
        <v>22</v>
      </c>
      <c r="P157" s="193">
        <v>23</v>
      </c>
      <c r="Q157" s="193">
        <v>24</v>
      </c>
      <c r="R157" s="193">
        <v>25</v>
      </c>
      <c r="S157" s="193">
        <v>26</v>
      </c>
      <c r="T157" s="193">
        <v>27</v>
      </c>
      <c r="U157" s="193">
        <v>28</v>
      </c>
      <c r="V157" s="193">
        <v>29</v>
      </c>
      <c r="W157" s="193">
        <v>30</v>
      </c>
      <c r="X157" s="193">
        <v>31</v>
      </c>
      <c r="Y157" s="193">
        <v>32</v>
      </c>
      <c r="Z157" s="193">
        <v>33</v>
      </c>
      <c r="AA157" s="193">
        <v>34</v>
      </c>
      <c r="AB157" s="193">
        <v>35</v>
      </c>
      <c r="AC157" s="193">
        <v>36</v>
      </c>
      <c r="AD157" s="193">
        <v>37</v>
      </c>
      <c r="AE157" s="193">
        <v>38</v>
      </c>
      <c r="AF157" s="193">
        <v>39</v>
      </c>
      <c r="AG157" s="193">
        <v>40</v>
      </c>
      <c r="AH157" s="193">
        <v>41</v>
      </c>
      <c r="AI157" s="193">
        <v>42</v>
      </c>
      <c r="AJ157" s="193">
        <v>43</v>
      </c>
      <c r="AK157" s="193">
        <v>44</v>
      </c>
      <c r="AL157" s="193">
        <v>45</v>
      </c>
      <c r="AM157" s="193">
        <v>46</v>
      </c>
      <c r="AN157" s="193">
        <v>47</v>
      </c>
      <c r="AO157" s="193">
        <v>48</v>
      </c>
      <c r="AP157" s="193">
        <v>49</v>
      </c>
      <c r="AQ157" s="193">
        <v>50</v>
      </c>
      <c r="AR157" s="193">
        <v>51</v>
      </c>
      <c r="AS157" s="193">
        <v>52</v>
      </c>
      <c r="AT157" s="193">
        <v>53</v>
      </c>
      <c r="AU157" s="193">
        <v>54</v>
      </c>
      <c r="AV157" s="193">
        <v>55</v>
      </c>
      <c r="AW157" s="193">
        <v>56</v>
      </c>
      <c r="AX157" s="193">
        <v>57</v>
      </c>
      <c r="AY157" s="193">
        <v>58</v>
      </c>
      <c r="AZ157" s="193">
        <v>59</v>
      </c>
      <c r="BA157" s="193">
        <v>60</v>
      </c>
      <c r="BB157" s="193">
        <v>61</v>
      </c>
      <c r="BC157" s="193">
        <v>62</v>
      </c>
      <c r="BD157" s="193">
        <v>63</v>
      </c>
      <c r="BE157" s="193">
        <v>64</v>
      </c>
      <c r="BF157" s="193">
        <v>65</v>
      </c>
      <c r="BG157" s="193">
        <v>66</v>
      </c>
      <c r="BH157" s="193">
        <v>67</v>
      </c>
      <c r="BI157" s="193">
        <v>68</v>
      </c>
      <c r="BJ157" s="193">
        <v>69</v>
      </c>
      <c r="BK157" s="193">
        <v>70</v>
      </c>
      <c r="BL157" s="193">
        <v>71</v>
      </c>
      <c r="BM157" s="193">
        <v>72</v>
      </c>
      <c r="BN157" s="193">
        <v>73</v>
      </c>
      <c r="BO157" s="193">
        <v>74</v>
      </c>
      <c r="BP157" s="193">
        <v>75</v>
      </c>
      <c r="BQ157" s="193">
        <v>76</v>
      </c>
      <c r="BR157" s="193">
        <v>77</v>
      </c>
      <c r="BS157" s="193">
        <v>78</v>
      </c>
      <c r="BT157" s="193">
        <v>79</v>
      </c>
      <c r="BU157" s="193">
        <v>80</v>
      </c>
      <c r="BV157" s="193">
        <v>81</v>
      </c>
      <c r="BW157" s="193">
        <v>82</v>
      </c>
      <c r="BX157" s="193">
        <v>83</v>
      </c>
      <c r="BY157" s="193">
        <v>84</v>
      </c>
      <c r="BZ157" s="193">
        <v>85</v>
      </c>
      <c r="CA157" s="193">
        <v>86</v>
      </c>
      <c r="CB157" s="193">
        <v>87</v>
      </c>
      <c r="CC157" s="193">
        <v>88</v>
      </c>
      <c r="CD157" s="193">
        <v>89</v>
      </c>
      <c r="CE157" s="193">
        <v>90</v>
      </c>
      <c r="CF157" s="193">
        <v>91</v>
      </c>
      <c r="CG157" s="193">
        <v>92</v>
      </c>
      <c r="CH157" s="193">
        <v>93</v>
      </c>
      <c r="CI157" s="193">
        <v>94</v>
      </c>
      <c r="CJ157" s="193">
        <v>95</v>
      </c>
      <c r="CK157" s="193">
        <v>96</v>
      </c>
      <c r="CL157" s="193">
        <v>97</v>
      </c>
      <c r="CM157" s="193">
        <v>98</v>
      </c>
      <c r="CN157" s="193">
        <v>99</v>
      </c>
      <c r="CO157" s="193">
        <v>100</v>
      </c>
      <c r="CP157" s="193">
        <v>101</v>
      </c>
      <c r="CQ157" s="193">
        <v>102</v>
      </c>
      <c r="CR157" s="193">
        <v>103</v>
      </c>
      <c r="CS157" s="193">
        <v>104</v>
      </c>
      <c r="CT157" s="193">
        <v>105</v>
      </c>
      <c r="CU157" s="193">
        <v>106</v>
      </c>
      <c r="CV157" s="193">
        <v>107</v>
      </c>
      <c r="CW157" s="193">
        <v>108</v>
      </c>
      <c r="CX157" s="193">
        <v>109</v>
      </c>
      <c r="CY157" s="193">
        <v>110</v>
      </c>
      <c r="CZ157" s="193">
        <v>111</v>
      </c>
      <c r="DA157" s="193">
        <v>112</v>
      </c>
      <c r="DB157" s="193">
        <v>113</v>
      </c>
      <c r="DC157" s="193">
        <v>114</v>
      </c>
      <c r="DD157" s="193">
        <v>115</v>
      </c>
      <c r="DE157" s="193">
        <v>116</v>
      </c>
      <c r="DF157" s="193">
        <v>117</v>
      </c>
      <c r="DG157" s="193">
        <v>118</v>
      </c>
      <c r="DH157" s="193">
        <v>119</v>
      </c>
      <c r="DI157" s="193">
        <v>120</v>
      </c>
      <c r="DJ157" s="193">
        <v>121</v>
      </c>
      <c r="DK157" s="193">
        <v>122</v>
      </c>
      <c r="DL157" s="193">
        <v>123</v>
      </c>
      <c r="DM157" s="193">
        <v>124</v>
      </c>
      <c r="DN157" s="193">
        <v>125</v>
      </c>
      <c r="DO157" s="193">
        <v>126</v>
      </c>
      <c r="DP157" s="193">
        <v>127</v>
      </c>
      <c r="DQ157" s="193">
        <v>128</v>
      </c>
      <c r="DR157" s="193">
        <v>129</v>
      </c>
      <c r="DS157" s="193">
        <v>130</v>
      </c>
    </row>
    <row r="158" spans="2:123" x14ac:dyDescent="0.2">
      <c r="B158" s="3" t="s">
        <v>107</v>
      </c>
      <c r="C158" s="72">
        <v>0.128</v>
      </c>
      <c r="D158" s="73">
        <v>0.123</v>
      </c>
      <c r="E158" s="73">
        <v>0.11799999999999999</v>
      </c>
      <c r="F158" s="73">
        <v>0.115</v>
      </c>
      <c r="G158" s="73">
        <v>0.111</v>
      </c>
      <c r="H158" s="73">
        <v>0.108</v>
      </c>
      <c r="I158" s="73">
        <v>0.106</v>
      </c>
      <c r="J158" s="73">
        <v>0.10299999999999999</v>
      </c>
      <c r="K158" s="73">
        <v>0.10100000000000001</v>
      </c>
      <c r="L158" s="73">
        <v>9.9000000000000005E-2</v>
      </c>
      <c r="M158" s="72">
        <v>9.7000000000000003E-2</v>
      </c>
      <c r="N158" s="73">
        <v>9.5000000000000001E-2</v>
      </c>
      <c r="O158" s="73">
        <v>9.2999999999999999E-2</v>
      </c>
      <c r="P158" s="73">
        <v>9.1999999999999998E-2</v>
      </c>
      <c r="Q158" s="73">
        <v>0.09</v>
      </c>
      <c r="R158" s="73">
        <v>8.8999999999999996E-2</v>
      </c>
      <c r="S158" s="73">
        <v>8.6999999999999994E-2</v>
      </c>
      <c r="T158" s="73">
        <v>8.5999999999999993E-2</v>
      </c>
      <c r="U158" s="73">
        <v>8.5000000000000006E-2</v>
      </c>
      <c r="V158" s="73">
        <v>8.4000000000000005E-2</v>
      </c>
      <c r="W158" s="72">
        <v>8.2000000000000003E-2</v>
      </c>
      <c r="X158" s="73">
        <v>8.1000000000000003E-2</v>
      </c>
      <c r="Y158" s="73">
        <v>0.08</v>
      </c>
      <c r="Z158" s="73">
        <v>7.9000000000000001E-2</v>
      </c>
      <c r="AA158" s="73">
        <v>7.8E-2</v>
      </c>
      <c r="AB158" s="73">
        <v>7.6999999999999999E-2</v>
      </c>
      <c r="AC158" s="73">
        <v>7.5999999999999998E-2</v>
      </c>
      <c r="AD158" s="73">
        <v>7.4999999999999997E-2</v>
      </c>
      <c r="AE158" s="73">
        <v>7.4999999999999997E-2</v>
      </c>
      <c r="AF158" s="73">
        <v>7.3999999999999996E-2</v>
      </c>
      <c r="AG158" s="72">
        <v>7.2999999999999995E-2</v>
      </c>
      <c r="AH158" s="73">
        <v>7.1999999999999995E-2</v>
      </c>
      <c r="AI158" s="73">
        <v>7.0999999999999994E-2</v>
      </c>
      <c r="AJ158" s="73">
        <v>7.0999999999999994E-2</v>
      </c>
      <c r="AK158" s="73">
        <v>7.0000000000000007E-2</v>
      </c>
      <c r="AL158" s="73">
        <v>6.9000000000000006E-2</v>
      </c>
      <c r="AM158" s="73">
        <v>6.9000000000000006E-2</v>
      </c>
      <c r="AN158" s="73">
        <v>6.8000000000000005E-2</v>
      </c>
      <c r="AO158" s="73">
        <v>6.7000000000000004E-2</v>
      </c>
      <c r="AP158" s="73">
        <v>6.7000000000000004E-2</v>
      </c>
      <c r="AQ158" s="72">
        <v>6.6000000000000003E-2</v>
      </c>
      <c r="AR158" s="73">
        <v>6.6000000000000003E-2</v>
      </c>
      <c r="AS158" s="73">
        <v>6.5000000000000002E-2</v>
      </c>
      <c r="AT158" s="73">
        <v>6.5000000000000002E-2</v>
      </c>
      <c r="AU158" s="73">
        <v>6.4000000000000001E-2</v>
      </c>
      <c r="AV158" s="73">
        <v>6.4000000000000001E-2</v>
      </c>
      <c r="AW158" s="73">
        <v>6.3E-2</v>
      </c>
      <c r="AX158" s="73">
        <v>6.3E-2</v>
      </c>
      <c r="AY158" s="73">
        <v>6.3E-2</v>
      </c>
      <c r="AZ158" s="73">
        <v>6.2E-2</v>
      </c>
      <c r="BA158" s="72">
        <v>6.2E-2</v>
      </c>
      <c r="BB158" s="73">
        <v>6.2E-2</v>
      </c>
      <c r="BC158" s="73">
        <v>6.0999999999999999E-2</v>
      </c>
      <c r="BD158" s="73">
        <v>6.0999999999999999E-2</v>
      </c>
      <c r="BE158" s="73">
        <v>6.0999999999999999E-2</v>
      </c>
      <c r="BF158" s="73">
        <v>0.06</v>
      </c>
      <c r="BG158" s="73">
        <v>0.06</v>
      </c>
      <c r="BH158" s="73">
        <v>0.06</v>
      </c>
      <c r="BI158" s="73">
        <v>0.06</v>
      </c>
      <c r="BJ158" s="73">
        <v>5.8999999999999997E-2</v>
      </c>
      <c r="BK158" s="72">
        <v>5.8999999999999997E-2</v>
      </c>
      <c r="BL158" s="73">
        <v>5.8999999999999997E-2</v>
      </c>
      <c r="BM158" s="73">
        <v>5.8999999999999997E-2</v>
      </c>
      <c r="BN158" s="73">
        <v>5.8999999999999997E-2</v>
      </c>
      <c r="BO158" s="73">
        <v>5.8999999999999997E-2</v>
      </c>
      <c r="BP158" s="73">
        <v>5.8999999999999997E-2</v>
      </c>
      <c r="BQ158" s="73">
        <v>5.8000000000000003E-2</v>
      </c>
      <c r="BR158" s="73">
        <v>5.8000000000000003E-2</v>
      </c>
      <c r="BS158" s="73">
        <v>5.8000000000000003E-2</v>
      </c>
      <c r="BT158" s="73">
        <v>5.8000000000000003E-2</v>
      </c>
      <c r="BU158" s="72">
        <v>5.8000000000000003E-2</v>
      </c>
      <c r="BV158" s="73">
        <v>5.8000000000000003E-2</v>
      </c>
      <c r="BW158" s="73">
        <v>5.8000000000000003E-2</v>
      </c>
      <c r="BX158" s="73">
        <v>5.8000000000000003E-2</v>
      </c>
      <c r="BY158" s="73">
        <v>5.8000000000000003E-2</v>
      </c>
      <c r="BZ158" s="73">
        <v>5.8000000000000003E-2</v>
      </c>
      <c r="CA158" s="73">
        <v>5.8000000000000003E-2</v>
      </c>
      <c r="CB158" s="73">
        <v>5.8999999999999997E-2</v>
      </c>
      <c r="CC158" s="73">
        <v>5.8999999999999997E-2</v>
      </c>
      <c r="CD158" s="73">
        <v>5.8999999999999997E-2</v>
      </c>
      <c r="CE158" s="72">
        <v>5.8999999999999997E-2</v>
      </c>
      <c r="CF158" s="73">
        <v>5.8999999999999997E-2</v>
      </c>
      <c r="CG158" s="73">
        <v>5.8999999999999997E-2</v>
      </c>
      <c r="CH158" s="73">
        <v>5.8999999999999997E-2</v>
      </c>
      <c r="CI158" s="73">
        <v>0.06</v>
      </c>
      <c r="CJ158" s="73">
        <v>0.06</v>
      </c>
      <c r="CK158" s="73">
        <v>0.06</v>
      </c>
      <c r="CL158" s="73">
        <v>0.06</v>
      </c>
      <c r="CM158" s="73">
        <v>0.06</v>
      </c>
      <c r="CN158" s="73">
        <v>6.0999999999999999E-2</v>
      </c>
      <c r="CO158" s="72">
        <v>6.0999999999999999E-2</v>
      </c>
      <c r="CP158" s="73">
        <v>6.0999999999999999E-2</v>
      </c>
      <c r="CQ158" s="73">
        <v>6.2E-2</v>
      </c>
      <c r="CR158" s="73">
        <v>6.2E-2</v>
      </c>
      <c r="CS158" s="73">
        <v>6.2E-2</v>
      </c>
      <c r="CT158" s="73">
        <v>6.3E-2</v>
      </c>
      <c r="CU158" s="73">
        <v>6.3E-2</v>
      </c>
      <c r="CV158" s="73">
        <v>6.3E-2</v>
      </c>
      <c r="CW158" s="73">
        <v>6.4000000000000001E-2</v>
      </c>
      <c r="CX158" s="73">
        <v>6.4000000000000001E-2</v>
      </c>
      <c r="CY158" s="72">
        <v>6.5000000000000002E-2</v>
      </c>
      <c r="CZ158" s="73">
        <v>6.5000000000000002E-2</v>
      </c>
      <c r="DA158" s="73">
        <v>6.5000000000000002E-2</v>
      </c>
      <c r="DB158" s="73">
        <v>6.6000000000000003E-2</v>
      </c>
      <c r="DC158" s="73">
        <v>6.6000000000000003E-2</v>
      </c>
      <c r="DD158" s="73">
        <v>6.7000000000000004E-2</v>
      </c>
      <c r="DE158" s="73">
        <v>6.7000000000000004E-2</v>
      </c>
      <c r="DF158" s="73">
        <v>6.8000000000000005E-2</v>
      </c>
      <c r="DG158" s="73">
        <v>6.8000000000000005E-2</v>
      </c>
      <c r="DH158" s="73">
        <v>6.9000000000000006E-2</v>
      </c>
      <c r="DI158" s="72">
        <v>7.0000000000000007E-2</v>
      </c>
      <c r="DJ158" s="73">
        <v>7.0000000000000007E-2</v>
      </c>
      <c r="DK158" s="73">
        <v>7.0999999999999994E-2</v>
      </c>
      <c r="DL158" s="73">
        <v>7.0999999999999994E-2</v>
      </c>
      <c r="DM158" s="73">
        <v>7.1999999999999995E-2</v>
      </c>
      <c r="DN158" s="73">
        <v>7.2999999999999995E-2</v>
      </c>
      <c r="DO158" s="73">
        <v>7.2999999999999995E-2</v>
      </c>
      <c r="DP158" s="73">
        <v>7.3999999999999996E-2</v>
      </c>
      <c r="DQ158" s="73">
        <v>7.4999999999999997E-2</v>
      </c>
      <c r="DR158" s="73">
        <v>7.4999999999999997E-2</v>
      </c>
      <c r="DS158" s="72">
        <v>7.5999999999999998E-2</v>
      </c>
    </row>
    <row r="159" spans="2:123" x14ac:dyDescent="0.2">
      <c r="B159" s="3" t="s">
        <v>108</v>
      </c>
      <c r="C159" s="72">
        <v>0.109</v>
      </c>
      <c r="D159" s="73">
        <v>0.104</v>
      </c>
      <c r="E159" s="73">
        <v>0.1</v>
      </c>
      <c r="F159" s="73">
        <v>9.6000000000000002E-2</v>
      </c>
      <c r="G159" s="73">
        <v>9.2999999999999999E-2</v>
      </c>
      <c r="H159" s="73">
        <v>9.0999999999999998E-2</v>
      </c>
      <c r="I159" s="73">
        <v>8.7999999999999995E-2</v>
      </c>
      <c r="J159" s="73">
        <v>8.5999999999999993E-2</v>
      </c>
      <c r="K159" s="73">
        <v>8.4000000000000005E-2</v>
      </c>
      <c r="L159" s="73">
        <v>8.2000000000000003E-2</v>
      </c>
      <c r="M159" s="72">
        <v>0.08</v>
      </c>
      <c r="N159" s="73">
        <v>7.9000000000000001E-2</v>
      </c>
      <c r="O159" s="73">
        <v>7.6999999999999999E-2</v>
      </c>
      <c r="P159" s="73">
        <v>7.5999999999999998E-2</v>
      </c>
      <c r="Q159" s="73">
        <v>7.4999999999999997E-2</v>
      </c>
      <c r="R159" s="73">
        <v>7.3999999999999996E-2</v>
      </c>
      <c r="S159" s="73">
        <v>7.1999999999999995E-2</v>
      </c>
      <c r="T159" s="73">
        <v>7.0999999999999994E-2</v>
      </c>
      <c r="U159" s="73">
        <v>7.0000000000000007E-2</v>
      </c>
      <c r="V159" s="73">
        <v>6.9000000000000006E-2</v>
      </c>
      <c r="W159" s="72">
        <v>6.8000000000000005E-2</v>
      </c>
      <c r="X159" s="73">
        <v>6.8000000000000005E-2</v>
      </c>
      <c r="Y159" s="73">
        <v>6.7000000000000004E-2</v>
      </c>
      <c r="Z159" s="73">
        <v>6.6000000000000003E-2</v>
      </c>
      <c r="AA159" s="73">
        <v>6.5000000000000002E-2</v>
      </c>
      <c r="AB159" s="73">
        <v>6.5000000000000002E-2</v>
      </c>
      <c r="AC159" s="73">
        <v>6.4000000000000001E-2</v>
      </c>
      <c r="AD159" s="73">
        <v>6.3E-2</v>
      </c>
      <c r="AE159" s="73">
        <v>6.3E-2</v>
      </c>
      <c r="AF159" s="73">
        <v>6.2E-2</v>
      </c>
      <c r="AG159" s="72">
        <v>6.2E-2</v>
      </c>
      <c r="AH159" s="73">
        <v>6.0999999999999999E-2</v>
      </c>
      <c r="AI159" s="73">
        <v>0.06</v>
      </c>
      <c r="AJ159" s="73">
        <v>0.06</v>
      </c>
      <c r="AK159" s="73">
        <v>0.06</v>
      </c>
      <c r="AL159" s="73">
        <v>5.8999999999999997E-2</v>
      </c>
      <c r="AM159" s="73">
        <v>5.8999999999999997E-2</v>
      </c>
      <c r="AN159" s="73">
        <v>5.8000000000000003E-2</v>
      </c>
      <c r="AO159" s="73">
        <v>5.8000000000000003E-2</v>
      </c>
      <c r="AP159" s="73">
        <v>5.8000000000000003E-2</v>
      </c>
      <c r="AQ159" s="72">
        <v>5.7000000000000002E-2</v>
      </c>
      <c r="AR159" s="73">
        <v>5.7000000000000002E-2</v>
      </c>
      <c r="AS159" s="73">
        <v>5.7000000000000002E-2</v>
      </c>
      <c r="AT159" s="73">
        <v>5.6000000000000001E-2</v>
      </c>
      <c r="AU159" s="73">
        <v>5.6000000000000001E-2</v>
      </c>
      <c r="AV159" s="73">
        <v>5.6000000000000001E-2</v>
      </c>
      <c r="AW159" s="73">
        <v>5.5E-2</v>
      </c>
      <c r="AX159" s="73">
        <v>5.5E-2</v>
      </c>
      <c r="AY159" s="73">
        <v>5.5E-2</v>
      </c>
      <c r="AZ159" s="73">
        <v>5.5E-2</v>
      </c>
      <c r="BA159" s="72">
        <v>5.5E-2</v>
      </c>
      <c r="BB159" s="73">
        <v>5.3999999999999999E-2</v>
      </c>
      <c r="BC159" s="73">
        <v>5.3999999999999999E-2</v>
      </c>
      <c r="BD159" s="73">
        <v>5.3999999999999999E-2</v>
      </c>
      <c r="BE159" s="73">
        <v>5.3999999999999999E-2</v>
      </c>
      <c r="BF159" s="73">
        <v>5.3999999999999999E-2</v>
      </c>
      <c r="BG159" s="73">
        <v>5.3999999999999999E-2</v>
      </c>
      <c r="BH159" s="73">
        <v>5.3999999999999999E-2</v>
      </c>
      <c r="BI159" s="73">
        <v>5.3999999999999999E-2</v>
      </c>
      <c r="BJ159" s="73">
        <v>5.3999999999999999E-2</v>
      </c>
      <c r="BK159" s="72">
        <v>5.2999999999999999E-2</v>
      </c>
      <c r="BL159" s="73">
        <v>5.2999999999999999E-2</v>
      </c>
      <c r="BM159" s="73">
        <v>5.2999999999999999E-2</v>
      </c>
      <c r="BN159" s="73">
        <v>5.2999999999999999E-2</v>
      </c>
      <c r="BO159" s="73">
        <v>5.2999999999999999E-2</v>
      </c>
      <c r="BP159" s="73">
        <v>5.2999999999999999E-2</v>
      </c>
      <c r="BQ159" s="73">
        <v>5.2999999999999999E-2</v>
      </c>
      <c r="BR159" s="73">
        <v>5.2999999999999999E-2</v>
      </c>
      <c r="BS159" s="73">
        <v>5.3999999999999999E-2</v>
      </c>
      <c r="BT159" s="73">
        <v>5.3999999999999999E-2</v>
      </c>
      <c r="BU159" s="72">
        <v>5.3999999999999999E-2</v>
      </c>
      <c r="BV159" s="73">
        <v>5.3999999999999999E-2</v>
      </c>
      <c r="BW159" s="73">
        <v>5.3999999999999999E-2</v>
      </c>
      <c r="BX159" s="73">
        <v>5.3999999999999999E-2</v>
      </c>
      <c r="BY159" s="73">
        <v>5.3999999999999999E-2</v>
      </c>
      <c r="BZ159" s="73">
        <v>5.3999999999999999E-2</v>
      </c>
      <c r="CA159" s="73">
        <v>5.3999999999999999E-2</v>
      </c>
      <c r="CB159" s="73">
        <v>5.3999999999999999E-2</v>
      </c>
      <c r="CC159" s="73">
        <v>5.5E-2</v>
      </c>
      <c r="CD159" s="73">
        <v>5.5E-2</v>
      </c>
      <c r="CE159" s="72">
        <v>5.5E-2</v>
      </c>
      <c r="CF159" s="73">
        <v>5.5E-2</v>
      </c>
      <c r="CG159" s="73">
        <v>5.5E-2</v>
      </c>
      <c r="CH159" s="73">
        <v>5.6000000000000001E-2</v>
      </c>
      <c r="CI159" s="73">
        <v>5.6000000000000001E-2</v>
      </c>
      <c r="CJ159" s="73">
        <v>5.6000000000000001E-2</v>
      </c>
      <c r="CK159" s="73">
        <v>5.6000000000000001E-2</v>
      </c>
      <c r="CL159" s="73">
        <v>5.7000000000000002E-2</v>
      </c>
      <c r="CM159" s="73">
        <v>5.7000000000000002E-2</v>
      </c>
      <c r="CN159" s="73">
        <v>5.7000000000000002E-2</v>
      </c>
      <c r="CO159" s="72">
        <v>5.7000000000000002E-2</v>
      </c>
      <c r="CP159" s="73">
        <v>5.8000000000000003E-2</v>
      </c>
      <c r="CQ159" s="73">
        <v>5.8000000000000003E-2</v>
      </c>
      <c r="CR159" s="73">
        <v>5.8000000000000003E-2</v>
      </c>
      <c r="CS159" s="73">
        <v>5.8999999999999997E-2</v>
      </c>
      <c r="CT159" s="73">
        <v>5.8999999999999997E-2</v>
      </c>
      <c r="CU159" s="73">
        <v>5.8999999999999997E-2</v>
      </c>
      <c r="CV159" s="73">
        <v>0.06</v>
      </c>
      <c r="CW159" s="73">
        <v>0.06</v>
      </c>
      <c r="CX159" s="73">
        <v>6.0999999999999999E-2</v>
      </c>
      <c r="CY159" s="72">
        <v>6.0999999999999999E-2</v>
      </c>
      <c r="CZ159" s="73">
        <v>6.0999999999999999E-2</v>
      </c>
      <c r="DA159" s="73">
        <v>6.2E-2</v>
      </c>
      <c r="DB159" s="73">
        <v>6.2E-2</v>
      </c>
      <c r="DC159" s="73">
        <v>6.3E-2</v>
      </c>
      <c r="DD159" s="73">
        <v>6.3E-2</v>
      </c>
      <c r="DE159" s="73">
        <v>6.4000000000000001E-2</v>
      </c>
      <c r="DF159" s="73">
        <v>6.4000000000000001E-2</v>
      </c>
      <c r="DG159" s="73">
        <v>6.5000000000000002E-2</v>
      </c>
      <c r="DH159" s="73">
        <v>6.5000000000000002E-2</v>
      </c>
      <c r="DI159" s="72">
        <v>6.6000000000000003E-2</v>
      </c>
      <c r="DJ159" s="73">
        <v>6.6000000000000003E-2</v>
      </c>
      <c r="DK159" s="73">
        <v>6.7000000000000004E-2</v>
      </c>
      <c r="DL159" s="73">
        <v>6.7000000000000004E-2</v>
      </c>
      <c r="DM159" s="73">
        <v>6.8000000000000005E-2</v>
      </c>
      <c r="DN159" s="73">
        <v>6.8000000000000005E-2</v>
      </c>
      <c r="DO159" s="73">
        <v>6.9000000000000006E-2</v>
      </c>
      <c r="DP159" s="73">
        <v>7.0000000000000007E-2</v>
      </c>
      <c r="DQ159" s="73">
        <v>7.0000000000000007E-2</v>
      </c>
      <c r="DR159" s="73">
        <v>7.0999999999999994E-2</v>
      </c>
      <c r="DS159" s="72">
        <v>7.0999999999999994E-2</v>
      </c>
    </row>
    <row r="160" spans="2:123" x14ac:dyDescent="0.2">
      <c r="B160" s="5" t="s">
        <v>347</v>
      </c>
      <c r="C160" s="194">
        <v>10.872999999999999</v>
      </c>
      <c r="D160" s="195">
        <v>10.939</v>
      </c>
      <c r="E160" s="195">
        <v>11.005000000000001</v>
      </c>
      <c r="F160" s="195">
        <v>11.071</v>
      </c>
      <c r="G160" s="195">
        <v>11.137</v>
      </c>
      <c r="H160" s="195">
        <v>11.202999999999999</v>
      </c>
      <c r="I160" s="195">
        <v>11.269</v>
      </c>
      <c r="J160" s="195">
        <v>11.335000000000001</v>
      </c>
      <c r="K160" s="195">
        <v>11.401</v>
      </c>
      <c r="L160" s="195">
        <v>11.467000000000001</v>
      </c>
      <c r="M160" s="194">
        <v>11.532999999999999</v>
      </c>
      <c r="N160" s="195">
        <v>11.605</v>
      </c>
      <c r="O160" s="195">
        <v>11.676</v>
      </c>
      <c r="P160" s="195">
        <v>11.747999999999999</v>
      </c>
      <c r="Q160" s="195">
        <v>11.819000000000001</v>
      </c>
      <c r="R160" s="195">
        <v>11.891</v>
      </c>
      <c r="S160" s="195">
        <v>11.962</v>
      </c>
      <c r="T160" s="195">
        <v>12.034000000000001</v>
      </c>
      <c r="U160" s="195">
        <v>12.105</v>
      </c>
      <c r="V160" s="195">
        <v>12.177</v>
      </c>
      <c r="W160" s="194">
        <v>12.247999999999999</v>
      </c>
      <c r="X160" s="195">
        <v>12.324999999999999</v>
      </c>
      <c r="Y160" s="195">
        <v>12.401999999999999</v>
      </c>
      <c r="Z160" s="195">
        <v>12.478999999999999</v>
      </c>
      <c r="AA160" s="195">
        <v>12.555999999999999</v>
      </c>
      <c r="AB160" s="195">
        <v>12.632999999999999</v>
      </c>
      <c r="AC160" s="195">
        <v>12.71</v>
      </c>
      <c r="AD160" s="195">
        <v>12.787000000000001</v>
      </c>
      <c r="AE160" s="195">
        <v>12.864000000000001</v>
      </c>
      <c r="AF160" s="195">
        <v>12.941000000000001</v>
      </c>
      <c r="AG160" s="194">
        <v>13.018000000000001</v>
      </c>
      <c r="AH160" s="195">
        <v>13.101000000000001</v>
      </c>
      <c r="AI160" s="195">
        <v>13.183</v>
      </c>
      <c r="AJ160" s="195">
        <v>13.266</v>
      </c>
      <c r="AK160" s="195">
        <v>13.349</v>
      </c>
      <c r="AL160" s="195">
        <v>13.430999999999999</v>
      </c>
      <c r="AM160" s="195">
        <v>13.513999999999999</v>
      </c>
      <c r="AN160" s="195">
        <v>13.596</v>
      </c>
      <c r="AO160" s="195">
        <v>13.679</v>
      </c>
      <c r="AP160" s="195">
        <v>13.760999999999999</v>
      </c>
      <c r="AQ160" s="194">
        <v>13.843999999999999</v>
      </c>
      <c r="AR160" s="195">
        <v>13.932</v>
      </c>
      <c r="AS160" s="195">
        <v>14.02</v>
      </c>
      <c r="AT160" s="195">
        <v>14.108000000000001</v>
      </c>
      <c r="AU160" s="195">
        <v>14.196</v>
      </c>
      <c r="AV160" s="195">
        <v>14.284000000000001</v>
      </c>
      <c r="AW160" s="195">
        <v>14.372</v>
      </c>
      <c r="AX160" s="195">
        <v>14.46</v>
      </c>
      <c r="AY160" s="195">
        <v>14.548</v>
      </c>
      <c r="AZ160" s="195">
        <v>14.635999999999999</v>
      </c>
      <c r="BA160" s="194">
        <v>14.724</v>
      </c>
      <c r="BB160" s="195">
        <v>14.817</v>
      </c>
      <c r="BC160" s="195">
        <v>14.911</v>
      </c>
      <c r="BD160" s="195">
        <v>15.004</v>
      </c>
      <c r="BE160" s="195">
        <v>15.098000000000001</v>
      </c>
      <c r="BF160" s="195">
        <v>15.191000000000001</v>
      </c>
      <c r="BG160" s="195">
        <v>15.285</v>
      </c>
      <c r="BH160" s="195">
        <v>15.378</v>
      </c>
      <c r="BI160" s="195">
        <v>15.472</v>
      </c>
      <c r="BJ160" s="195">
        <v>15.565</v>
      </c>
      <c r="BK160" s="194">
        <v>15.659000000000001</v>
      </c>
      <c r="BL160" s="195">
        <v>15.757999999999999</v>
      </c>
      <c r="BM160" s="195">
        <v>15.856999999999999</v>
      </c>
      <c r="BN160" s="195">
        <v>15.956</v>
      </c>
      <c r="BO160" s="195">
        <v>16.055</v>
      </c>
      <c r="BP160" s="195">
        <v>16.154</v>
      </c>
      <c r="BQ160" s="195">
        <v>16.253</v>
      </c>
      <c r="BR160" s="195">
        <v>16.352</v>
      </c>
      <c r="BS160" s="195">
        <v>16.451000000000001</v>
      </c>
      <c r="BT160" s="195">
        <v>16.55</v>
      </c>
      <c r="BU160" s="194">
        <v>16.649000000000001</v>
      </c>
      <c r="BV160" s="195">
        <v>16.759</v>
      </c>
      <c r="BW160" s="195">
        <v>16.869</v>
      </c>
      <c r="BX160" s="195">
        <v>16.978999999999999</v>
      </c>
      <c r="BY160" s="195">
        <v>17.088999999999999</v>
      </c>
      <c r="BZ160" s="195">
        <v>17.199000000000002</v>
      </c>
      <c r="CA160" s="195">
        <v>17.309000000000001</v>
      </c>
      <c r="CB160" s="195">
        <v>17.419</v>
      </c>
      <c r="CC160" s="195">
        <v>17.529</v>
      </c>
      <c r="CD160" s="195">
        <v>17.638999999999999</v>
      </c>
      <c r="CE160" s="194">
        <v>17.748999999999999</v>
      </c>
      <c r="CF160" s="195">
        <v>17.859000000000002</v>
      </c>
      <c r="CG160" s="195">
        <v>17.969000000000001</v>
      </c>
      <c r="CH160" s="195">
        <v>18.079000000000001</v>
      </c>
      <c r="CI160" s="195">
        <v>18.189</v>
      </c>
      <c r="CJ160" s="195">
        <v>18.298999999999999</v>
      </c>
      <c r="CK160" s="195">
        <v>18.408999999999999</v>
      </c>
      <c r="CL160" s="195">
        <v>18.518999999999998</v>
      </c>
      <c r="CM160" s="195">
        <v>18.629000000000001</v>
      </c>
      <c r="CN160" s="195">
        <v>18.739000000000001</v>
      </c>
      <c r="CO160" s="194">
        <v>18.849</v>
      </c>
      <c r="CP160" s="195">
        <v>19.013999999999999</v>
      </c>
      <c r="CQ160" s="195">
        <v>19.178999999999998</v>
      </c>
      <c r="CR160" s="195">
        <v>19.344000000000001</v>
      </c>
      <c r="CS160" s="195">
        <v>19.509</v>
      </c>
      <c r="CT160" s="195">
        <v>19.675000000000001</v>
      </c>
      <c r="CU160" s="195">
        <v>19.84</v>
      </c>
      <c r="CV160" s="195">
        <v>20.004999999999999</v>
      </c>
      <c r="CW160" s="195">
        <v>20.170000000000002</v>
      </c>
      <c r="CX160" s="195">
        <v>20.335000000000001</v>
      </c>
      <c r="CY160" s="194">
        <v>20.5</v>
      </c>
      <c r="CZ160" s="195">
        <v>20.884</v>
      </c>
      <c r="DA160" s="195">
        <v>21.266999999999999</v>
      </c>
      <c r="DB160" s="195">
        <v>21.651</v>
      </c>
      <c r="DC160" s="195">
        <v>22.035</v>
      </c>
      <c r="DD160" s="195">
        <v>22.417999999999999</v>
      </c>
      <c r="DE160" s="195">
        <v>22.802</v>
      </c>
      <c r="DF160" s="195">
        <v>23.186</v>
      </c>
      <c r="DG160" s="195">
        <v>23.57</v>
      </c>
      <c r="DH160" s="195">
        <v>23.952999999999999</v>
      </c>
      <c r="DI160" s="194">
        <v>24.337</v>
      </c>
      <c r="DJ160" s="195">
        <v>24.72</v>
      </c>
      <c r="DK160" s="195">
        <v>25.103000000000002</v>
      </c>
      <c r="DL160" s="195">
        <v>25.486000000000001</v>
      </c>
      <c r="DM160" s="195">
        <v>25.869</v>
      </c>
      <c r="DN160" s="195">
        <v>26.251999999999999</v>
      </c>
      <c r="DO160" s="195">
        <v>26.635000000000002</v>
      </c>
      <c r="DP160" s="195">
        <v>27.018000000000001</v>
      </c>
      <c r="DQ160" s="195">
        <v>27.401</v>
      </c>
      <c r="DR160" s="195">
        <v>27.783999999999999</v>
      </c>
      <c r="DS160" s="194">
        <v>28.167000000000002</v>
      </c>
    </row>
    <row r="161" spans="2:123" x14ac:dyDescent="0.2">
      <c r="B161" s="3" t="s">
        <v>73</v>
      </c>
      <c r="C161" s="72">
        <v>0.60199999999999998</v>
      </c>
      <c r="D161" s="73">
        <v>0.56899999999999995</v>
      </c>
      <c r="E161" s="73">
        <v>0.54100000000000004</v>
      </c>
      <c r="F161" s="73">
        <v>0.51700000000000002</v>
      </c>
      <c r="G161" s="73">
        <v>0.496</v>
      </c>
      <c r="H161" s="73">
        <v>0.47699999999999998</v>
      </c>
      <c r="I161" s="73">
        <v>0.46100000000000002</v>
      </c>
      <c r="J161" s="73">
        <v>0.44600000000000001</v>
      </c>
      <c r="K161" s="73">
        <v>0.432</v>
      </c>
      <c r="L161" s="73">
        <v>0.42</v>
      </c>
      <c r="M161" s="72">
        <v>0.40899999999999997</v>
      </c>
      <c r="N161" s="73">
        <v>0.39900000000000002</v>
      </c>
      <c r="O161" s="73">
        <v>0.38900000000000001</v>
      </c>
      <c r="P161" s="73">
        <v>0.38100000000000001</v>
      </c>
      <c r="Q161" s="73">
        <v>0.372</v>
      </c>
      <c r="R161" s="73">
        <v>0.36499999999999999</v>
      </c>
      <c r="S161" s="73">
        <v>0.35799999999999998</v>
      </c>
      <c r="T161" s="73">
        <v>0.35099999999999998</v>
      </c>
      <c r="U161" s="73">
        <v>0.34499999999999997</v>
      </c>
      <c r="V161" s="73">
        <v>0.33900000000000002</v>
      </c>
      <c r="W161" s="72">
        <v>0.33300000000000002</v>
      </c>
      <c r="X161" s="73">
        <v>0.32800000000000001</v>
      </c>
      <c r="Y161" s="73">
        <v>0.32200000000000001</v>
      </c>
      <c r="Z161" s="73">
        <v>0.318</v>
      </c>
      <c r="AA161" s="73">
        <v>0.313</v>
      </c>
      <c r="AB161" s="73">
        <v>0.309</v>
      </c>
      <c r="AC161" s="73">
        <v>0.30399999999999999</v>
      </c>
      <c r="AD161" s="73">
        <v>0.3</v>
      </c>
      <c r="AE161" s="73">
        <v>0.29699999999999999</v>
      </c>
      <c r="AF161" s="73">
        <v>0.29299999999999998</v>
      </c>
      <c r="AG161" s="72">
        <v>0.28999999999999998</v>
      </c>
      <c r="AH161" s="73">
        <v>0.28599999999999998</v>
      </c>
      <c r="AI161" s="73">
        <v>0.28299999999999997</v>
      </c>
      <c r="AJ161" s="73">
        <v>0.28000000000000003</v>
      </c>
      <c r="AK161" s="73">
        <v>0.27700000000000002</v>
      </c>
      <c r="AL161" s="73">
        <v>0.27400000000000002</v>
      </c>
      <c r="AM161" s="73">
        <v>0.27200000000000002</v>
      </c>
      <c r="AN161" s="73">
        <v>0.26900000000000002</v>
      </c>
      <c r="AO161" s="73">
        <v>0.26700000000000002</v>
      </c>
      <c r="AP161" s="73">
        <v>0.26400000000000001</v>
      </c>
      <c r="AQ161" s="72">
        <v>0.26200000000000001</v>
      </c>
      <c r="AR161" s="73">
        <v>0.26</v>
      </c>
      <c r="AS161" s="73">
        <v>0.25800000000000001</v>
      </c>
      <c r="AT161" s="73">
        <v>0.25600000000000001</v>
      </c>
      <c r="AU161" s="73">
        <v>0.254</v>
      </c>
      <c r="AV161" s="73">
        <v>0.253</v>
      </c>
      <c r="AW161" s="73">
        <v>0.251</v>
      </c>
      <c r="AX161" s="73">
        <v>0.249</v>
      </c>
      <c r="AY161" s="73">
        <v>0.248</v>
      </c>
      <c r="AZ161" s="73">
        <v>0.247</v>
      </c>
      <c r="BA161" s="72">
        <v>0.245</v>
      </c>
      <c r="BB161" s="73">
        <v>0.24399999999999999</v>
      </c>
      <c r="BC161" s="73">
        <v>0.24299999999999999</v>
      </c>
      <c r="BD161" s="73">
        <v>0.24199999999999999</v>
      </c>
      <c r="BE161" s="73">
        <v>0.24099999999999999</v>
      </c>
      <c r="BF161" s="73">
        <v>0.24</v>
      </c>
      <c r="BG161" s="73">
        <v>0.23899999999999999</v>
      </c>
      <c r="BH161" s="73">
        <v>0.23799999999999999</v>
      </c>
      <c r="BI161" s="73">
        <v>0.23799999999999999</v>
      </c>
      <c r="BJ161" s="73">
        <v>0.23699999999999999</v>
      </c>
      <c r="BK161" s="72">
        <v>0.23599999999999999</v>
      </c>
      <c r="BL161" s="73">
        <v>0.23599999999999999</v>
      </c>
      <c r="BM161" s="73">
        <v>0.23499999999999999</v>
      </c>
      <c r="BN161" s="73">
        <v>0.23499999999999999</v>
      </c>
      <c r="BO161" s="73">
        <v>0.23499999999999999</v>
      </c>
      <c r="BP161" s="73">
        <v>0.23400000000000001</v>
      </c>
      <c r="BQ161" s="73">
        <v>0.23400000000000001</v>
      </c>
      <c r="BR161" s="73">
        <v>0.23400000000000001</v>
      </c>
      <c r="BS161" s="73">
        <v>0.23400000000000001</v>
      </c>
      <c r="BT161" s="73">
        <v>0.23400000000000001</v>
      </c>
      <c r="BU161" s="72">
        <v>0.23400000000000001</v>
      </c>
      <c r="BV161" s="73">
        <v>0.23400000000000001</v>
      </c>
      <c r="BW161" s="73">
        <v>0.23499999999999999</v>
      </c>
      <c r="BX161" s="73">
        <v>0.23499999999999999</v>
      </c>
      <c r="BY161" s="73">
        <v>0.23499999999999999</v>
      </c>
      <c r="BZ161" s="73">
        <v>0.23499999999999999</v>
      </c>
      <c r="CA161" s="73">
        <v>0.23599999999999999</v>
      </c>
      <c r="CB161" s="73">
        <v>0.23599999999999999</v>
      </c>
      <c r="CC161" s="73">
        <v>0.23699999999999999</v>
      </c>
      <c r="CD161" s="73">
        <v>0.23799999999999999</v>
      </c>
      <c r="CE161" s="72">
        <v>0.23799999999999999</v>
      </c>
      <c r="CF161" s="73">
        <v>0.23899999999999999</v>
      </c>
      <c r="CG161" s="73">
        <v>0.24</v>
      </c>
      <c r="CH161" s="73">
        <v>0.24099999999999999</v>
      </c>
      <c r="CI161" s="73">
        <v>0.24099999999999999</v>
      </c>
      <c r="CJ161" s="73">
        <v>0.24199999999999999</v>
      </c>
      <c r="CK161" s="73">
        <v>0.24299999999999999</v>
      </c>
      <c r="CL161" s="73">
        <v>0.24399999999999999</v>
      </c>
      <c r="CM161" s="73">
        <v>0.246</v>
      </c>
      <c r="CN161" s="73">
        <v>0.247</v>
      </c>
      <c r="CO161" s="72">
        <v>0.248</v>
      </c>
      <c r="CP161" s="73"/>
      <c r="CQ161" s="73"/>
      <c r="CR161" s="73"/>
      <c r="CS161" s="73"/>
      <c r="CT161" s="73"/>
      <c r="CU161" s="73"/>
      <c r="CV161" s="73"/>
      <c r="CW161" s="73"/>
      <c r="CX161" s="73"/>
      <c r="CY161" s="72"/>
      <c r="CZ161" s="73"/>
      <c r="DA161" s="73"/>
      <c r="DB161" s="73"/>
      <c r="DC161" s="73"/>
      <c r="DD161" s="73"/>
      <c r="DE161" s="73"/>
      <c r="DF161" s="73"/>
      <c r="DG161" s="73"/>
      <c r="DH161" s="73"/>
      <c r="DI161" s="72"/>
      <c r="DJ161" s="73"/>
      <c r="DK161" s="73"/>
      <c r="DL161" s="73"/>
      <c r="DM161" s="73"/>
      <c r="DN161" s="73"/>
      <c r="DO161" s="73"/>
      <c r="DP161" s="73"/>
      <c r="DQ161" s="73"/>
      <c r="DR161" s="73"/>
      <c r="DS161" s="72"/>
    </row>
    <row r="162" spans="2:123" x14ac:dyDescent="0.2">
      <c r="B162" s="1" t="s">
        <v>487</v>
      </c>
    </row>
    <row r="163" spans="2:123" x14ac:dyDescent="0.2">
      <c r="B163" s="1"/>
    </row>
    <row r="164" spans="2:123" ht="17.25" customHeight="1" x14ac:dyDescent="0.2">
      <c r="B164" s="173" t="s">
        <v>348</v>
      </c>
      <c r="C164" s="196">
        <v>2024</v>
      </c>
      <c r="D164" s="196">
        <v>2025</v>
      </c>
      <c r="E164" s="196">
        <v>2026</v>
      </c>
      <c r="F164" s="196">
        <v>2027</v>
      </c>
      <c r="G164" s="196">
        <v>2028</v>
      </c>
      <c r="H164" s="196">
        <v>2029</v>
      </c>
      <c r="I164" s="196">
        <v>2030</v>
      </c>
      <c r="J164" s="196">
        <v>2031</v>
      </c>
      <c r="K164" s="196">
        <v>2032</v>
      </c>
      <c r="L164" s="196">
        <v>2033</v>
      </c>
      <c r="M164" s="196">
        <v>2034</v>
      </c>
      <c r="N164" s="196">
        <v>2035</v>
      </c>
      <c r="O164" s="196">
        <v>2036</v>
      </c>
      <c r="P164" s="196">
        <v>2037</v>
      </c>
      <c r="Q164" s="196">
        <v>2038</v>
      </c>
      <c r="R164" s="196">
        <v>2039</v>
      </c>
      <c r="S164" s="196">
        <v>2040</v>
      </c>
      <c r="T164" s="196">
        <v>2041</v>
      </c>
      <c r="U164" s="196">
        <v>2042</v>
      </c>
      <c r="V164" s="196">
        <v>2043</v>
      </c>
      <c r="W164" s="196">
        <v>2044</v>
      </c>
      <c r="X164" s="196">
        <v>2045</v>
      </c>
      <c r="Y164" s="196">
        <v>2046</v>
      </c>
      <c r="Z164" s="196">
        <v>2047</v>
      </c>
      <c r="AA164" s="196">
        <v>2048</v>
      </c>
      <c r="AB164" s="196">
        <v>2049</v>
      </c>
      <c r="AC164" s="196">
        <v>2050</v>
      </c>
      <c r="AD164" s="196">
        <v>2051</v>
      </c>
      <c r="AE164" s="196">
        <v>2052</v>
      </c>
      <c r="AF164" s="196">
        <v>2053</v>
      </c>
      <c r="AG164" s="196">
        <v>2054</v>
      </c>
      <c r="AH164" s="196">
        <v>2055</v>
      </c>
      <c r="AI164" s="196">
        <v>2056</v>
      </c>
      <c r="AJ164" s="196">
        <v>2057</v>
      </c>
      <c r="AK164" s="196">
        <v>2058</v>
      </c>
      <c r="AL164" s="196">
        <v>2059</v>
      </c>
      <c r="AM164" s="196">
        <v>2060</v>
      </c>
      <c r="AN164" s="196">
        <v>2061</v>
      </c>
      <c r="AO164" s="196">
        <v>2062</v>
      </c>
      <c r="AP164" s="196">
        <v>2063</v>
      </c>
      <c r="AQ164" s="196">
        <v>2064</v>
      </c>
      <c r="AR164" s="196">
        <v>2065</v>
      </c>
      <c r="AS164" s="196">
        <v>2066</v>
      </c>
      <c r="AT164" s="196">
        <v>2067</v>
      </c>
      <c r="AU164" s="196">
        <v>2068</v>
      </c>
      <c r="AV164" s="196">
        <v>2069</v>
      </c>
      <c r="AW164" s="196">
        <v>2070</v>
      </c>
      <c r="AX164" s="196">
        <v>2071</v>
      </c>
      <c r="AY164" s="196">
        <v>2072</v>
      </c>
      <c r="AZ164" s="196">
        <v>2073</v>
      </c>
      <c r="BA164" s="196">
        <v>2074</v>
      </c>
      <c r="BB164" s="196">
        <v>2075</v>
      </c>
    </row>
    <row r="165" spans="2:123" x14ac:dyDescent="0.2">
      <c r="B165" s="64" t="s">
        <v>109</v>
      </c>
      <c r="C165" s="197">
        <v>0.54527000000000003</v>
      </c>
      <c r="D165" s="197">
        <v>0.54268500000000008</v>
      </c>
      <c r="E165" s="197">
        <v>0.53663500000000008</v>
      </c>
      <c r="F165" s="197">
        <v>0.53080499999999997</v>
      </c>
      <c r="G165" s="197">
        <v>0.52508500000000002</v>
      </c>
      <c r="H165" s="197">
        <v>0.51958500000000007</v>
      </c>
      <c r="I165" s="197">
        <v>0.5142500000000001</v>
      </c>
      <c r="J165" s="197">
        <v>0.50600000000000012</v>
      </c>
      <c r="K165" s="197">
        <v>0.49532999999999999</v>
      </c>
      <c r="L165" s="197">
        <v>0.48224000000000006</v>
      </c>
      <c r="M165" s="197">
        <v>0.46744500000000005</v>
      </c>
      <c r="N165" s="197">
        <v>0.44824999999999998</v>
      </c>
      <c r="O165" s="197">
        <v>0.43296000000000007</v>
      </c>
      <c r="P165" s="197">
        <v>0.41761500000000001</v>
      </c>
      <c r="Q165" s="197">
        <v>0.40232500000000004</v>
      </c>
      <c r="R165" s="197">
        <v>0.38698000000000005</v>
      </c>
      <c r="S165" s="197">
        <v>0.37169000000000002</v>
      </c>
      <c r="T165" s="197">
        <v>0.35634499999999997</v>
      </c>
      <c r="U165" s="197">
        <v>0.341055</v>
      </c>
      <c r="V165" s="197">
        <v>0.32571000000000006</v>
      </c>
      <c r="W165" s="197">
        <v>0.31042000000000003</v>
      </c>
      <c r="X165" s="197">
        <v>0.29507500000000003</v>
      </c>
      <c r="Y165" s="197">
        <v>0.27978500000000001</v>
      </c>
      <c r="Z165" s="197">
        <v>0.26444000000000001</v>
      </c>
      <c r="AA165" s="197">
        <v>0.24915000000000001</v>
      </c>
      <c r="AB165" s="197">
        <v>0.23380500000000004</v>
      </c>
      <c r="AC165" s="197">
        <v>0.21851500000000001</v>
      </c>
      <c r="AD165" s="197">
        <v>0.20322500000000004</v>
      </c>
      <c r="AE165" s="197">
        <v>0.18788000000000002</v>
      </c>
      <c r="AF165" s="197">
        <v>0.17258999999999999</v>
      </c>
      <c r="AG165" s="197">
        <v>0.15724500000000002</v>
      </c>
      <c r="AH165" s="197">
        <v>0.141955</v>
      </c>
      <c r="AI165" s="197">
        <v>0.12661</v>
      </c>
      <c r="AJ165" s="197">
        <v>0.11132000000000002</v>
      </c>
      <c r="AK165" s="197">
        <v>9.5975000000000005E-2</v>
      </c>
      <c r="AL165" s="197">
        <v>8.0685000000000034E-2</v>
      </c>
      <c r="AM165" s="197">
        <v>6.5340000000000009E-2</v>
      </c>
      <c r="AN165" s="197">
        <v>5.004999999999999E-2</v>
      </c>
      <c r="AO165" s="197">
        <v>3.4705000000000027E-2</v>
      </c>
      <c r="AP165" s="197">
        <v>1.9415000000000002E-2</v>
      </c>
      <c r="AQ165" s="197">
        <v>4.0699999999999799E-3</v>
      </c>
      <c r="AR165" s="197">
        <v>0</v>
      </c>
      <c r="AS165" s="197">
        <v>0</v>
      </c>
      <c r="AT165" s="197">
        <v>0</v>
      </c>
      <c r="AU165" s="197">
        <v>0</v>
      </c>
      <c r="AV165" s="197">
        <v>0</v>
      </c>
      <c r="AW165" s="197">
        <v>0</v>
      </c>
      <c r="AX165" s="197">
        <v>0</v>
      </c>
      <c r="AY165" s="197">
        <v>0</v>
      </c>
      <c r="AZ165" s="197">
        <v>0</v>
      </c>
      <c r="BA165" s="197">
        <v>0</v>
      </c>
      <c r="BB165" s="197">
        <v>0</v>
      </c>
    </row>
    <row r="166" spans="2:123" x14ac:dyDescent="0.2">
      <c r="B166" s="44" t="s">
        <v>110</v>
      </c>
      <c r="C166" s="198">
        <v>0.44612999999999997</v>
      </c>
      <c r="D166" s="198">
        <v>0.44401499999999999</v>
      </c>
      <c r="E166" s="198">
        <v>0.43906500000000004</v>
      </c>
      <c r="F166" s="198">
        <v>0.43429499999999999</v>
      </c>
      <c r="G166" s="198">
        <v>0.42961500000000002</v>
      </c>
      <c r="H166" s="198">
        <v>0.42511500000000002</v>
      </c>
      <c r="I166" s="198">
        <v>0.42075000000000001</v>
      </c>
      <c r="J166" s="198">
        <v>0.41400000000000003</v>
      </c>
      <c r="K166" s="198">
        <v>0.40526999999999996</v>
      </c>
      <c r="L166" s="198">
        <v>0.39456000000000002</v>
      </c>
      <c r="M166" s="198">
        <v>0.38245499999999999</v>
      </c>
      <c r="N166" s="198">
        <v>0.36674999999999996</v>
      </c>
      <c r="O166" s="198">
        <v>0.35424</v>
      </c>
      <c r="P166" s="198">
        <v>0.34168500000000002</v>
      </c>
      <c r="Q166" s="198">
        <v>0.32917500000000005</v>
      </c>
      <c r="R166" s="198">
        <v>0.31662000000000001</v>
      </c>
      <c r="S166" s="198">
        <v>0.30410999999999999</v>
      </c>
      <c r="T166" s="198">
        <v>0.29155499999999995</v>
      </c>
      <c r="U166" s="198">
        <v>0.27904499999999999</v>
      </c>
      <c r="V166" s="198">
        <v>0.26649000000000006</v>
      </c>
      <c r="W166" s="198">
        <v>0.25398000000000004</v>
      </c>
      <c r="X166" s="198">
        <v>0.241425</v>
      </c>
      <c r="Y166" s="198">
        <v>0.22891499999999998</v>
      </c>
      <c r="Z166" s="198">
        <v>0.21636</v>
      </c>
      <c r="AA166" s="198">
        <v>0.20384999999999998</v>
      </c>
      <c r="AB166" s="198">
        <v>0.19129500000000002</v>
      </c>
      <c r="AC166" s="198">
        <v>0.178785</v>
      </c>
      <c r="AD166" s="198">
        <v>0.16627500000000003</v>
      </c>
      <c r="AE166" s="198">
        <v>0.15372000000000002</v>
      </c>
      <c r="AF166" s="198">
        <v>0.14121</v>
      </c>
      <c r="AG166" s="198">
        <v>0.12865500000000002</v>
      </c>
      <c r="AH166" s="198">
        <v>0.116145</v>
      </c>
      <c r="AI166" s="198">
        <v>0.10358999999999999</v>
      </c>
      <c r="AJ166" s="198">
        <v>9.1080000000000008E-2</v>
      </c>
      <c r="AK166" s="198">
        <v>7.8524999999999998E-2</v>
      </c>
      <c r="AL166" s="198">
        <v>6.6015000000000032E-2</v>
      </c>
      <c r="AM166" s="198">
        <v>5.3460000000000008E-2</v>
      </c>
      <c r="AN166" s="198">
        <v>4.0949999999999986E-2</v>
      </c>
      <c r="AO166" s="198">
        <v>2.8395000000000021E-2</v>
      </c>
      <c r="AP166" s="198">
        <v>1.5885E-2</v>
      </c>
      <c r="AQ166" s="198">
        <v>3.3299999999999831E-3</v>
      </c>
      <c r="AR166" s="198">
        <v>0</v>
      </c>
      <c r="AS166" s="198">
        <v>0</v>
      </c>
      <c r="AT166" s="198">
        <v>0</v>
      </c>
      <c r="AU166" s="198">
        <v>0</v>
      </c>
      <c r="AV166" s="198">
        <v>0</v>
      </c>
      <c r="AW166" s="198">
        <v>0</v>
      </c>
      <c r="AX166" s="198">
        <v>0</v>
      </c>
      <c r="AY166" s="198">
        <v>0</v>
      </c>
      <c r="AZ166" s="198">
        <v>0</v>
      </c>
      <c r="BA166" s="198">
        <v>0</v>
      </c>
      <c r="BB166" s="198">
        <v>0</v>
      </c>
    </row>
    <row r="167" spans="2:123" x14ac:dyDescent="0.2">
      <c r="B167" s="44" t="s">
        <v>308</v>
      </c>
      <c r="C167" s="198">
        <v>8.6E-3</v>
      </c>
      <c r="D167" s="198">
        <v>1.3299999999999999E-2</v>
      </c>
      <c r="E167" s="198">
        <v>2.4299999999999999E-2</v>
      </c>
      <c r="F167" s="198">
        <v>3.49E-2</v>
      </c>
      <c r="G167" s="198">
        <v>4.53E-2</v>
      </c>
      <c r="H167" s="198">
        <v>5.5300000000000002E-2</v>
      </c>
      <c r="I167" s="198">
        <v>6.5000000000000002E-2</v>
      </c>
      <c r="J167" s="198">
        <v>0.08</v>
      </c>
      <c r="K167" s="198">
        <v>9.9400000000000002E-2</v>
      </c>
      <c r="L167" s="198">
        <v>0.1232</v>
      </c>
      <c r="M167" s="198">
        <v>0.15010000000000001</v>
      </c>
      <c r="N167" s="198">
        <v>0.185</v>
      </c>
      <c r="O167" s="198">
        <v>0.21279999999999999</v>
      </c>
      <c r="P167" s="198">
        <v>0.2407</v>
      </c>
      <c r="Q167" s="198">
        <v>0.26850000000000002</v>
      </c>
      <c r="R167" s="198">
        <v>0.2964</v>
      </c>
      <c r="S167" s="198">
        <v>0.32419999999999999</v>
      </c>
      <c r="T167" s="198">
        <v>0.35210000000000002</v>
      </c>
      <c r="U167" s="198">
        <v>0.37990000000000002</v>
      </c>
      <c r="V167" s="198">
        <v>0.4078</v>
      </c>
      <c r="W167" s="198">
        <v>0.43559999999999999</v>
      </c>
      <c r="X167" s="198">
        <v>0.46350000000000002</v>
      </c>
      <c r="Y167" s="198">
        <v>0.49130000000000001</v>
      </c>
      <c r="Z167" s="198">
        <v>0.51919999999999999</v>
      </c>
      <c r="AA167" s="198">
        <v>0.54700000000000004</v>
      </c>
      <c r="AB167" s="198">
        <v>0.57489999999999997</v>
      </c>
      <c r="AC167" s="198">
        <v>0.60270000000000001</v>
      </c>
      <c r="AD167" s="198">
        <v>0.63049999999999995</v>
      </c>
      <c r="AE167" s="198">
        <v>0.65839999999999999</v>
      </c>
      <c r="AF167" s="198">
        <v>0.68620000000000003</v>
      </c>
      <c r="AG167" s="198">
        <v>0.71409999999999996</v>
      </c>
      <c r="AH167" s="198">
        <v>0.7419</v>
      </c>
      <c r="AI167" s="198">
        <v>0.76980000000000004</v>
      </c>
      <c r="AJ167" s="198">
        <v>0.79759999999999998</v>
      </c>
      <c r="AK167" s="198">
        <v>0.82550000000000001</v>
      </c>
      <c r="AL167" s="198">
        <v>0.85329999999999995</v>
      </c>
      <c r="AM167" s="198">
        <v>0.88119999999999998</v>
      </c>
      <c r="AN167" s="198">
        <v>0.90900000000000003</v>
      </c>
      <c r="AO167" s="198">
        <v>0.93689999999999996</v>
      </c>
      <c r="AP167" s="198">
        <v>0.9647</v>
      </c>
      <c r="AQ167" s="198">
        <v>0.99260000000000004</v>
      </c>
      <c r="AR167" s="198">
        <v>1</v>
      </c>
      <c r="AS167" s="198">
        <v>1</v>
      </c>
      <c r="AT167" s="198">
        <v>1</v>
      </c>
      <c r="AU167" s="198">
        <v>1</v>
      </c>
      <c r="AV167" s="198">
        <v>1</v>
      </c>
      <c r="AW167" s="198">
        <v>1</v>
      </c>
      <c r="AX167" s="198">
        <v>1</v>
      </c>
      <c r="AY167" s="198">
        <v>1</v>
      </c>
      <c r="AZ167" s="198">
        <v>1</v>
      </c>
      <c r="BA167" s="198">
        <v>1</v>
      </c>
      <c r="BB167" s="198">
        <v>1</v>
      </c>
    </row>
    <row r="168" spans="2:123" x14ac:dyDescent="0.2">
      <c r="B168" s="1" t="s">
        <v>242</v>
      </c>
      <c r="C168" s="747">
        <f>SUM(C165:C167)</f>
        <v>1</v>
      </c>
      <c r="D168" s="747">
        <f t="shared" ref="D168:BB168" si="20">SUM(D165:D167)</f>
        <v>1.0000000000000002</v>
      </c>
      <c r="E168" s="747">
        <f t="shared" si="20"/>
        <v>1.0000000000000002</v>
      </c>
      <c r="F168" s="747">
        <f t="shared" si="20"/>
        <v>1</v>
      </c>
      <c r="G168" s="747">
        <f t="shared" si="20"/>
        <v>1</v>
      </c>
      <c r="H168" s="747">
        <f t="shared" si="20"/>
        <v>1</v>
      </c>
      <c r="I168" s="747">
        <f t="shared" si="20"/>
        <v>1</v>
      </c>
      <c r="J168" s="747">
        <f t="shared" si="20"/>
        <v>1.0000000000000002</v>
      </c>
      <c r="K168" s="747">
        <f t="shared" si="20"/>
        <v>1</v>
      </c>
      <c r="L168" s="747">
        <f t="shared" si="20"/>
        <v>1</v>
      </c>
      <c r="M168" s="747">
        <f t="shared" si="20"/>
        <v>1</v>
      </c>
      <c r="N168" s="747">
        <f t="shared" si="20"/>
        <v>1</v>
      </c>
      <c r="O168" s="747">
        <f t="shared" si="20"/>
        <v>1</v>
      </c>
      <c r="P168" s="747">
        <f t="shared" si="20"/>
        <v>1</v>
      </c>
      <c r="Q168" s="747">
        <f t="shared" si="20"/>
        <v>1</v>
      </c>
      <c r="R168" s="747">
        <f t="shared" si="20"/>
        <v>1</v>
      </c>
      <c r="S168" s="747">
        <f t="shared" si="20"/>
        <v>1</v>
      </c>
      <c r="T168" s="747">
        <f t="shared" si="20"/>
        <v>1</v>
      </c>
      <c r="U168" s="747">
        <f t="shared" si="20"/>
        <v>1</v>
      </c>
      <c r="V168" s="747">
        <f t="shared" si="20"/>
        <v>1</v>
      </c>
      <c r="W168" s="747">
        <f t="shared" si="20"/>
        <v>1</v>
      </c>
      <c r="X168" s="747">
        <f t="shared" si="20"/>
        <v>1</v>
      </c>
      <c r="Y168" s="747">
        <f t="shared" si="20"/>
        <v>1</v>
      </c>
      <c r="Z168" s="747">
        <f t="shared" si="20"/>
        <v>1</v>
      </c>
      <c r="AA168" s="747">
        <f t="shared" si="20"/>
        <v>1</v>
      </c>
      <c r="AB168" s="747">
        <f t="shared" si="20"/>
        <v>1</v>
      </c>
      <c r="AC168" s="747">
        <f t="shared" si="20"/>
        <v>1</v>
      </c>
      <c r="AD168" s="747">
        <f t="shared" si="20"/>
        <v>1</v>
      </c>
      <c r="AE168" s="747">
        <f t="shared" si="20"/>
        <v>1</v>
      </c>
      <c r="AF168" s="747">
        <f t="shared" si="20"/>
        <v>1</v>
      </c>
      <c r="AG168" s="747">
        <f t="shared" si="20"/>
        <v>1</v>
      </c>
      <c r="AH168" s="747">
        <f t="shared" si="20"/>
        <v>1</v>
      </c>
      <c r="AI168" s="747">
        <f t="shared" si="20"/>
        <v>1</v>
      </c>
      <c r="AJ168" s="747">
        <f t="shared" si="20"/>
        <v>1</v>
      </c>
      <c r="AK168" s="747">
        <f t="shared" si="20"/>
        <v>1</v>
      </c>
      <c r="AL168" s="747">
        <f t="shared" si="20"/>
        <v>1</v>
      </c>
      <c r="AM168" s="747">
        <f t="shared" si="20"/>
        <v>1</v>
      </c>
      <c r="AN168" s="747">
        <f t="shared" si="20"/>
        <v>1</v>
      </c>
      <c r="AO168" s="747">
        <f t="shared" si="20"/>
        <v>1</v>
      </c>
      <c r="AP168" s="747">
        <f t="shared" si="20"/>
        <v>1</v>
      </c>
      <c r="AQ168" s="747">
        <f t="shared" si="20"/>
        <v>1</v>
      </c>
      <c r="AR168" s="747">
        <f t="shared" si="20"/>
        <v>1</v>
      </c>
      <c r="AS168" s="747">
        <f t="shared" si="20"/>
        <v>1</v>
      </c>
      <c r="AT168" s="747">
        <f t="shared" si="20"/>
        <v>1</v>
      </c>
      <c r="AU168" s="747">
        <f t="shared" si="20"/>
        <v>1</v>
      </c>
      <c r="AV168" s="747">
        <f t="shared" si="20"/>
        <v>1</v>
      </c>
      <c r="AW168" s="747">
        <f t="shared" si="20"/>
        <v>1</v>
      </c>
      <c r="AX168" s="747">
        <f t="shared" si="20"/>
        <v>1</v>
      </c>
      <c r="AY168" s="747">
        <f t="shared" si="20"/>
        <v>1</v>
      </c>
      <c r="AZ168" s="747">
        <f t="shared" si="20"/>
        <v>1</v>
      </c>
      <c r="BA168" s="747">
        <f t="shared" si="20"/>
        <v>1</v>
      </c>
      <c r="BB168" s="747">
        <f t="shared" si="20"/>
        <v>1</v>
      </c>
    </row>
    <row r="169" spans="2:123" x14ac:dyDescent="0.2">
      <c r="B169" s="1"/>
    </row>
    <row r="170" spans="2:123" x14ac:dyDescent="0.2">
      <c r="B170" s="1"/>
    </row>
    <row r="171" spans="2:123" ht="33.75" x14ac:dyDescent="0.2">
      <c r="B171" s="173" t="s">
        <v>349</v>
      </c>
      <c r="C171" s="647" t="s">
        <v>112</v>
      </c>
      <c r="D171" s="648"/>
      <c r="E171" s="648"/>
      <c r="F171" s="648"/>
      <c r="G171" s="648"/>
      <c r="H171" s="649"/>
    </row>
    <row r="172" spans="2:123" ht="33.75" x14ac:dyDescent="0.2">
      <c r="B172" s="83" t="s">
        <v>92</v>
      </c>
      <c r="C172" s="124" t="s">
        <v>206</v>
      </c>
      <c r="D172" s="124" t="s">
        <v>211</v>
      </c>
      <c r="E172" s="124" t="s">
        <v>207</v>
      </c>
      <c r="F172" s="124" t="s">
        <v>208</v>
      </c>
      <c r="G172" s="124" t="s">
        <v>209</v>
      </c>
      <c r="H172" s="124" t="s">
        <v>210</v>
      </c>
    </row>
    <row r="173" spans="2:123" x14ac:dyDescent="0.2">
      <c r="B173" s="3" t="s">
        <v>107</v>
      </c>
      <c r="C173" s="73">
        <v>5.1999999999999998E-2</v>
      </c>
      <c r="D173" s="73">
        <v>2.1999999999999999E-2</v>
      </c>
      <c r="E173" s="73">
        <v>7.3999999999999996E-2</v>
      </c>
      <c r="F173" s="73">
        <v>0.03</v>
      </c>
      <c r="G173" s="73">
        <v>8.2000000000000003E-2</v>
      </c>
      <c r="H173" s="73">
        <v>0.105</v>
      </c>
    </row>
    <row r="174" spans="2:123" x14ac:dyDescent="0.2">
      <c r="B174" s="3" t="s">
        <v>108</v>
      </c>
      <c r="C174" s="73">
        <v>4.7E-2</v>
      </c>
      <c r="D174" s="73">
        <v>0.02</v>
      </c>
      <c r="E174" s="73">
        <v>6.8000000000000005E-2</v>
      </c>
      <c r="F174" s="73">
        <v>2.8000000000000001E-2</v>
      </c>
      <c r="G174" s="73">
        <v>7.4999999999999997E-2</v>
      </c>
      <c r="H174" s="73">
        <v>9.5000000000000001E-2</v>
      </c>
    </row>
    <row r="175" spans="2:123" x14ac:dyDescent="0.2">
      <c r="B175" s="5" t="s">
        <v>347</v>
      </c>
      <c r="C175" s="195">
        <v>0.12</v>
      </c>
      <c r="D175" s="195">
        <v>0.04</v>
      </c>
      <c r="E175" s="195">
        <v>0.13900000000000001</v>
      </c>
      <c r="F175" s="195">
        <v>5.3999999999999999E-2</v>
      </c>
      <c r="G175" s="195">
        <v>0.17399999999999999</v>
      </c>
      <c r="H175" s="195">
        <v>0.189</v>
      </c>
    </row>
    <row r="176" spans="2:123" x14ac:dyDescent="0.2">
      <c r="B176" s="3" t="s">
        <v>73</v>
      </c>
      <c r="C176" s="73">
        <v>0.217</v>
      </c>
      <c r="D176" s="73">
        <v>0.104</v>
      </c>
      <c r="E176" s="73">
        <v>0.32200000000000001</v>
      </c>
      <c r="F176" s="73">
        <v>0.14799999999999999</v>
      </c>
      <c r="G176" s="73">
        <v>0.36499999999999999</v>
      </c>
      <c r="H176" s="73">
        <v>0.40500000000000003</v>
      </c>
    </row>
    <row r="177" spans="2:5" x14ac:dyDescent="0.2">
      <c r="B177" s="1" t="s">
        <v>488</v>
      </c>
    </row>
    <row r="179" spans="2:5" ht="24.6" customHeight="1" x14ac:dyDescent="0.2">
      <c r="B179" s="173" t="s">
        <v>113</v>
      </c>
      <c r="C179" s="199" t="s">
        <v>350</v>
      </c>
    </row>
    <row r="180" spans="2:5" x14ac:dyDescent="0.2">
      <c r="B180" s="64" t="s">
        <v>351</v>
      </c>
      <c r="C180" s="76">
        <v>0.60299999999999998</v>
      </c>
      <c r="E180" s="2" t="s">
        <v>114</v>
      </c>
    </row>
    <row r="181" spans="2:5" x14ac:dyDescent="0.2">
      <c r="B181" s="44" t="s">
        <v>352</v>
      </c>
      <c r="C181" s="77">
        <v>0.65300000000000002</v>
      </c>
    </row>
    <row r="182" spans="2:5" x14ac:dyDescent="0.2">
      <c r="B182" s="200" t="s">
        <v>353</v>
      </c>
      <c r="C182" s="201">
        <v>0.20200000000000001</v>
      </c>
    </row>
    <row r="183" spans="2:5" x14ac:dyDescent="0.2">
      <c r="B183" s="1" t="s">
        <v>354</v>
      </c>
    </row>
    <row r="184" spans="2:5" x14ac:dyDescent="0.2">
      <c r="B184" s="1"/>
    </row>
    <row r="185" spans="2:5" ht="15.75" customHeight="1" x14ac:dyDescent="0.2">
      <c r="B185" s="637" t="s">
        <v>355</v>
      </c>
      <c r="C185" s="646"/>
      <c r="D185" s="650"/>
    </row>
    <row r="186" spans="2:5" ht="16.5" customHeight="1" x14ac:dyDescent="0.2">
      <c r="B186" s="84" t="s">
        <v>92</v>
      </c>
      <c r="C186" s="81" t="s">
        <v>115</v>
      </c>
      <c r="D186" s="81" t="s">
        <v>116</v>
      </c>
    </row>
    <row r="187" spans="2:5" x14ac:dyDescent="0.2">
      <c r="B187" s="82" t="s">
        <v>107</v>
      </c>
      <c r="C187" s="85">
        <v>5.5E-2</v>
      </c>
      <c r="D187" s="73">
        <v>5.0599999999999996</v>
      </c>
    </row>
    <row r="188" spans="2:5" x14ac:dyDescent="0.2">
      <c r="B188" s="45" t="s">
        <v>108</v>
      </c>
      <c r="C188" s="86">
        <v>4.4999999999999998E-2</v>
      </c>
      <c r="D188" s="73">
        <v>3.2789999999999999</v>
      </c>
    </row>
    <row r="189" spans="2:5" x14ac:dyDescent="0.2">
      <c r="B189" s="5" t="s">
        <v>347</v>
      </c>
      <c r="C189" s="201">
        <v>4.2000000000000003E-2</v>
      </c>
      <c r="D189" s="195">
        <v>4.6879999999999997</v>
      </c>
    </row>
    <row r="190" spans="2:5" x14ac:dyDescent="0.2">
      <c r="B190" s="45" t="s">
        <v>73</v>
      </c>
      <c r="C190" s="86">
        <v>0.10199999999999999</v>
      </c>
      <c r="D190" s="73">
        <v>19.067</v>
      </c>
    </row>
    <row r="191" spans="2:5" x14ac:dyDescent="0.2">
      <c r="B191" s="1" t="s">
        <v>489</v>
      </c>
    </row>
    <row r="193" spans="2:8" ht="22.5" customHeight="1" x14ac:dyDescent="0.2">
      <c r="B193" s="637" t="s">
        <v>356</v>
      </c>
      <c r="C193" s="638"/>
      <c r="D193" s="638"/>
      <c r="E193" s="638"/>
    </row>
    <row r="194" spans="2:8" ht="22.5" customHeight="1" x14ac:dyDescent="0.2">
      <c r="B194" s="84" t="s">
        <v>357</v>
      </c>
      <c r="C194" s="80" t="s">
        <v>60</v>
      </c>
      <c r="D194" s="80" t="s">
        <v>61</v>
      </c>
      <c r="E194" s="80" t="s">
        <v>62</v>
      </c>
    </row>
    <row r="195" spans="2:8" ht="22.5" customHeight="1" x14ac:dyDescent="0.2">
      <c r="B195" s="202" t="s">
        <v>358</v>
      </c>
      <c r="C195" s="203">
        <v>1.524</v>
      </c>
      <c r="D195" s="203">
        <v>6.202</v>
      </c>
      <c r="E195" s="203">
        <v>51.39</v>
      </c>
      <c r="H195" s="2" t="s">
        <v>125</v>
      </c>
    </row>
    <row r="196" spans="2:8" ht="22.5" customHeight="1" x14ac:dyDescent="0.2">
      <c r="B196" s="204" t="s">
        <v>359</v>
      </c>
      <c r="C196" s="203">
        <v>0.753</v>
      </c>
      <c r="D196" s="203">
        <v>5.1580000000000004</v>
      </c>
      <c r="E196" s="203">
        <v>51.411000000000001</v>
      </c>
    </row>
    <row r="197" spans="2:8" ht="22.5" customHeight="1" x14ac:dyDescent="0.2">
      <c r="B197" s="46" t="s">
        <v>360</v>
      </c>
      <c r="C197" s="90">
        <v>2.1339999999999999</v>
      </c>
      <c r="D197" s="90">
        <v>8.6829999999999998</v>
      </c>
      <c r="E197" s="90">
        <v>71.945999999999998</v>
      </c>
      <c r="G197" s="748" t="s">
        <v>361</v>
      </c>
    </row>
    <row r="198" spans="2:8" ht="22.5" customHeight="1" x14ac:dyDescent="0.2">
      <c r="B198" s="89" t="s">
        <v>362</v>
      </c>
      <c r="C198" s="90">
        <v>1.2050000000000001</v>
      </c>
      <c r="D198" s="90">
        <v>8.2530000000000001</v>
      </c>
      <c r="E198" s="90">
        <v>82.257999999999996</v>
      </c>
      <c r="G198" s="748" t="s">
        <v>363</v>
      </c>
    </row>
    <row r="199" spans="2:8" ht="22.5" customHeight="1" x14ac:dyDescent="0.2">
      <c r="B199" s="46" t="s">
        <v>364</v>
      </c>
      <c r="C199" s="90">
        <v>0.61</v>
      </c>
      <c r="D199" s="90">
        <v>2.4809999999999999</v>
      </c>
      <c r="E199" s="90">
        <v>20.556000000000001</v>
      </c>
      <c r="G199" s="748" t="s">
        <v>365</v>
      </c>
    </row>
    <row r="200" spans="2:8" ht="22.5" customHeight="1" x14ac:dyDescent="0.2">
      <c r="B200" s="46" t="s">
        <v>366</v>
      </c>
      <c r="C200" s="90">
        <v>0.45200000000000001</v>
      </c>
      <c r="D200" s="90">
        <v>3.0950000000000002</v>
      </c>
      <c r="E200" s="90">
        <v>30.847000000000001</v>
      </c>
      <c r="G200" s="748" t="s">
        <v>367</v>
      </c>
    </row>
    <row r="201" spans="2:8" x14ac:dyDescent="0.2">
      <c r="B201" s="1" t="s">
        <v>368</v>
      </c>
    </row>
    <row r="203" spans="2:8" ht="23.25" customHeight="1" x14ac:dyDescent="0.2">
      <c r="B203" s="637" t="s">
        <v>117</v>
      </c>
      <c r="C203" s="638"/>
      <c r="D203" s="638"/>
      <c r="E203" s="638"/>
      <c r="F203" s="87"/>
    </row>
    <row r="204" spans="2:8" ht="22.5" customHeight="1" x14ac:dyDescent="0.2">
      <c r="B204" s="84" t="s">
        <v>75</v>
      </c>
      <c r="C204" s="80" t="s">
        <v>60</v>
      </c>
      <c r="D204" s="80" t="s">
        <v>61</v>
      </c>
      <c r="E204" s="80" t="s">
        <v>62</v>
      </c>
      <c r="F204" s="87"/>
    </row>
    <row r="205" spans="2:8" ht="22.5" customHeight="1" x14ac:dyDescent="0.2">
      <c r="B205" s="46" t="s">
        <v>118</v>
      </c>
      <c r="C205" s="90">
        <v>1.1120000000000001</v>
      </c>
      <c r="D205" s="90">
        <v>6.5410000000000004</v>
      </c>
      <c r="E205" s="90">
        <v>47.969000000000001</v>
      </c>
      <c r="F205" s="88"/>
      <c r="G205" s="748" t="s">
        <v>213</v>
      </c>
      <c r="H205" s="2" t="s">
        <v>125</v>
      </c>
    </row>
    <row r="206" spans="2:8" ht="22.5" x14ac:dyDescent="0.2">
      <c r="B206" s="89" t="s">
        <v>119</v>
      </c>
      <c r="C206" s="90">
        <v>0.26</v>
      </c>
      <c r="D206" s="90">
        <v>4.585</v>
      </c>
      <c r="E206" s="90">
        <v>24.452999999999999</v>
      </c>
      <c r="F206" s="88"/>
      <c r="G206" s="748" t="s">
        <v>212</v>
      </c>
    </row>
    <row r="207" spans="2:8" ht="22.5" x14ac:dyDescent="0.2">
      <c r="B207" s="46" t="s">
        <v>120</v>
      </c>
      <c r="C207" s="90">
        <v>0.754</v>
      </c>
      <c r="D207" s="90">
        <v>4.4370000000000003</v>
      </c>
      <c r="E207" s="90">
        <v>29.582999999999998</v>
      </c>
      <c r="F207" s="88"/>
      <c r="G207" s="748" t="s">
        <v>218</v>
      </c>
    </row>
    <row r="208" spans="2:8" ht="22.5" x14ac:dyDescent="0.2">
      <c r="B208" s="89" t="s">
        <v>121</v>
      </c>
      <c r="C208" s="90">
        <v>0.14299999999999999</v>
      </c>
      <c r="D208" s="90">
        <v>1.054</v>
      </c>
      <c r="E208" s="90">
        <v>11.382999999999999</v>
      </c>
      <c r="F208" s="88"/>
      <c r="G208" s="748" t="s">
        <v>217</v>
      </c>
    </row>
    <row r="209" spans="2:54" ht="22.5" x14ac:dyDescent="0.2">
      <c r="B209" s="46" t="s">
        <v>122</v>
      </c>
      <c r="C209" s="90">
        <v>0.78200000000000003</v>
      </c>
      <c r="D209" s="90">
        <v>1.1499999999999999</v>
      </c>
      <c r="E209" s="90">
        <v>6.9029999999999996</v>
      </c>
      <c r="F209" s="88"/>
      <c r="G209" s="748" t="s">
        <v>214</v>
      </c>
    </row>
    <row r="210" spans="2:54" ht="22.5" x14ac:dyDescent="0.2">
      <c r="B210" s="46" t="s">
        <v>123</v>
      </c>
      <c r="C210" s="90">
        <v>0.26500000000000001</v>
      </c>
      <c r="D210" s="90">
        <v>1.216</v>
      </c>
      <c r="E210" s="90">
        <v>12.846</v>
      </c>
      <c r="F210" s="88"/>
      <c r="G210" s="748" t="s">
        <v>215</v>
      </c>
    </row>
    <row r="211" spans="2:54" ht="22.5" x14ac:dyDescent="0.2">
      <c r="B211" s="46" t="s">
        <v>124</v>
      </c>
      <c r="C211" s="90">
        <v>0.24099999999999999</v>
      </c>
      <c r="D211" s="90">
        <v>0.97299999999999998</v>
      </c>
      <c r="E211" s="90">
        <v>6.8970000000000002</v>
      </c>
      <c r="F211" s="88"/>
      <c r="G211" s="748" t="s">
        <v>216</v>
      </c>
    </row>
    <row r="212" spans="2:54" x14ac:dyDescent="0.2">
      <c r="B212" s="1" t="s">
        <v>369</v>
      </c>
    </row>
    <row r="214" spans="2:54" ht="22.5" x14ac:dyDescent="0.2">
      <c r="B214" s="173" t="s">
        <v>126</v>
      </c>
      <c r="C214" s="125">
        <v>2024</v>
      </c>
      <c r="D214" s="125">
        <v>2025</v>
      </c>
      <c r="E214" s="125">
        <v>2026</v>
      </c>
      <c r="F214" s="125">
        <v>2027</v>
      </c>
      <c r="G214" s="125">
        <v>2028</v>
      </c>
      <c r="H214" s="125">
        <v>2029</v>
      </c>
      <c r="I214" s="125">
        <v>2030</v>
      </c>
      <c r="J214" s="125">
        <v>2031</v>
      </c>
      <c r="K214" s="125">
        <v>2032</v>
      </c>
      <c r="L214" s="125">
        <v>2033</v>
      </c>
      <c r="M214" s="125">
        <v>2034</v>
      </c>
      <c r="N214" s="125">
        <v>2035</v>
      </c>
      <c r="O214" s="125">
        <v>2036</v>
      </c>
      <c r="P214" s="125">
        <v>2037</v>
      </c>
      <c r="Q214" s="125">
        <v>2038</v>
      </c>
      <c r="R214" s="125">
        <v>2039</v>
      </c>
      <c r="S214" s="125">
        <v>2040</v>
      </c>
      <c r="T214" s="125">
        <v>2041</v>
      </c>
      <c r="U214" s="125">
        <v>2042</v>
      </c>
      <c r="V214" s="125">
        <v>2043</v>
      </c>
      <c r="W214" s="125">
        <v>2044</v>
      </c>
      <c r="X214" s="125">
        <v>2045</v>
      </c>
      <c r="Y214" s="125">
        <v>2046</v>
      </c>
      <c r="Z214" s="125">
        <v>2047</v>
      </c>
      <c r="AA214" s="125">
        <v>2048</v>
      </c>
      <c r="AB214" s="125">
        <v>2049</v>
      </c>
      <c r="AC214" s="125">
        <v>2050</v>
      </c>
      <c r="AD214" s="125">
        <v>2051</v>
      </c>
      <c r="AE214" s="125">
        <v>2052</v>
      </c>
      <c r="AF214" s="125">
        <v>2053</v>
      </c>
      <c r="AG214" s="125">
        <v>2054</v>
      </c>
      <c r="AH214" s="125">
        <v>2055</v>
      </c>
      <c r="AI214" s="125">
        <v>2056</v>
      </c>
      <c r="AJ214" s="125">
        <v>2057</v>
      </c>
      <c r="AK214" s="125">
        <v>2058</v>
      </c>
      <c r="AL214" s="125">
        <v>2059</v>
      </c>
      <c r="AM214" s="125">
        <v>2060</v>
      </c>
      <c r="AN214" s="125">
        <v>2061</v>
      </c>
      <c r="AO214" s="125">
        <v>2062</v>
      </c>
      <c r="AP214" s="125">
        <v>2063</v>
      </c>
      <c r="AQ214" s="125">
        <v>2064</v>
      </c>
      <c r="AR214" s="125">
        <v>2065</v>
      </c>
      <c r="AS214" s="125">
        <v>2066</v>
      </c>
      <c r="AT214" s="125">
        <v>2067</v>
      </c>
      <c r="AU214" s="125">
        <v>2068</v>
      </c>
      <c r="AV214" s="125">
        <v>2069</v>
      </c>
      <c r="AW214" s="125">
        <v>2070</v>
      </c>
      <c r="AX214" s="125">
        <v>2071</v>
      </c>
      <c r="AY214" s="125">
        <v>2072</v>
      </c>
      <c r="AZ214" s="125">
        <v>2073</v>
      </c>
      <c r="BA214" s="125">
        <v>2074</v>
      </c>
      <c r="BB214" s="125">
        <v>2075</v>
      </c>
    </row>
    <row r="215" spans="2:54" x14ac:dyDescent="0.2">
      <c r="B215" s="45" t="s">
        <v>60</v>
      </c>
      <c r="C215" s="91">
        <v>4394687</v>
      </c>
      <c r="D215" s="91">
        <f t="shared" ref="D215:AI215" si="21">ROUND(C215*(1+(0.8*D23)),2)</f>
        <v>4489612.24</v>
      </c>
      <c r="E215" s="91">
        <f t="shared" si="21"/>
        <v>4590179.55</v>
      </c>
      <c r="F215" s="91">
        <f t="shared" si="21"/>
        <v>4667294.57</v>
      </c>
      <c r="G215" s="91">
        <f t="shared" si="21"/>
        <v>4730769.78</v>
      </c>
      <c r="H215" s="91">
        <f t="shared" si="21"/>
        <v>4798892.8600000003</v>
      </c>
      <c r="I215" s="91">
        <f t="shared" si="21"/>
        <v>4860318.6900000004</v>
      </c>
      <c r="J215" s="91">
        <f t="shared" si="21"/>
        <v>4922530.7699999996</v>
      </c>
      <c r="K215" s="91">
        <f t="shared" si="21"/>
        <v>4981601.1399999997</v>
      </c>
      <c r="L215" s="91">
        <f t="shared" si="21"/>
        <v>5041380.3499999996</v>
      </c>
      <c r="M215" s="91">
        <f t="shared" si="21"/>
        <v>5101876.91</v>
      </c>
      <c r="N215" s="91">
        <f t="shared" si="21"/>
        <v>5163099.43</v>
      </c>
      <c r="O215" s="91">
        <f t="shared" si="21"/>
        <v>5225056.62</v>
      </c>
      <c r="P215" s="91">
        <f t="shared" si="21"/>
        <v>5287757.3</v>
      </c>
      <c r="Q215" s="91">
        <f t="shared" si="21"/>
        <v>5351210.3899999997</v>
      </c>
      <c r="R215" s="91">
        <f t="shared" si="21"/>
        <v>5415424.9100000001</v>
      </c>
      <c r="S215" s="91">
        <f t="shared" si="21"/>
        <v>5480410.0099999998</v>
      </c>
      <c r="T215" s="91">
        <f t="shared" si="21"/>
        <v>5546174.9299999997</v>
      </c>
      <c r="U215" s="91">
        <f t="shared" si="21"/>
        <v>5603855.1500000004</v>
      </c>
      <c r="V215" s="91">
        <f t="shared" si="21"/>
        <v>5662135.2400000002</v>
      </c>
      <c r="W215" s="91">
        <f t="shared" si="21"/>
        <v>5721021.4500000002</v>
      </c>
      <c r="X215" s="91">
        <f t="shared" si="21"/>
        <v>5780520.0700000003</v>
      </c>
      <c r="Y215" s="91">
        <f t="shared" si="21"/>
        <v>5840637.4800000004</v>
      </c>
      <c r="Z215" s="91">
        <f t="shared" si="21"/>
        <v>5901380.1100000003</v>
      </c>
      <c r="AA215" s="91">
        <f t="shared" si="21"/>
        <v>5962754.46</v>
      </c>
      <c r="AB215" s="91">
        <f t="shared" si="21"/>
        <v>6024767.1100000003</v>
      </c>
      <c r="AC215" s="91">
        <f t="shared" si="21"/>
        <v>6087424.6900000004</v>
      </c>
      <c r="AD215" s="91">
        <f t="shared" si="21"/>
        <v>6150733.9100000001</v>
      </c>
      <c r="AE215" s="91">
        <f t="shared" si="21"/>
        <v>6209780.96</v>
      </c>
      <c r="AF215" s="91">
        <f t="shared" si="21"/>
        <v>6269394.8600000003</v>
      </c>
      <c r="AG215" s="91">
        <f t="shared" si="21"/>
        <v>6329581.0499999998</v>
      </c>
      <c r="AH215" s="91">
        <f t="shared" si="21"/>
        <v>6390345.0300000003</v>
      </c>
      <c r="AI215" s="91">
        <f t="shared" si="21"/>
        <v>6451692.3399999999</v>
      </c>
      <c r="AJ215" s="91">
        <f t="shared" ref="AJ215:BB215" si="22">ROUND(AI215*(1+(0.8*AJ23)),2)</f>
        <v>6513628.5899999999</v>
      </c>
      <c r="AK215" s="91">
        <f t="shared" si="22"/>
        <v>6576159.4199999999</v>
      </c>
      <c r="AL215" s="91">
        <f t="shared" si="22"/>
        <v>6639290.5499999998</v>
      </c>
      <c r="AM215" s="91">
        <f t="shared" si="22"/>
        <v>6703027.7400000002</v>
      </c>
      <c r="AN215" s="91">
        <f t="shared" si="22"/>
        <v>6767376.8099999996</v>
      </c>
      <c r="AO215" s="91">
        <f t="shared" si="22"/>
        <v>6837757.5300000003</v>
      </c>
      <c r="AP215" s="91">
        <f t="shared" si="22"/>
        <v>6908870.21</v>
      </c>
      <c r="AQ215" s="91">
        <f t="shared" si="22"/>
        <v>6980722.46</v>
      </c>
      <c r="AR215" s="91">
        <f t="shared" si="22"/>
        <v>7053321.9699999997</v>
      </c>
      <c r="AS215" s="91">
        <f t="shared" si="22"/>
        <v>7126676.5199999996</v>
      </c>
      <c r="AT215" s="91">
        <f t="shared" si="22"/>
        <v>7200793.96</v>
      </c>
      <c r="AU215" s="91">
        <f t="shared" si="22"/>
        <v>7275682.2199999997</v>
      </c>
      <c r="AV215" s="91">
        <f t="shared" si="22"/>
        <v>7351349.3200000003</v>
      </c>
      <c r="AW215" s="91">
        <f t="shared" si="22"/>
        <v>7427803.3499999996</v>
      </c>
      <c r="AX215" s="91">
        <f t="shared" si="22"/>
        <v>7505052.5</v>
      </c>
      <c r="AY215" s="91">
        <f t="shared" si="22"/>
        <v>7583105.0499999998</v>
      </c>
      <c r="AZ215" s="91">
        <f t="shared" si="22"/>
        <v>7661969.3399999999</v>
      </c>
      <c r="BA215" s="91">
        <f t="shared" si="22"/>
        <v>7741653.8200000003</v>
      </c>
      <c r="BB215" s="91">
        <f t="shared" si="22"/>
        <v>7822167.0199999996</v>
      </c>
    </row>
    <row r="216" spans="2:54" x14ac:dyDescent="0.2">
      <c r="B216" s="45" t="s">
        <v>61</v>
      </c>
      <c r="C216" s="91">
        <v>624516</v>
      </c>
      <c r="D216" s="91">
        <f t="shared" ref="D216:AI216" si="23">ROUND(C216*(1+(0.8*D23)),2)</f>
        <v>638005.55000000005</v>
      </c>
      <c r="E216" s="91">
        <f t="shared" si="23"/>
        <v>652296.87</v>
      </c>
      <c r="F216" s="91">
        <f t="shared" si="23"/>
        <v>663255.46</v>
      </c>
      <c r="G216" s="91">
        <f t="shared" si="23"/>
        <v>672275.73</v>
      </c>
      <c r="H216" s="91">
        <f t="shared" si="23"/>
        <v>681956.5</v>
      </c>
      <c r="I216" s="91">
        <f t="shared" si="23"/>
        <v>690685.54</v>
      </c>
      <c r="J216" s="91">
        <f t="shared" si="23"/>
        <v>699526.31</v>
      </c>
      <c r="K216" s="91">
        <f t="shared" si="23"/>
        <v>707920.63</v>
      </c>
      <c r="L216" s="91">
        <f t="shared" si="23"/>
        <v>716415.68</v>
      </c>
      <c r="M216" s="91">
        <f t="shared" si="23"/>
        <v>725012.67</v>
      </c>
      <c r="N216" s="91">
        <f t="shared" si="23"/>
        <v>733712.82</v>
      </c>
      <c r="O216" s="91">
        <f t="shared" si="23"/>
        <v>742517.37</v>
      </c>
      <c r="P216" s="91">
        <f t="shared" si="23"/>
        <v>751427.58</v>
      </c>
      <c r="Q216" s="91">
        <f t="shared" si="23"/>
        <v>760444.71</v>
      </c>
      <c r="R216" s="91">
        <f t="shared" si="23"/>
        <v>769570.05</v>
      </c>
      <c r="S216" s="91">
        <f t="shared" si="23"/>
        <v>778804.89</v>
      </c>
      <c r="T216" s="91">
        <f t="shared" si="23"/>
        <v>788150.55</v>
      </c>
      <c r="U216" s="91">
        <f t="shared" si="23"/>
        <v>796347.32</v>
      </c>
      <c r="V216" s="91">
        <f t="shared" si="23"/>
        <v>804629.33</v>
      </c>
      <c r="W216" s="91">
        <f t="shared" si="23"/>
        <v>812997.48</v>
      </c>
      <c r="X216" s="91">
        <f t="shared" si="23"/>
        <v>821452.65</v>
      </c>
      <c r="Y216" s="91">
        <f t="shared" si="23"/>
        <v>829995.76</v>
      </c>
      <c r="Z216" s="91">
        <f t="shared" si="23"/>
        <v>838627.72</v>
      </c>
      <c r="AA216" s="91">
        <f t="shared" si="23"/>
        <v>847349.45</v>
      </c>
      <c r="AB216" s="91">
        <f t="shared" si="23"/>
        <v>856161.88</v>
      </c>
      <c r="AC216" s="91">
        <f t="shared" si="23"/>
        <v>865065.96</v>
      </c>
      <c r="AD216" s="91">
        <f t="shared" si="23"/>
        <v>874062.65</v>
      </c>
      <c r="AE216" s="91">
        <f t="shared" si="23"/>
        <v>882453.65</v>
      </c>
      <c r="AF216" s="91">
        <f t="shared" si="23"/>
        <v>890925.21</v>
      </c>
      <c r="AG216" s="91">
        <f t="shared" si="23"/>
        <v>899478.09</v>
      </c>
      <c r="AH216" s="91">
        <f t="shared" si="23"/>
        <v>908113.08</v>
      </c>
      <c r="AI216" s="91">
        <f t="shared" si="23"/>
        <v>916830.97</v>
      </c>
      <c r="AJ216" s="91">
        <f t="shared" ref="AJ216:BB216" si="24">ROUND(AI216*(1+(0.8*AJ23)),2)</f>
        <v>925632.55</v>
      </c>
      <c r="AK216" s="91">
        <f t="shared" si="24"/>
        <v>934518.62</v>
      </c>
      <c r="AL216" s="91">
        <f t="shared" si="24"/>
        <v>943490</v>
      </c>
      <c r="AM216" s="91">
        <f t="shared" si="24"/>
        <v>952547.5</v>
      </c>
      <c r="AN216" s="91">
        <f t="shared" si="24"/>
        <v>961691.96</v>
      </c>
      <c r="AO216" s="91">
        <f t="shared" si="24"/>
        <v>971693.56</v>
      </c>
      <c r="AP216" s="91">
        <f t="shared" si="24"/>
        <v>981799.17</v>
      </c>
      <c r="AQ216" s="91">
        <f t="shared" si="24"/>
        <v>992009.88</v>
      </c>
      <c r="AR216" s="91">
        <f t="shared" si="24"/>
        <v>1002326.78</v>
      </c>
      <c r="AS216" s="91">
        <f t="shared" si="24"/>
        <v>1012750.98</v>
      </c>
      <c r="AT216" s="91">
        <f t="shared" si="24"/>
        <v>1023283.59</v>
      </c>
      <c r="AU216" s="91">
        <f t="shared" si="24"/>
        <v>1033925.74</v>
      </c>
      <c r="AV216" s="91">
        <f t="shared" si="24"/>
        <v>1044678.57</v>
      </c>
      <c r="AW216" s="91">
        <f t="shared" si="24"/>
        <v>1055543.23</v>
      </c>
      <c r="AX216" s="91">
        <f t="shared" si="24"/>
        <v>1066520.8799999999</v>
      </c>
      <c r="AY216" s="91">
        <f t="shared" si="24"/>
        <v>1077612.7</v>
      </c>
      <c r="AZ216" s="91">
        <f t="shared" si="24"/>
        <v>1088819.8700000001</v>
      </c>
      <c r="BA216" s="91">
        <f t="shared" si="24"/>
        <v>1100143.6000000001</v>
      </c>
      <c r="BB216" s="91">
        <f t="shared" si="24"/>
        <v>1111585.0900000001</v>
      </c>
    </row>
    <row r="217" spans="2:54" x14ac:dyDescent="0.2">
      <c r="B217" s="45" t="s">
        <v>62</v>
      </c>
      <c r="C217" s="91">
        <v>48205</v>
      </c>
      <c r="D217" s="91">
        <f t="shared" ref="D217:AI217" si="25">ROUND(C217*(1+(0.8*D23)),2)</f>
        <v>49246.23</v>
      </c>
      <c r="E217" s="91">
        <f t="shared" si="25"/>
        <v>50349.35</v>
      </c>
      <c r="F217" s="91">
        <f t="shared" si="25"/>
        <v>51195.22</v>
      </c>
      <c r="G217" s="91">
        <f t="shared" si="25"/>
        <v>51891.47</v>
      </c>
      <c r="H217" s="91">
        <f t="shared" si="25"/>
        <v>52638.71</v>
      </c>
      <c r="I217" s="91">
        <f t="shared" si="25"/>
        <v>53312.49</v>
      </c>
      <c r="J217" s="91">
        <f t="shared" si="25"/>
        <v>53994.89</v>
      </c>
      <c r="K217" s="91">
        <f t="shared" si="25"/>
        <v>54642.83</v>
      </c>
      <c r="L217" s="91">
        <f t="shared" si="25"/>
        <v>55298.54</v>
      </c>
      <c r="M217" s="91">
        <f t="shared" si="25"/>
        <v>55962.12</v>
      </c>
      <c r="N217" s="91">
        <f t="shared" si="25"/>
        <v>56633.67</v>
      </c>
      <c r="O217" s="91">
        <f t="shared" si="25"/>
        <v>57313.27</v>
      </c>
      <c r="P217" s="91">
        <f t="shared" si="25"/>
        <v>58001.03</v>
      </c>
      <c r="Q217" s="91">
        <f t="shared" si="25"/>
        <v>58697.04</v>
      </c>
      <c r="R217" s="91">
        <f t="shared" si="25"/>
        <v>59401.4</v>
      </c>
      <c r="S217" s="91">
        <f t="shared" si="25"/>
        <v>60114.22</v>
      </c>
      <c r="T217" s="91">
        <f t="shared" si="25"/>
        <v>60835.59</v>
      </c>
      <c r="U217" s="91">
        <f t="shared" si="25"/>
        <v>61468.28</v>
      </c>
      <c r="V217" s="91">
        <f t="shared" si="25"/>
        <v>62107.55</v>
      </c>
      <c r="W217" s="91">
        <f t="shared" si="25"/>
        <v>62753.47</v>
      </c>
      <c r="X217" s="91">
        <f t="shared" si="25"/>
        <v>63406.11</v>
      </c>
      <c r="Y217" s="91">
        <f t="shared" si="25"/>
        <v>64065.53</v>
      </c>
      <c r="Z217" s="91">
        <f t="shared" si="25"/>
        <v>64731.81</v>
      </c>
      <c r="AA217" s="91">
        <f t="shared" si="25"/>
        <v>65405.02</v>
      </c>
      <c r="AB217" s="91">
        <f t="shared" si="25"/>
        <v>66085.23</v>
      </c>
      <c r="AC217" s="91">
        <f t="shared" si="25"/>
        <v>66772.52</v>
      </c>
      <c r="AD217" s="91">
        <f t="shared" si="25"/>
        <v>67466.95</v>
      </c>
      <c r="AE217" s="91">
        <f t="shared" si="25"/>
        <v>68114.63</v>
      </c>
      <c r="AF217" s="91">
        <f t="shared" si="25"/>
        <v>68768.53</v>
      </c>
      <c r="AG217" s="91">
        <f t="shared" si="25"/>
        <v>69428.710000000006</v>
      </c>
      <c r="AH217" s="91">
        <f t="shared" si="25"/>
        <v>70095.23</v>
      </c>
      <c r="AI217" s="91">
        <f t="shared" si="25"/>
        <v>70768.14</v>
      </c>
      <c r="AJ217" s="91">
        <f t="shared" ref="AJ217:BB217" si="26">ROUND(AI217*(1+(0.8*AJ23)),2)</f>
        <v>71447.509999999995</v>
      </c>
      <c r="AK217" s="91">
        <f t="shared" si="26"/>
        <v>72133.41</v>
      </c>
      <c r="AL217" s="91">
        <f t="shared" si="26"/>
        <v>72825.89</v>
      </c>
      <c r="AM217" s="91">
        <f t="shared" si="26"/>
        <v>73525.02</v>
      </c>
      <c r="AN217" s="91">
        <f t="shared" si="26"/>
        <v>74230.86</v>
      </c>
      <c r="AO217" s="91">
        <f t="shared" si="26"/>
        <v>75002.86</v>
      </c>
      <c r="AP217" s="91">
        <f t="shared" si="26"/>
        <v>75782.89</v>
      </c>
      <c r="AQ217" s="91">
        <f t="shared" si="26"/>
        <v>76571.03</v>
      </c>
      <c r="AR217" s="91">
        <f t="shared" si="26"/>
        <v>77367.37</v>
      </c>
      <c r="AS217" s="91">
        <f t="shared" si="26"/>
        <v>78171.990000000005</v>
      </c>
      <c r="AT217" s="91">
        <f t="shared" si="26"/>
        <v>78984.98</v>
      </c>
      <c r="AU217" s="91">
        <f t="shared" si="26"/>
        <v>79806.42</v>
      </c>
      <c r="AV217" s="91">
        <f t="shared" si="26"/>
        <v>80636.41</v>
      </c>
      <c r="AW217" s="91">
        <f t="shared" si="26"/>
        <v>81475.03</v>
      </c>
      <c r="AX217" s="91">
        <f t="shared" si="26"/>
        <v>82322.37</v>
      </c>
      <c r="AY217" s="91">
        <f t="shared" si="26"/>
        <v>83178.52</v>
      </c>
      <c r="AZ217" s="91">
        <f t="shared" si="26"/>
        <v>84043.58</v>
      </c>
      <c r="BA217" s="91">
        <f t="shared" si="26"/>
        <v>84917.63</v>
      </c>
      <c r="BB217" s="91">
        <f t="shared" si="26"/>
        <v>85800.77</v>
      </c>
    </row>
    <row r="218" spans="2:54" x14ac:dyDescent="0.2">
      <c r="B218" s="1" t="s">
        <v>330</v>
      </c>
    </row>
    <row r="219" spans="2:54" x14ac:dyDescent="0.2">
      <c r="B219" s="1"/>
    </row>
    <row r="220" spans="2:54" ht="16.5" customHeight="1" x14ac:dyDescent="0.2">
      <c r="B220" s="637" t="s">
        <v>148</v>
      </c>
      <c r="C220" s="638"/>
      <c r="D220" s="638"/>
      <c r="E220" s="638"/>
      <c r="F220" s="639"/>
      <c r="G220" s="639"/>
    </row>
    <row r="221" spans="2:54" ht="16.5" customHeight="1" x14ac:dyDescent="0.2">
      <c r="B221" s="84" t="s">
        <v>92</v>
      </c>
      <c r="C221" s="92" t="s">
        <v>134</v>
      </c>
      <c r="D221" s="92" t="s">
        <v>135</v>
      </c>
      <c r="E221" s="92" t="s">
        <v>136</v>
      </c>
      <c r="F221" s="93" t="s">
        <v>133</v>
      </c>
      <c r="G221" s="93" t="s">
        <v>137</v>
      </c>
    </row>
    <row r="222" spans="2:54" x14ac:dyDescent="0.2">
      <c r="B222" s="46" t="s">
        <v>107</v>
      </c>
      <c r="C222" s="90">
        <v>0.03</v>
      </c>
      <c r="D222" s="90">
        <v>8.73</v>
      </c>
      <c r="E222" s="90">
        <v>0.02</v>
      </c>
      <c r="F222" s="77">
        <v>10.050000000000001</v>
      </c>
      <c r="G222" s="77">
        <v>1.1060000000000001</v>
      </c>
    </row>
    <row r="223" spans="2:54" x14ac:dyDescent="0.2">
      <c r="B223" s="89" t="s">
        <v>108</v>
      </c>
      <c r="C223" s="90">
        <v>1.1000000000000001</v>
      </c>
      <c r="D223" s="90">
        <v>12.96</v>
      </c>
      <c r="E223" s="90">
        <v>0.02</v>
      </c>
      <c r="F223" s="77">
        <v>0.7</v>
      </c>
      <c r="G223" s="77">
        <v>6.5000000000000002E-2</v>
      </c>
    </row>
    <row r="224" spans="2:54" x14ac:dyDescent="0.2">
      <c r="B224" s="46" t="s">
        <v>138</v>
      </c>
      <c r="C224" s="90">
        <v>0.94</v>
      </c>
      <c r="D224" s="90">
        <v>33.369999999999997</v>
      </c>
      <c r="E224" s="90">
        <v>0.02</v>
      </c>
      <c r="F224" s="77">
        <v>1.92</v>
      </c>
      <c r="G224" s="77">
        <v>1.2999999999999999E-2</v>
      </c>
    </row>
    <row r="225" spans="2:54" x14ac:dyDescent="0.2">
      <c r="B225" s="1" t="s">
        <v>162</v>
      </c>
    </row>
    <row r="227" spans="2:54" ht="16.5" customHeight="1" x14ac:dyDescent="0.2">
      <c r="B227" s="637" t="s">
        <v>149</v>
      </c>
      <c r="C227" s="640"/>
      <c r="D227" s="640"/>
      <c r="E227" s="640"/>
      <c r="F227"/>
      <c r="G227"/>
    </row>
    <row r="228" spans="2:54" ht="16.5" customHeight="1" x14ac:dyDescent="0.2">
      <c r="B228" s="84" t="s">
        <v>92</v>
      </c>
      <c r="C228" s="92" t="s">
        <v>150</v>
      </c>
      <c r="D228" s="92" t="s">
        <v>151</v>
      </c>
      <c r="E228" s="92" t="s">
        <v>152</v>
      </c>
      <c r="F228" s="98"/>
      <c r="G228" s="98"/>
    </row>
    <row r="229" spans="2:54" x14ac:dyDescent="0.2">
      <c r="B229" s="46" t="s">
        <v>107</v>
      </c>
      <c r="C229" s="100">
        <v>3180</v>
      </c>
      <c r="D229" s="101">
        <v>1.0900000000000001</v>
      </c>
      <c r="E229" s="90">
        <v>0.20599999999999999</v>
      </c>
      <c r="F229" s="97"/>
      <c r="G229" s="97"/>
    </row>
    <row r="230" spans="2:54" x14ac:dyDescent="0.2">
      <c r="B230" s="89" t="s">
        <v>108</v>
      </c>
      <c r="C230" s="100">
        <v>3140</v>
      </c>
      <c r="D230" s="101">
        <v>0.23</v>
      </c>
      <c r="E230" s="90">
        <v>8.6999999999999994E-2</v>
      </c>
      <c r="F230" s="97"/>
      <c r="G230" s="97"/>
    </row>
    <row r="231" spans="2:54" x14ac:dyDescent="0.2">
      <c r="B231" s="46" t="s">
        <v>138</v>
      </c>
      <c r="C231" s="100">
        <v>3140</v>
      </c>
      <c r="D231" s="101">
        <v>0.27</v>
      </c>
      <c r="E231" s="90">
        <v>5.0999999999999997E-2</v>
      </c>
      <c r="F231" s="97"/>
      <c r="G231" s="97"/>
    </row>
    <row r="232" spans="2:54" x14ac:dyDescent="0.2">
      <c r="B232" s="102" t="s">
        <v>333</v>
      </c>
      <c r="C232" s="96"/>
      <c r="D232" s="96"/>
      <c r="E232" s="96"/>
      <c r="F232" s="97"/>
      <c r="G232" s="97"/>
    </row>
    <row r="234" spans="2:54" ht="22.5" x14ac:dyDescent="0.2">
      <c r="B234" s="173" t="s">
        <v>155</v>
      </c>
      <c r="C234" s="125">
        <v>2024</v>
      </c>
      <c r="D234" s="125">
        <v>2025</v>
      </c>
      <c r="E234" s="125">
        <v>2026</v>
      </c>
      <c r="F234" s="125">
        <v>2027</v>
      </c>
      <c r="G234" s="125">
        <v>2028</v>
      </c>
      <c r="H234" s="125">
        <v>2029</v>
      </c>
      <c r="I234" s="125">
        <v>2030</v>
      </c>
      <c r="J234" s="125">
        <v>2031</v>
      </c>
      <c r="K234" s="125">
        <v>2032</v>
      </c>
      <c r="L234" s="125">
        <v>2033</v>
      </c>
      <c r="M234" s="125">
        <v>2034</v>
      </c>
      <c r="N234" s="125">
        <v>2035</v>
      </c>
      <c r="O234" s="125">
        <v>2036</v>
      </c>
      <c r="P234" s="125">
        <v>2037</v>
      </c>
      <c r="Q234" s="125">
        <v>2038</v>
      </c>
      <c r="R234" s="125">
        <v>2039</v>
      </c>
      <c r="S234" s="125">
        <v>2040</v>
      </c>
      <c r="T234" s="125">
        <v>2041</v>
      </c>
      <c r="U234" s="125">
        <v>2042</v>
      </c>
      <c r="V234" s="125">
        <v>2043</v>
      </c>
      <c r="W234" s="125">
        <v>2044</v>
      </c>
      <c r="X234" s="125">
        <v>2045</v>
      </c>
      <c r="Y234" s="125">
        <v>2046</v>
      </c>
      <c r="Z234" s="125">
        <v>2047</v>
      </c>
      <c r="AA234" s="125">
        <v>2048</v>
      </c>
      <c r="AB234" s="125">
        <v>2049</v>
      </c>
      <c r="AC234" s="125">
        <v>2050</v>
      </c>
      <c r="AD234" s="125">
        <v>2051</v>
      </c>
      <c r="AE234" s="125">
        <v>2052</v>
      </c>
      <c r="AF234" s="125">
        <v>2053</v>
      </c>
      <c r="AG234" s="125">
        <v>2054</v>
      </c>
      <c r="AH234" s="125">
        <v>2055</v>
      </c>
      <c r="AI234" s="125">
        <v>2056</v>
      </c>
      <c r="AJ234" s="125">
        <v>2057</v>
      </c>
      <c r="AK234" s="125">
        <v>2058</v>
      </c>
      <c r="AL234" s="125">
        <v>2059</v>
      </c>
      <c r="AM234" s="125">
        <v>2060</v>
      </c>
      <c r="AN234" s="125">
        <v>2061</v>
      </c>
      <c r="AO234" s="125">
        <v>2062</v>
      </c>
      <c r="AP234" s="125">
        <v>2063</v>
      </c>
      <c r="AQ234" s="125">
        <v>2064</v>
      </c>
      <c r="AR234" s="125">
        <v>2065</v>
      </c>
      <c r="AS234" s="125">
        <v>2066</v>
      </c>
      <c r="AT234" s="125">
        <v>2067</v>
      </c>
      <c r="AU234" s="125">
        <v>2068</v>
      </c>
      <c r="AV234" s="125">
        <v>2069</v>
      </c>
      <c r="AW234" s="125">
        <v>2070</v>
      </c>
      <c r="AX234" s="125">
        <v>2071</v>
      </c>
      <c r="AY234" s="125">
        <v>2072</v>
      </c>
      <c r="AZ234" s="125">
        <v>2073</v>
      </c>
      <c r="BA234" s="125">
        <v>2074</v>
      </c>
      <c r="BB234" s="125">
        <v>2075</v>
      </c>
    </row>
    <row r="235" spans="2:54" x14ac:dyDescent="0.2">
      <c r="B235" s="45" t="s">
        <v>156</v>
      </c>
      <c r="C235" s="103">
        <f>1.69*0.01</f>
        <v>1.6899999999999998E-2</v>
      </c>
      <c r="D235" s="103">
        <f>ROUND(C235*(1+(0.8*D$23)),5)</f>
        <v>1.7270000000000001E-2</v>
      </c>
      <c r="E235" s="103">
        <f t="shared" ref="E235:BB237" si="27">ROUND(D235*(1+(0.8*E$23)),5)</f>
        <v>1.7659999999999999E-2</v>
      </c>
      <c r="F235" s="103">
        <f t="shared" si="27"/>
        <v>1.796E-2</v>
      </c>
      <c r="G235" s="103">
        <f t="shared" si="27"/>
        <v>1.8200000000000001E-2</v>
      </c>
      <c r="H235" s="103">
        <f t="shared" si="27"/>
        <v>1.8460000000000001E-2</v>
      </c>
      <c r="I235" s="103">
        <f t="shared" si="27"/>
        <v>1.8700000000000001E-2</v>
      </c>
      <c r="J235" s="103">
        <f t="shared" si="27"/>
        <v>1.8939999999999999E-2</v>
      </c>
      <c r="K235" s="103">
        <f t="shared" si="27"/>
        <v>1.917E-2</v>
      </c>
      <c r="L235" s="103">
        <f t="shared" si="27"/>
        <v>1.9400000000000001E-2</v>
      </c>
      <c r="M235" s="103">
        <f t="shared" si="27"/>
        <v>1.9630000000000002E-2</v>
      </c>
      <c r="N235" s="103">
        <f t="shared" si="27"/>
        <v>1.9869999999999999E-2</v>
      </c>
      <c r="O235" s="103">
        <f t="shared" si="27"/>
        <v>2.0109999999999999E-2</v>
      </c>
      <c r="P235" s="103">
        <f t="shared" si="27"/>
        <v>2.035E-2</v>
      </c>
      <c r="Q235" s="103">
        <f t="shared" si="27"/>
        <v>2.0590000000000001E-2</v>
      </c>
      <c r="R235" s="103">
        <f t="shared" si="27"/>
        <v>2.0840000000000001E-2</v>
      </c>
      <c r="S235" s="103">
        <f t="shared" si="27"/>
        <v>2.1090000000000001E-2</v>
      </c>
      <c r="T235" s="103">
        <f t="shared" si="27"/>
        <v>2.1340000000000001E-2</v>
      </c>
      <c r="U235" s="103">
        <f t="shared" si="27"/>
        <v>2.1559999999999999E-2</v>
      </c>
      <c r="V235" s="103">
        <f t="shared" si="27"/>
        <v>2.1780000000000001E-2</v>
      </c>
      <c r="W235" s="103">
        <f t="shared" si="27"/>
        <v>2.2009999999999998E-2</v>
      </c>
      <c r="X235" s="103">
        <f t="shared" si="27"/>
        <v>2.2239999999999999E-2</v>
      </c>
      <c r="Y235" s="103">
        <f t="shared" si="27"/>
        <v>2.247E-2</v>
      </c>
      <c r="Z235" s="103">
        <f t="shared" si="27"/>
        <v>2.2700000000000001E-2</v>
      </c>
      <c r="AA235" s="103">
        <f t="shared" si="27"/>
        <v>2.2939999999999999E-2</v>
      </c>
      <c r="AB235" s="103">
        <f t="shared" si="27"/>
        <v>2.3179999999999999E-2</v>
      </c>
      <c r="AC235" s="103">
        <f t="shared" si="27"/>
        <v>2.342E-2</v>
      </c>
      <c r="AD235" s="103">
        <f t="shared" si="27"/>
        <v>2.366E-2</v>
      </c>
      <c r="AE235" s="103">
        <f t="shared" si="27"/>
        <v>2.3890000000000002E-2</v>
      </c>
      <c r="AF235" s="103">
        <f t="shared" si="27"/>
        <v>2.4119999999999999E-2</v>
      </c>
      <c r="AG235" s="103">
        <f t="shared" si="27"/>
        <v>2.435E-2</v>
      </c>
      <c r="AH235" s="103">
        <f t="shared" si="27"/>
        <v>2.4580000000000001E-2</v>
      </c>
      <c r="AI235" s="103">
        <f t="shared" si="27"/>
        <v>2.4819999999999998E-2</v>
      </c>
      <c r="AJ235" s="103">
        <f t="shared" si="27"/>
        <v>2.5059999999999999E-2</v>
      </c>
      <c r="AK235" s="103">
        <f t="shared" si="27"/>
        <v>2.53E-2</v>
      </c>
      <c r="AL235" s="103">
        <f t="shared" si="27"/>
        <v>2.554E-2</v>
      </c>
      <c r="AM235" s="103">
        <f t="shared" si="27"/>
        <v>2.579E-2</v>
      </c>
      <c r="AN235" s="103">
        <f t="shared" si="27"/>
        <v>2.6040000000000001E-2</v>
      </c>
      <c r="AO235" s="103">
        <f t="shared" si="27"/>
        <v>2.631E-2</v>
      </c>
      <c r="AP235" s="103">
        <f t="shared" si="27"/>
        <v>2.6579999999999999E-2</v>
      </c>
      <c r="AQ235" s="103">
        <f t="shared" si="27"/>
        <v>2.6859999999999998E-2</v>
      </c>
      <c r="AR235" s="103">
        <f t="shared" si="27"/>
        <v>2.7140000000000001E-2</v>
      </c>
      <c r="AS235" s="103">
        <f t="shared" si="27"/>
        <v>2.742E-2</v>
      </c>
      <c r="AT235" s="103">
        <f t="shared" si="27"/>
        <v>2.7709999999999999E-2</v>
      </c>
      <c r="AU235" s="103">
        <f t="shared" si="27"/>
        <v>2.8000000000000001E-2</v>
      </c>
      <c r="AV235" s="103">
        <f t="shared" si="27"/>
        <v>2.8289999999999999E-2</v>
      </c>
      <c r="AW235" s="103">
        <f t="shared" si="27"/>
        <v>2.8580000000000001E-2</v>
      </c>
      <c r="AX235" s="103">
        <f t="shared" si="27"/>
        <v>2.8879999999999999E-2</v>
      </c>
      <c r="AY235" s="103">
        <f t="shared" si="27"/>
        <v>2.9180000000000001E-2</v>
      </c>
      <c r="AZ235" s="103">
        <f t="shared" si="27"/>
        <v>2.9479999999999999E-2</v>
      </c>
      <c r="BA235" s="103">
        <f t="shared" si="27"/>
        <v>2.9790000000000001E-2</v>
      </c>
      <c r="BB235" s="103">
        <f t="shared" si="27"/>
        <v>3.0099999999999998E-2</v>
      </c>
    </row>
    <row r="236" spans="2:54" x14ac:dyDescent="0.2">
      <c r="B236" s="45" t="s">
        <v>158</v>
      </c>
      <c r="C236" s="103">
        <f>0.11*0.01</f>
        <v>1.1000000000000001E-3</v>
      </c>
      <c r="D236" s="103">
        <f t="shared" ref="D236:S240" si="28">ROUND(C236*(1+(0.8*D$23)),5)</f>
        <v>1.1199999999999999E-3</v>
      </c>
      <c r="E236" s="103">
        <f t="shared" si="28"/>
        <v>1.15E-3</v>
      </c>
      <c r="F236" s="103">
        <f t="shared" si="28"/>
        <v>1.17E-3</v>
      </c>
      <c r="G236" s="103">
        <f t="shared" si="28"/>
        <v>1.1900000000000001E-3</v>
      </c>
      <c r="H236" s="103">
        <f t="shared" si="28"/>
        <v>1.2099999999999999E-3</v>
      </c>
      <c r="I236" s="103">
        <f t="shared" si="28"/>
        <v>1.23E-3</v>
      </c>
      <c r="J236" s="103">
        <f t="shared" si="28"/>
        <v>1.25E-3</v>
      </c>
      <c r="K236" s="103">
        <f t="shared" si="28"/>
        <v>1.2700000000000001E-3</v>
      </c>
      <c r="L236" s="103">
        <f t="shared" si="28"/>
        <v>1.2899999999999999E-3</v>
      </c>
      <c r="M236" s="103">
        <f t="shared" si="28"/>
        <v>1.31E-3</v>
      </c>
      <c r="N236" s="103">
        <f t="shared" si="28"/>
        <v>1.33E-3</v>
      </c>
      <c r="O236" s="103">
        <f t="shared" si="28"/>
        <v>1.3500000000000001E-3</v>
      </c>
      <c r="P236" s="103">
        <f t="shared" si="28"/>
        <v>1.3699999999999999E-3</v>
      </c>
      <c r="Q236" s="103">
        <f t="shared" si="28"/>
        <v>1.39E-3</v>
      </c>
      <c r="R236" s="103">
        <f t="shared" si="28"/>
        <v>1.41E-3</v>
      </c>
      <c r="S236" s="103">
        <f t="shared" si="28"/>
        <v>1.4300000000000001E-3</v>
      </c>
      <c r="T236" s="103">
        <f t="shared" si="27"/>
        <v>1.4499999999999999E-3</v>
      </c>
      <c r="U236" s="103">
        <f t="shared" si="27"/>
        <v>1.47E-3</v>
      </c>
      <c r="V236" s="103">
        <f t="shared" si="27"/>
        <v>1.49E-3</v>
      </c>
      <c r="W236" s="103">
        <f t="shared" si="27"/>
        <v>1.5100000000000001E-3</v>
      </c>
      <c r="X236" s="103">
        <f t="shared" si="27"/>
        <v>1.5299999999999999E-3</v>
      </c>
      <c r="Y236" s="103">
        <f t="shared" si="27"/>
        <v>1.5499999999999999E-3</v>
      </c>
      <c r="Z236" s="103">
        <f t="shared" si="27"/>
        <v>1.57E-3</v>
      </c>
      <c r="AA236" s="103">
        <f t="shared" si="27"/>
        <v>1.5900000000000001E-3</v>
      </c>
      <c r="AB236" s="103">
        <f t="shared" si="27"/>
        <v>1.6100000000000001E-3</v>
      </c>
      <c r="AC236" s="103">
        <f t="shared" si="27"/>
        <v>1.6299999999999999E-3</v>
      </c>
      <c r="AD236" s="103">
        <f t="shared" si="27"/>
        <v>1.65E-3</v>
      </c>
      <c r="AE236" s="103">
        <f t="shared" si="27"/>
        <v>1.67E-3</v>
      </c>
      <c r="AF236" s="103">
        <f t="shared" si="27"/>
        <v>1.6900000000000001E-3</v>
      </c>
      <c r="AG236" s="103">
        <f t="shared" si="27"/>
        <v>1.7099999999999999E-3</v>
      </c>
      <c r="AH236" s="103">
        <f t="shared" si="27"/>
        <v>1.73E-3</v>
      </c>
      <c r="AI236" s="103">
        <f t="shared" si="27"/>
        <v>1.75E-3</v>
      </c>
      <c r="AJ236" s="103">
        <f t="shared" si="27"/>
        <v>1.7700000000000001E-3</v>
      </c>
      <c r="AK236" s="103">
        <f t="shared" si="27"/>
        <v>1.7899999999999999E-3</v>
      </c>
      <c r="AL236" s="103">
        <f t="shared" si="27"/>
        <v>1.81E-3</v>
      </c>
      <c r="AM236" s="103">
        <f t="shared" si="27"/>
        <v>1.83E-3</v>
      </c>
      <c r="AN236" s="103">
        <f t="shared" si="27"/>
        <v>1.8500000000000001E-3</v>
      </c>
      <c r="AO236" s="103">
        <f t="shared" si="27"/>
        <v>1.8699999999999999E-3</v>
      </c>
      <c r="AP236" s="103">
        <f t="shared" si="27"/>
        <v>1.89E-3</v>
      </c>
      <c r="AQ236" s="103">
        <f t="shared" si="27"/>
        <v>1.91E-3</v>
      </c>
      <c r="AR236" s="103">
        <f t="shared" si="27"/>
        <v>1.9300000000000001E-3</v>
      </c>
      <c r="AS236" s="103">
        <f t="shared" si="27"/>
        <v>1.9499999999999999E-3</v>
      </c>
      <c r="AT236" s="103">
        <f t="shared" si="27"/>
        <v>1.97E-3</v>
      </c>
      <c r="AU236" s="103">
        <f t="shared" si="27"/>
        <v>1.99E-3</v>
      </c>
      <c r="AV236" s="103">
        <f t="shared" si="27"/>
        <v>2.0100000000000001E-3</v>
      </c>
      <c r="AW236" s="103">
        <f t="shared" si="27"/>
        <v>2.0300000000000001E-3</v>
      </c>
      <c r="AX236" s="103">
        <f t="shared" si="27"/>
        <v>2.0500000000000002E-3</v>
      </c>
      <c r="AY236" s="103">
        <f t="shared" si="27"/>
        <v>2.0699999999999998E-3</v>
      </c>
      <c r="AZ236" s="103">
        <f t="shared" si="27"/>
        <v>2.0899999999999998E-3</v>
      </c>
      <c r="BA236" s="103">
        <f t="shared" si="27"/>
        <v>2.1099999999999999E-3</v>
      </c>
      <c r="BB236" s="103">
        <f t="shared" si="27"/>
        <v>2.1299999999999999E-3</v>
      </c>
    </row>
    <row r="237" spans="2:54" x14ac:dyDescent="0.2">
      <c r="B237" s="45" t="s">
        <v>160</v>
      </c>
      <c r="C237" s="103">
        <f>0.01*0.01</f>
        <v>1E-4</v>
      </c>
      <c r="D237" s="103">
        <f t="shared" si="28"/>
        <v>1E-4</v>
      </c>
      <c r="E237" s="103">
        <f t="shared" si="27"/>
        <v>1E-4</v>
      </c>
      <c r="F237" s="103">
        <f t="shared" si="27"/>
        <v>1E-4</v>
      </c>
      <c r="G237" s="103">
        <f t="shared" si="27"/>
        <v>1E-4</v>
      </c>
      <c r="H237" s="103">
        <f t="shared" si="27"/>
        <v>1E-4</v>
      </c>
      <c r="I237" s="103">
        <f t="shared" si="27"/>
        <v>1E-4</v>
      </c>
      <c r="J237" s="103">
        <f t="shared" si="27"/>
        <v>1E-4</v>
      </c>
      <c r="K237" s="103">
        <f t="shared" si="27"/>
        <v>1E-4</v>
      </c>
      <c r="L237" s="103">
        <f t="shared" si="27"/>
        <v>1E-4</v>
      </c>
      <c r="M237" s="103">
        <f t="shared" si="27"/>
        <v>1E-4</v>
      </c>
      <c r="N237" s="103">
        <f t="shared" si="27"/>
        <v>1E-4</v>
      </c>
      <c r="O237" s="103">
        <f t="shared" si="27"/>
        <v>1E-4</v>
      </c>
      <c r="P237" s="103">
        <f t="shared" si="27"/>
        <v>1E-4</v>
      </c>
      <c r="Q237" s="103">
        <f t="shared" si="27"/>
        <v>1E-4</v>
      </c>
      <c r="R237" s="103">
        <f t="shared" si="27"/>
        <v>1E-4</v>
      </c>
      <c r="S237" s="103">
        <f t="shared" si="27"/>
        <v>1E-4</v>
      </c>
      <c r="T237" s="103">
        <f t="shared" si="27"/>
        <v>1E-4</v>
      </c>
      <c r="U237" s="103">
        <f t="shared" si="27"/>
        <v>1E-4</v>
      </c>
      <c r="V237" s="103">
        <f t="shared" si="27"/>
        <v>1E-4</v>
      </c>
      <c r="W237" s="103">
        <f t="shared" si="27"/>
        <v>1E-4</v>
      </c>
      <c r="X237" s="103">
        <f t="shared" si="27"/>
        <v>1E-4</v>
      </c>
      <c r="Y237" s="103">
        <f t="shared" si="27"/>
        <v>1E-4</v>
      </c>
      <c r="Z237" s="103">
        <f t="shared" si="27"/>
        <v>1E-4</v>
      </c>
      <c r="AA237" s="103">
        <f t="shared" si="27"/>
        <v>1E-4</v>
      </c>
      <c r="AB237" s="103">
        <f t="shared" si="27"/>
        <v>1E-4</v>
      </c>
      <c r="AC237" s="103">
        <f t="shared" si="27"/>
        <v>1E-4</v>
      </c>
      <c r="AD237" s="103">
        <f t="shared" si="27"/>
        <v>1E-4</v>
      </c>
      <c r="AE237" s="103">
        <f t="shared" si="27"/>
        <v>1E-4</v>
      </c>
      <c r="AF237" s="103">
        <f t="shared" si="27"/>
        <v>1E-4</v>
      </c>
      <c r="AG237" s="103">
        <f t="shared" si="27"/>
        <v>1E-4</v>
      </c>
      <c r="AH237" s="103">
        <f t="shared" si="27"/>
        <v>1E-4</v>
      </c>
      <c r="AI237" s="103">
        <f t="shared" si="27"/>
        <v>1E-4</v>
      </c>
      <c r="AJ237" s="103">
        <f t="shared" si="27"/>
        <v>1E-4</v>
      </c>
      <c r="AK237" s="103">
        <f t="shared" si="27"/>
        <v>1E-4</v>
      </c>
      <c r="AL237" s="103">
        <f t="shared" si="27"/>
        <v>1E-4</v>
      </c>
      <c r="AM237" s="103">
        <f t="shared" si="27"/>
        <v>1E-4</v>
      </c>
      <c r="AN237" s="103">
        <f t="shared" si="27"/>
        <v>1E-4</v>
      </c>
      <c r="AO237" s="103">
        <f t="shared" si="27"/>
        <v>1E-4</v>
      </c>
      <c r="AP237" s="103">
        <f t="shared" si="27"/>
        <v>1E-4</v>
      </c>
      <c r="AQ237" s="103">
        <f t="shared" si="27"/>
        <v>1E-4</v>
      </c>
      <c r="AR237" s="103">
        <f t="shared" si="27"/>
        <v>1E-4</v>
      </c>
      <c r="AS237" s="103">
        <f t="shared" si="27"/>
        <v>1E-4</v>
      </c>
      <c r="AT237" s="103">
        <f t="shared" si="27"/>
        <v>1E-4</v>
      </c>
      <c r="AU237" s="103">
        <f t="shared" si="27"/>
        <v>1E-4</v>
      </c>
      <c r="AV237" s="103">
        <f t="shared" si="27"/>
        <v>1E-4</v>
      </c>
      <c r="AW237" s="103">
        <f t="shared" si="27"/>
        <v>1E-4</v>
      </c>
      <c r="AX237" s="103">
        <f t="shared" si="27"/>
        <v>1E-4</v>
      </c>
      <c r="AY237" s="103">
        <f t="shared" si="27"/>
        <v>1E-4</v>
      </c>
      <c r="AZ237" s="103">
        <f t="shared" si="27"/>
        <v>1E-4</v>
      </c>
      <c r="BA237" s="103">
        <f t="shared" si="27"/>
        <v>1E-4</v>
      </c>
      <c r="BB237" s="103">
        <f t="shared" si="27"/>
        <v>1E-4</v>
      </c>
    </row>
    <row r="238" spans="2:54" x14ac:dyDescent="0.2">
      <c r="B238" s="45" t="s">
        <v>157</v>
      </c>
      <c r="C238" s="103">
        <f>15.23*0.01</f>
        <v>0.15230000000000002</v>
      </c>
      <c r="D238" s="103">
        <f t="shared" si="28"/>
        <v>0.15559000000000001</v>
      </c>
      <c r="E238" s="103">
        <f t="shared" ref="E238:BB240" si="29">ROUND(D238*(1+(0.8*E$23)),5)</f>
        <v>0.15908</v>
      </c>
      <c r="F238" s="103">
        <f t="shared" si="29"/>
        <v>0.16175</v>
      </c>
      <c r="G238" s="103">
        <f t="shared" si="29"/>
        <v>0.16395000000000001</v>
      </c>
      <c r="H238" s="103">
        <f t="shared" si="29"/>
        <v>0.16631000000000001</v>
      </c>
      <c r="I238" s="103">
        <f t="shared" si="29"/>
        <v>0.16844000000000001</v>
      </c>
      <c r="J238" s="103">
        <f t="shared" si="29"/>
        <v>0.1706</v>
      </c>
      <c r="K238" s="103">
        <f t="shared" si="29"/>
        <v>0.17265</v>
      </c>
      <c r="L238" s="103">
        <f t="shared" si="29"/>
        <v>0.17471999999999999</v>
      </c>
      <c r="M238" s="103">
        <f t="shared" si="29"/>
        <v>0.17682</v>
      </c>
      <c r="N238" s="103">
        <f t="shared" si="29"/>
        <v>0.17893999999999999</v>
      </c>
      <c r="O238" s="103">
        <f t="shared" si="29"/>
        <v>0.18109</v>
      </c>
      <c r="P238" s="103">
        <f t="shared" si="29"/>
        <v>0.18326000000000001</v>
      </c>
      <c r="Q238" s="103">
        <f t="shared" si="29"/>
        <v>0.18546000000000001</v>
      </c>
      <c r="R238" s="103">
        <f t="shared" si="29"/>
        <v>0.18769</v>
      </c>
      <c r="S238" s="103">
        <f t="shared" si="29"/>
        <v>0.18994</v>
      </c>
      <c r="T238" s="103">
        <f t="shared" si="29"/>
        <v>0.19222</v>
      </c>
      <c r="U238" s="103">
        <f t="shared" si="29"/>
        <v>0.19422</v>
      </c>
      <c r="V238" s="103">
        <f t="shared" si="29"/>
        <v>0.19624</v>
      </c>
      <c r="W238" s="103">
        <f t="shared" si="29"/>
        <v>0.19828000000000001</v>
      </c>
      <c r="X238" s="103">
        <f t="shared" si="29"/>
        <v>0.20033999999999999</v>
      </c>
      <c r="Y238" s="103">
        <f t="shared" si="29"/>
        <v>0.20241999999999999</v>
      </c>
      <c r="Z238" s="103">
        <f t="shared" si="29"/>
        <v>0.20452999999999999</v>
      </c>
      <c r="AA238" s="103">
        <f t="shared" si="29"/>
        <v>0.20666000000000001</v>
      </c>
      <c r="AB238" s="103">
        <f t="shared" si="29"/>
        <v>0.20881</v>
      </c>
      <c r="AC238" s="103">
        <f t="shared" si="29"/>
        <v>0.21098</v>
      </c>
      <c r="AD238" s="103">
        <f t="shared" si="29"/>
        <v>0.21317</v>
      </c>
      <c r="AE238" s="103">
        <f t="shared" si="29"/>
        <v>0.21521999999999999</v>
      </c>
      <c r="AF238" s="103">
        <f t="shared" si="29"/>
        <v>0.21729000000000001</v>
      </c>
      <c r="AG238" s="103">
        <f t="shared" si="29"/>
        <v>0.21937999999999999</v>
      </c>
      <c r="AH238" s="103">
        <f t="shared" si="29"/>
        <v>0.22148999999999999</v>
      </c>
      <c r="AI238" s="103">
        <f t="shared" si="29"/>
        <v>0.22362000000000001</v>
      </c>
      <c r="AJ238" s="103">
        <f t="shared" si="29"/>
        <v>0.22577</v>
      </c>
      <c r="AK238" s="103">
        <f t="shared" si="29"/>
        <v>0.22794</v>
      </c>
      <c r="AL238" s="103">
        <f t="shared" si="29"/>
        <v>0.23013</v>
      </c>
      <c r="AM238" s="103">
        <f t="shared" si="29"/>
        <v>0.23233999999999999</v>
      </c>
      <c r="AN238" s="103">
        <f t="shared" si="29"/>
        <v>0.23457</v>
      </c>
      <c r="AO238" s="103">
        <f t="shared" si="29"/>
        <v>0.23701</v>
      </c>
      <c r="AP238" s="103">
        <f t="shared" si="29"/>
        <v>0.23946999999999999</v>
      </c>
      <c r="AQ238" s="103">
        <f t="shared" si="29"/>
        <v>0.24196000000000001</v>
      </c>
      <c r="AR238" s="103">
        <f t="shared" si="29"/>
        <v>0.24448</v>
      </c>
      <c r="AS238" s="103">
        <f t="shared" si="29"/>
        <v>0.24701999999999999</v>
      </c>
      <c r="AT238" s="103">
        <f t="shared" si="29"/>
        <v>0.24959000000000001</v>
      </c>
      <c r="AU238" s="103">
        <f t="shared" si="29"/>
        <v>0.25219000000000003</v>
      </c>
      <c r="AV238" s="103">
        <f t="shared" si="29"/>
        <v>0.25480999999999998</v>
      </c>
      <c r="AW238" s="103">
        <f t="shared" si="29"/>
        <v>0.25746000000000002</v>
      </c>
      <c r="AX238" s="103">
        <f t="shared" si="29"/>
        <v>0.26013999999999998</v>
      </c>
      <c r="AY238" s="103">
        <f t="shared" si="29"/>
        <v>0.26284999999999997</v>
      </c>
      <c r="AZ238" s="103">
        <f t="shared" si="29"/>
        <v>0.26557999999999998</v>
      </c>
      <c r="BA238" s="103">
        <f t="shared" si="29"/>
        <v>0.26834000000000002</v>
      </c>
      <c r="BB238" s="103">
        <f t="shared" si="29"/>
        <v>0.27112999999999998</v>
      </c>
    </row>
    <row r="239" spans="2:54" x14ac:dyDescent="0.2">
      <c r="B239" s="45" t="s">
        <v>159</v>
      </c>
      <c r="C239" s="103">
        <f>0.95*0.01</f>
        <v>9.4999999999999998E-3</v>
      </c>
      <c r="D239" s="103">
        <f t="shared" si="28"/>
        <v>9.7099999999999999E-3</v>
      </c>
      <c r="E239" s="103">
        <f t="shared" si="29"/>
        <v>9.9299999999999996E-3</v>
      </c>
      <c r="F239" s="103">
        <f t="shared" si="29"/>
        <v>1.01E-2</v>
      </c>
      <c r="G239" s="103">
        <f t="shared" si="29"/>
        <v>1.0240000000000001E-2</v>
      </c>
      <c r="H239" s="103">
        <f t="shared" si="29"/>
        <v>1.039E-2</v>
      </c>
      <c r="I239" s="103">
        <f t="shared" si="29"/>
        <v>1.052E-2</v>
      </c>
      <c r="J239" s="103">
        <f t="shared" si="29"/>
        <v>1.065E-2</v>
      </c>
      <c r="K239" s="103">
        <f t="shared" si="29"/>
        <v>1.078E-2</v>
      </c>
      <c r="L239" s="103">
        <f t="shared" si="29"/>
        <v>1.091E-2</v>
      </c>
      <c r="M239" s="103">
        <f t="shared" si="29"/>
        <v>1.1039999999999999E-2</v>
      </c>
      <c r="N239" s="103">
        <f t="shared" si="29"/>
        <v>1.1169999999999999E-2</v>
      </c>
      <c r="O239" s="103">
        <f t="shared" si="29"/>
        <v>1.1299999999999999E-2</v>
      </c>
      <c r="P239" s="103">
        <f t="shared" si="29"/>
        <v>1.1440000000000001E-2</v>
      </c>
      <c r="Q239" s="103">
        <f t="shared" si="29"/>
        <v>1.158E-2</v>
      </c>
      <c r="R239" s="103">
        <f t="shared" si="29"/>
        <v>1.172E-2</v>
      </c>
      <c r="S239" s="103">
        <f t="shared" si="29"/>
        <v>1.1860000000000001E-2</v>
      </c>
      <c r="T239" s="103">
        <f t="shared" si="29"/>
        <v>1.2E-2</v>
      </c>
      <c r="U239" s="103">
        <f t="shared" si="29"/>
        <v>1.2120000000000001E-2</v>
      </c>
      <c r="V239" s="103">
        <f t="shared" si="29"/>
        <v>1.225E-2</v>
      </c>
      <c r="W239" s="103">
        <f t="shared" si="29"/>
        <v>1.238E-2</v>
      </c>
      <c r="X239" s="103">
        <f t="shared" si="29"/>
        <v>1.251E-2</v>
      </c>
      <c r="Y239" s="103">
        <f t="shared" si="29"/>
        <v>1.264E-2</v>
      </c>
      <c r="Z239" s="103">
        <f t="shared" si="29"/>
        <v>1.277E-2</v>
      </c>
      <c r="AA239" s="103">
        <f t="shared" si="29"/>
        <v>1.29E-2</v>
      </c>
      <c r="AB239" s="103">
        <f t="shared" si="29"/>
        <v>1.303E-2</v>
      </c>
      <c r="AC239" s="103">
        <f t="shared" si="29"/>
        <v>1.3169999999999999E-2</v>
      </c>
      <c r="AD239" s="103">
        <f t="shared" si="29"/>
        <v>1.3310000000000001E-2</v>
      </c>
      <c r="AE239" s="103">
        <f t="shared" si="29"/>
        <v>1.3440000000000001E-2</v>
      </c>
      <c r="AF239" s="103">
        <f t="shared" si="29"/>
        <v>1.357E-2</v>
      </c>
      <c r="AG239" s="103">
        <f t="shared" si="29"/>
        <v>1.37E-2</v>
      </c>
      <c r="AH239" s="103">
        <f t="shared" si="29"/>
        <v>1.383E-2</v>
      </c>
      <c r="AI239" s="103">
        <f t="shared" si="29"/>
        <v>1.396E-2</v>
      </c>
      <c r="AJ239" s="103">
        <f t="shared" si="29"/>
        <v>1.409E-2</v>
      </c>
      <c r="AK239" s="103">
        <f t="shared" si="29"/>
        <v>1.423E-2</v>
      </c>
      <c r="AL239" s="103">
        <f t="shared" si="29"/>
        <v>1.4370000000000001E-2</v>
      </c>
      <c r="AM239" s="103">
        <f t="shared" si="29"/>
        <v>1.451E-2</v>
      </c>
      <c r="AN239" s="103">
        <f t="shared" si="29"/>
        <v>1.465E-2</v>
      </c>
      <c r="AO239" s="103">
        <f t="shared" si="29"/>
        <v>1.4800000000000001E-2</v>
      </c>
      <c r="AP239" s="103">
        <f t="shared" si="29"/>
        <v>1.495E-2</v>
      </c>
      <c r="AQ239" s="103">
        <f t="shared" si="29"/>
        <v>1.511E-2</v>
      </c>
      <c r="AR239" s="103">
        <f t="shared" si="29"/>
        <v>1.5270000000000001E-2</v>
      </c>
      <c r="AS239" s="103">
        <f t="shared" si="29"/>
        <v>1.5429999999999999E-2</v>
      </c>
      <c r="AT239" s="103">
        <f t="shared" si="29"/>
        <v>1.559E-2</v>
      </c>
      <c r="AU239" s="103">
        <f t="shared" si="29"/>
        <v>1.575E-2</v>
      </c>
      <c r="AV239" s="103">
        <f t="shared" si="29"/>
        <v>1.5910000000000001E-2</v>
      </c>
      <c r="AW239" s="103">
        <f t="shared" si="29"/>
        <v>1.6080000000000001E-2</v>
      </c>
      <c r="AX239" s="103">
        <f t="shared" si="29"/>
        <v>1.6250000000000001E-2</v>
      </c>
      <c r="AY239" s="103">
        <f t="shared" si="29"/>
        <v>1.6420000000000001E-2</v>
      </c>
      <c r="AZ239" s="103">
        <f t="shared" si="29"/>
        <v>1.6590000000000001E-2</v>
      </c>
      <c r="BA239" s="103">
        <f t="shared" si="29"/>
        <v>1.6760000000000001E-2</v>
      </c>
      <c r="BB239" s="103">
        <f t="shared" si="29"/>
        <v>1.6930000000000001E-2</v>
      </c>
    </row>
    <row r="240" spans="2:54" x14ac:dyDescent="0.2">
      <c r="B240" s="45" t="s">
        <v>161</v>
      </c>
      <c r="C240" s="103">
        <f>0.12*0.01</f>
        <v>1.1999999999999999E-3</v>
      </c>
      <c r="D240" s="103">
        <f t="shared" si="28"/>
        <v>1.23E-3</v>
      </c>
      <c r="E240" s="103">
        <f t="shared" si="29"/>
        <v>1.2600000000000001E-3</v>
      </c>
      <c r="F240" s="103">
        <f t="shared" si="29"/>
        <v>1.2800000000000001E-3</v>
      </c>
      <c r="G240" s="103">
        <f t="shared" si="29"/>
        <v>1.2999999999999999E-3</v>
      </c>
      <c r="H240" s="103">
        <f t="shared" si="29"/>
        <v>1.32E-3</v>
      </c>
      <c r="I240" s="103">
        <f t="shared" si="29"/>
        <v>1.34E-3</v>
      </c>
      <c r="J240" s="103">
        <f t="shared" si="29"/>
        <v>1.3600000000000001E-3</v>
      </c>
      <c r="K240" s="103">
        <f t="shared" si="29"/>
        <v>1.3799999999999999E-3</v>
      </c>
      <c r="L240" s="103">
        <f t="shared" si="29"/>
        <v>1.4E-3</v>
      </c>
      <c r="M240" s="103">
        <f t="shared" si="29"/>
        <v>1.42E-3</v>
      </c>
      <c r="N240" s="103">
        <f t="shared" si="29"/>
        <v>1.4400000000000001E-3</v>
      </c>
      <c r="O240" s="103">
        <f t="shared" si="29"/>
        <v>1.4599999999999999E-3</v>
      </c>
      <c r="P240" s="103">
        <f t="shared" si="29"/>
        <v>1.48E-3</v>
      </c>
      <c r="Q240" s="103">
        <f t="shared" si="29"/>
        <v>1.5E-3</v>
      </c>
      <c r="R240" s="103">
        <f t="shared" si="29"/>
        <v>1.5200000000000001E-3</v>
      </c>
      <c r="S240" s="103">
        <f t="shared" si="29"/>
        <v>1.5399999999999999E-3</v>
      </c>
      <c r="T240" s="103">
        <f t="shared" si="29"/>
        <v>1.56E-3</v>
      </c>
      <c r="U240" s="103">
        <f t="shared" si="29"/>
        <v>1.58E-3</v>
      </c>
      <c r="V240" s="103">
        <f t="shared" si="29"/>
        <v>1.6000000000000001E-3</v>
      </c>
      <c r="W240" s="103">
        <f t="shared" si="29"/>
        <v>1.6199999999999999E-3</v>
      </c>
      <c r="X240" s="103">
        <f t="shared" si="29"/>
        <v>1.64E-3</v>
      </c>
      <c r="Y240" s="103">
        <f t="shared" si="29"/>
        <v>1.66E-3</v>
      </c>
      <c r="Z240" s="103">
        <f t="shared" si="29"/>
        <v>1.6800000000000001E-3</v>
      </c>
      <c r="AA240" s="103">
        <f t="shared" si="29"/>
        <v>1.6999999999999999E-3</v>
      </c>
      <c r="AB240" s="103">
        <f t="shared" si="29"/>
        <v>1.72E-3</v>
      </c>
      <c r="AC240" s="103">
        <f t="shared" si="29"/>
        <v>1.74E-3</v>
      </c>
      <c r="AD240" s="103">
        <f t="shared" si="29"/>
        <v>1.7600000000000001E-3</v>
      </c>
      <c r="AE240" s="103">
        <f t="shared" si="29"/>
        <v>1.7799999999999999E-3</v>
      </c>
      <c r="AF240" s="103">
        <f t="shared" si="29"/>
        <v>1.8E-3</v>
      </c>
      <c r="AG240" s="103">
        <f t="shared" si="29"/>
        <v>1.82E-3</v>
      </c>
      <c r="AH240" s="103">
        <f t="shared" si="29"/>
        <v>1.8400000000000001E-3</v>
      </c>
      <c r="AI240" s="103">
        <f t="shared" si="29"/>
        <v>1.8600000000000001E-3</v>
      </c>
      <c r="AJ240" s="103">
        <f t="shared" si="29"/>
        <v>1.8799999999999999E-3</v>
      </c>
      <c r="AK240" s="103">
        <f t="shared" si="29"/>
        <v>1.9E-3</v>
      </c>
      <c r="AL240" s="103">
        <f t="shared" si="29"/>
        <v>1.92E-3</v>
      </c>
      <c r="AM240" s="103">
        <f t="shared" si="29"/>
        <v>1.9400000000000001E-3</v>
      </c>
      <c r="AN240" s="103">
        <f t="shared" si="29"/>
        <v>1.9599999999999999E-3</v>
      </c>
      <c r="AO240" s="103">
        <f t="shared" si="29"/>
        <v>1.98E-3</v>
      </c>
      <c r="AP240" s="103">
        <f t="shared" si="29"/>
        <v>2E-3</v>
      </c>
      <c r="AQ240" s="103">
        <f t="shared" si="29"/>
        <v>2.0200000000000001E-3</v>
      </c>
      <c r="AR240" s="103">
        <f t="shared" si="29"/>
        <v>2.0400000000000001E-3</v>
      </c>
      <c r="AS240" s="103">
        <f t="shared" si="29"/>
        <v>2.0600000000000002E-3</v>
      </c>
      <c r="AT240" s="103">
        <f t="shared" si="29"/>
        <v>2.0799999999999998E-3</v>
      </c>
      <c r="AU240" s="103">
        <f t="shared" si="29"/>
        <v>2.0999999999999999E-3</v>
      </c>
      <c r="AV240" s="103">
        <f t="shared" si="29"/>
        <v>2.1199999999999999E-3</v>
      </c>
      <c r="AW240" s="103">
        <f t="shared" si="29"/>
        <v>2.14E-3</v>
      </c>
      <c r="AX240" s="103">
        <f t="shared" si="29"/>
        <v>2.16E-3</v>
      </c>
      <c r="AY240" s="103">
        <f t="shared" si="29"/>
        <v>2.1800000000000001E-3</v>
      </c>
      <c r="AZ240" s="103">
        <f t="shared" si="29"/>
        <v>2.2000000000000001E-3</v>
      </c>
      <c r="BA240" s="103">
        <f t="shared" si="29"/>
        <v>2.2200000000000002E-3</v>
      </c>
      <c r="BB240" s="103">
        <f t="shared" si="29"/>
        <v>2.2399999999999998E-3</v>
      </c>
    </row>
    <row r="241" spans="2:2" x14ac:dyDescent="0.2">
      <c r="B241" s="1" t="s">
        <v>485</v>
      </c>
    </row>
  </sheetData>
  <mergeCells count="22">
    <mergeCell ref="B220:G220"/>
    <mergeCell ref="B227:E227"/>
    <mergeCell ref="B110:D110"/>
    <mergeCell ref="C73:C75"/>
    <mergeCell ref="D73:I73"/>
    <mergeCell ref="B73:B74"/>
    <mergeCell ref="B150:C150"/>
    <mergeCell ref="C171:H171"/>
    <mergeCell ref="B185:D185"/>
    <mergeCell ref="B193:E193"/>
    <mergeCell ref="B203:E203"/>
    <mergeCell ref="B8:C8"/>
    <mergeCell ref="B39:C39"/>
    <mergeCell ref="B22:B23"/>
    <mergeCell ref="B115:E115"/>
    <mergeCell ref="B103:E103"/>
    <mergeCell ref="B80:G80"/>
    <mergeCell ref="B26:B28"/>
    <mergeCell ref="C26:C28"/>
    <mergeCell ref="D26:I26"/>
    <mergeCell ref="C66:F66"/>
    <mergeCell ref="G66:L66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E64" twoDigitTextYear="1"/>
    <ignoredError sqref="C168:BB16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</sheetPr>
  <dimension ref="A3:AN65"/>
  <sheetViews>
    <sheetView zoomScaleNormal="100" workbookViewId="0"/>
  </sheetViews>
  <sheetFormatPr defaultColWidth="9.140625" defaultRowHeight="11.25" x14ac:dyDescent="0.2"/>
  <cols>
    <col min="1" max="1" width="56.85546875" style="2" customWidth="1"/>
    <col min="2" max="2" width="16.42578125" style="2" customWidth="1"/>
    <col min="3" max="3" width="12.5703125" style="2" customWidth="1"/>
    <col min="4" max="4" width="11.5703125" style="2" bestFit="1" customWidth="1"/>
    <col min="5" max="5" width="13.42578125" style="2" customWidth="1"/>
    <col min="6" max="6" width="14.42578125" style="2" customWidth="1"/>
    <col min="7" max="7" width="12.140625" style="2" customWidth="1"/>
    <col min="8" max="8" width="11.140625" style="2" customWidth="1"/>
    <col min="9" max="9" width="12.140625" style="2" customWidth="1"/>
    <col min="10" max="10" width="63.5703125" style="2" customWidth="1"/>
    <col min="11" max="13" width="10.85546875" style="2" customWidth="1"/>
    <col min="14" max="16" width="10.140625" style="2" bestFit="1" customWidth="1"/>
    <col min="17" max="17" width="29.5703125" style="2" customWidth="1"/>
    <col min="18" max="24" width="10.140625" style="2" bestFit="1" customWidth="1"/>
    <col min="25" max="25" width="12.85546875" style="2" bestFit="1" customWidth="1"/>
    <col min="26" max="34" width="10.140625" style="2" bestFit="1" customWidth="1"/>
    <col min="35" max="35" width="12.85546875" style="2" bestFit="1" customWidth="1"/>
    <col min="36" max="38" width="10.140625" style="2" bestFit="1" customWidth="1"/>
    <col min="39" max="39" width="9.140625" style="2" customWidth="1"/>
    <col min="40" max="40" width="14.140625" style="2" customWidth="1"/>
    <col min="41" max="41" width="12.140625" style="2" customWidth="1"/>
    <col min="42" max="16384" width="9.140625" style="2"/>
  </cols>
  <sheetData>
    <row r="3" spans="1:40" x14ac:dyDescent="0.2">
      <c r="A3" s="311" t="s">
        <v>505</v>
      </c>
      <c r="AN3" s="311"/>
    </row>
    <row r="4" spans="1:40" ht="15.6" customHeight="1" x14ac:dyDescent="0.2">
      <c r="A4" s="653" t="s">
        <v>501</v>
      </c>
      <c r="B4" s="651" t="s">
        <v>499</v>
      </c>
      <c r="C4" s="651" t="s">
        <v>500</v>
      </c>
      <c r="D4" s="651" t="s">
        <v>511</v>
      </c>
      <c r="E4" s="651"/>
      <c r="F4" s="651"/>
      <c r="G4" s="655" t="s">
        <v>508</v>
      </c>
      <c r="H4" s="652" t="s">
        <v>502</v>
      </c>
      <c r="I4" s="652" t="s">
        <v>499</v>
      </c>
      <c r="J4" s="654" t="s">
        <v>503</v>
      </c>
      <c r="K4" s="651" t="s">
        <v>511</v>
      </c>
      <c r="L4" s="651"/>
      <c r="M4" s="651"/>
      <c r="N4" s="652" t="s">
        <v>686</v>
      </c>
      <c r="AN4" s="311"/>
    </row>
    <row r="5" spans="1:40" ht="28.5" customHeight="1" x14ac:dyDescent="0.2">
      <c r="A5" s="653"/>
      <c r="B5" s="651"/>
      <c r="C5" s="651"/>
      <c r="D5" s="570" t="s">
        <v>504</v>
      </c>
      <c r="E5" s="570" t="s">
        <v>507</v>
      </c>
      <c r="F5" s="570" t="s">
        <v>506</v>
      </c>
      <c r="G5" s="655"/>
      <c r="H5" s="652"/>
      <c r="I5" s="652"/>
      <c r="J5" s="654"/>
      <c r="K5" s="570" t="s">
        <v>504</v>
      </c>
      <c r="L5" s="570" t="s">
        <v>507</v>
      </c>
      <c r="M5" s="570" t="s">
        <v>506</v>
      </c>
      <c r="N5" s="652"/>
      <c r="AN5" s="311"/>
    </row>
    <row r="6" spans="1:40" x14ac:dyDescent="0.2">
      <c r="A6" s="656" t="s">
        <v>687</v>
      </c>
      <c r="B6" s="656">
        <v>15</v>
      </c>
      <c r="C6" s="656">
        <v>18</v>
      </c>
      <c r="D6" s="656">
        <f>F6+E6</f>
        <v>441.95100000000002</v>
      </c>
      <c r="E6" s="656">
        <v>0</v>
      </c>
      <c r="F6" s="656">
        <v>441.95100000000002</v>
      </c>
      <c r="G6" s="656" t="s">
        <v>688</v>
      </c>
      <c r="H6" s="313">
        <v>7</v>
      </c>
      <c r="I6" s="313">
        <v>16</v>
      </c>
      <c r="J6" s="313" t="s">
        <v>689</v>
      </c>
      <c r="K6" s="315">
        <v>229.166</v>
      </c>
      <c r="L6" s="314"/>
      <c r="M6" s="315">
        <v>229.166</v>
      </c>
      <c r="N6" s="92">
        <v>8</v>
      </c>
      <c r="AN6" s="311"/>
    </row>
    <row r="7" spans="1:40" x14ac:dyDescent="0.2">
      <c r="A7" s="656"/>
      <c r="B7" s="656"/>
      <c r="C7" s="656"/>
      <c r="D7" s="656"/>
      <c r="E7" s="656"/>
      <c r="F7" s="656"/>
      <c r="G7" s="656"/>
      <c r="H7" s="313">
        <v>16</v>
      </c>
      <c r="I7" s="313">
        <v>16</v>
      </c>
      <c r="J7" s="313" t="s">
        <v>690</v>
      </c>
      <c r="K7" s="314">
        <v>159.126</v>
      </c>
      <c r="L7" s="314">
        <v>95.671999999999997</v>
      </c>
      <c r="M7" s="314">
        <v>63.454000000000001</v>
      </c>
      <c r="N7" s="92">
        <v>16</v>
      </c>
      <c r="AN7" s="311"/>
    </row>
    <row r="8" spans="1:40" x14ac:dyDescent="0.2">
      <c r="A8" s="656"/>
      <c r="B8" s="656"/>
      <c r="C8" s="656"/>
      <c r="D8" s="656"/>
      <c r="E8" s="656"/>
      <c r="F8" s="656"/>
      <c r="G8" s="656"/>
      <c r="H8" s="313">
        <v>12</v>
      </c>
      <c r="I8" s="313">
        <v>12</v>
      </c>
      <c r="J8" s="313" t="s">
        <v>691</v>
      </c>
      <c r="K8" s="314">
        <v>230.13900000000001</v>
      </c>
      <c r="L8" s="314">
        <v>194.2</v>
      </c>
      <c r="M8" s="314">
        <v>35.939</v>
      </c>
      <c r="N8" s="92">
        <v>12</v>
      </c>
      <c r="AN8" s="311"/>
    </row>
    <row r="9" spans="1:40" x14ac:dyDescent="0.2">
      <c r="A9" s="656"/>
      <c r="B9" s="656"/>
      <c r="C9" s="656"/>
      <c r="D9" s="656"/>
      <c r="E9" s="656"/>
      <c r="F9" s="656"/>
      <c r="G9" s="656"/>
      <c r="H9" s="313">
        <v>12</v>
      </c>
      <c r="I9" s="313">
        <v>12</v>
      </c>
      <c r="J9" s="313" t="s">
        <v>692</v>
      </c>
      <c r="K9" s="315">
        <v>96.076999999999998</v>
      </c>
      <c r="L9" s="314">
        <v>78.623000000000005</v>
      </c>
      <c r="M9" s="312">
        <v>17454</v>
      </c>
      <c r="N9" s="92">
        <v>12</v>
      </c>
      <c r="AN9" s="311"/>
    </row>
    <row r="10" spans="1:40" ht="32.25" customHeight="1" x14ac:dyDescent="0.2">
      <c r="A10" s="570" t="s">
        <v>504</v>
      </c>
      <c r="B10" s="569">
        <f>SUM(B6:B9)</f>
        <v>15</v>
      </c>
      <c r="C10" s="569">
        <f>SUM(C6:C9)</f>
        <v>18</v>
      </c>
      <c r="D10" s="569">
        <f>SUM(D6:D9)</f>
        <v>441.95100000000002</v>
      </c>
      <c r="E10" s="569">
        <f>SUM(E6:E9)</f>
        <v>0</v>
      </c>
      <c r="F10" s="569">
        <f>SUM(F6:F9)</f>
        <v>441.95100000000002</v>
      </c>
      <c r="G10" s="569"/>
      <c r="H10" s="569">
        <f>SUM(H6:H9)</f>
        <v>47</v>
      </c>
      <c r="I10" s="569">
        <f>SUM(I6:I9)</f>
        <v>56</v>
      </c>
      <c r="J10" s="571"/>
      <c r="K10" s="569">
        <f>SUM(K6:K9)</f>
        <v>714.50800000000004</v>
      </c>
      <c r="L10" s="569">
        <f>SUM(L6:L9)</f>
        <v>368.49499999999995</v>
      </c>
      <c r="M10" s="569">
        <f>SUM(M6:M9)</f>
        <v>17782.559000000001</v>
      </c>
      <c r="N10" s="569">
        <f>SUM(N6:N9)</f>
        <v>48</v>
      </c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</row>
    <row r="13" spans="1:40" x14ac:dyDescent="0.2">
      <c r="A13" s="311" t="s">
        <v>710</v>
      </c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</row>
    <row r="14" spans="1:40" ht="18" customHeight="1" x14ac:dyDescent="0.2">
      <c r="C14" s="664" t="s">
        <v>709</v>
      </c>
      <c r="D14" s="665"/>
      <c r="E14" s="666"/>
    </row>
    <row r="15" spans="1:40" ht="22.5" x14ac:dyDescent="0.2">
      <c r="A15" s="316" t="s">
        <v>707</v>
      </c>
      <c r="B15" s="316" t="s">
        <v>306</v>
      </c>
      <c r="C15" s="317" t="s">
        <v>708</v>
      </c>
      <c r="D15" s="317" t="s">
        <v>681</v>
      </c>
      <c r="E15" s="317" t="s">
        <v>675</v>
      </c>
    </row>
    <row r="16" spans="1:40" x14ac:dyDescent="0.2">
      <c r="A16" s="130" t="s">
        <v>237</v>
      </c>
      <c r="B16" s="131" t="s">
        <v>238</v>
      </c>
      <c r="C16" s="134">
        <v>13.03</v>
      </c>
      <c r="D16" s="134">
        <v>15.02</v>
      </c>
      <c r="E16" s="134">
        <v>12.92</v>
      </c>
    </row>
    <row r="17" spans="1:40" x14ac:dyDescent="0.2">
      <c r="A17" s="319" t="s">
        <v>510</v>
      </c>
      <c r="AN17" s="129"/>
    </row>
    <row r="18" spans="1:40" x14ac:dyDescent="0.2">
      <c r="A18" s="319"/>
      <c r="AN18" s="129"/>
    </row>
    <row r="19" spans="1:40" x14ac:dyDescent="0.2">
      <c r="A19" s="319"/>
      <c r="AN19" s="129"/>
    </row>
    <row r="20" spans="1:40" ht="12" thickBot="1" x14ac:dyDescent="0.25">
      <c r="A20" s="311" t="s">
        <v>514</v>
      </c>
      <c r="AN20" s="129"/>
    </row>
    <row r="21" spans="1:40" ht="27.6" customHeight="1" x14ac:dyDescent="0.2">
      <c r="A21" s="283" t="s">
        <v>693</v>
      </c>
      <c r="B21" s="520" t="s">
        <v>694</v>
      </c>
      <c r="C21" s="579" t="s">
        <v>695</v>
      </c>
    </row>
    <row r="22" spans="1:40" ht="12" thickBot="1" x14ac:dyDescent="0.25">
      <c r="A22" s="320" t="s">
        <v>696</v>
      </c>
      <c r="B22" s="321" t="s">
        <v>504</v>
      </c>
      <c r="C22" s="580" t="s">
        <v>512</v>
      </c>
    </row>
    <row r="23" spans="1:40" ht="18.600000000000001" customHeight="1" thickBot="1" x14ac:dyDescent="0.25">
      <c r="A23" s="134" t="s">
        <v>685</v>
      </c>
      <c r="B23" s="521">
        <f>'03A PV NOV200 bez proj.pomoc'!E11*'03A PV NOV200 bez proj.pomoc'!H10</f>
        <v>2566410</v>
      </c>
      <c r="C23" s="581">
        <f>'03B PV NOV200 s proj.pomoc'!E29*'03B PV NOV200 s proj.pomoc'!N28</f>
        <v>2566410</v>
      </c>
    </row>
    <row r="24" spans="1:40" ht="12" thickBot="1" x14ac:dyDescent="0.25">
      <c r="A24" s="322" t="s">
        <v>513</v>
      </c>
      <c r="B24" s="522">
        <f>SUM(B23:B23,)</f>
        <v>2566410</v>
      </c>
      <c r="C24" s="582">
        <f>SUM(C23:C23,)</f>
        <v>2566410</v>
      </c>
    </row>
    <row r="25" spans="1:40" x14ac:dyDescent="0.2">
      <c r="A25" s="319" t="s">
        <v>510</v>
      </c>
    </row>
    <row r="26" spans="1:40" x14ac:dyDescent="0.2">
      <c r="A26" s="319"/>
      <c r="AN26" s="129"/>
    </row>
    <row r="27" spans="1:40" x14ac:dyDescent="0.2">
      <c r="B27" s="323"/>
    </row>
    <row r="28" spans="1:40" ht="12" thickBot="1" x14ac:dyDescent="0.25">
      <c r="A28" s="2" t="s">
        <v>697</v>
      </c>
    </row>
    <row r="29" spans="1:40" ht="12" thickBot="1" x14ac:dyDescent="0.25">
      <c r="A29" s="324" t="s">
        <v>531</v>
      </c>
      <c r="B29" s="325" t="s">
        <v>532</v>
      </c>
      <c r="C29" s="326" t="s">
        <v>533</v>
      </c>
    </row>
    <row r="30" spans="1:40" ht="12" thickBot="1" x14ac:dyDescent="0.25">
      <c r="A30" s="327" t="s">
        <v>534</v>
      </c>
      <c r="B30" s="328" t="s">
        <v>535</v>
      </c>
      <c r="C30" s="523" t="s">
        <v>536</v>
      </c>
    </row>
    <row r="31" spans="1:40" x14ac:dyDescent="0.2">
      <c r="A31" s="329" t="s">
        <v>537</v>
      </c>
      <c r="B31" s="330">
        <v>0.15</v>
      </c>
      <c r="C31" s="330">
        <v>2.2999999999999998</v>
      </c>
    </row>
    <row r="32" spans="1:40" x14ac:dyDescent="0.2">
      <c r="A32" s="333" t="s">
        <v>538</v>
      </c>
      <c r="B32" s="75">
        <v>0.22</v>
      </c>
      <c r="C32" s="75" t="s">
        <v>539</v>
      </c>
    </row>
    <row r="33" spans="1:7" x14ac:dyDescent="0.2">
      <c r="A33" s="333" t="s">
        <v>540</v>
      </c>
      <c r="B33" s="75">
        <v>7.0000000000000007E-2</v>
      </c>
      <c r="C33" s="75">
        <v>1.1000000000000001</v>
      </c>
    </row>
    <row r="34" spans="1:7" x14ac:dyDescent="0.2">
      <c r="A34" s="333" t="s">
        <v>541</v>
      </c>
      <c r="B34" s="75">
        <v>0.1</v>
      </c>
      <c r="C34" s="75">
        <v>1.5</v>
      </c>
    </row>
    <row r="35" spans="1:7" x14ac:dyDescent="0.2">
      <c r="A35" s="333" t="s">
        <v>205</v>
      </c>
      <c r="B35" s="75">
        <v>0.22</v>
      </c>
      <c r="C35" s="75">
        <v>3.2</v>
      </c>
    </row>
    <row r="36" spans="1:7" x14ac:dyDescent="0.2">
      <c r="A36" s="333" t="s">
        <v>542</v>
      </c>
      <c r="B36" s="75">
        <v>0.15</v>
      </c>
      <c r="C36" s="75">
        <v>2.2000000000000002</v>
      </c>
    </row>
    <row r="37" spans="1:7" x14ac:dyDescent="0.2">
      <c r="A37" s="333" t="s">
        <v>543</v>
      </c>
      <c r="B37" s="75">
        <v>0.13</v>
      </c>
      <c r="C37" s="75">
        <v>1.9</v>
      </c>
    </row>
    <row r="38" spans="1:7" x14ac:dyDescent="0.2">
      <c r="A38" s="333" t="s">
        <v>544</v>
      </c>
      <c r="B38" s="75">
        <v>0.26</v>
      </c>
      <c r="C38" s="75">
        <v>3.8</v>
      </c>
    </row>
    <row r="39" spans="1:7" x14ac:dyDescent="0.2">
      <c r="A39" s="333" t="s">
        <v>545</v>
      </c>
      <c r="B39" s="75">
        <v>0.08</v>
      </c>
      <c r="C39" s="75">
        <v>1.2</v>
      </c>
    </row>
    <row r="40" spans="1:7" x14ac:dyDescent="0.2">
      <c r="A40" s="333" t="s">
        <v>546</v>
      </c>
      <c r="B40" s="75">
        <v>0.16</v>
      </c>
      <c r="C40" s="75" t="s">
        <v>547</v>
      </c>
    </row>
    <row r="41" spans="1:7" ht="12" thickBot="1" x14ac:dyDescent="0.25">
      <c r="A41" s="336" t="s">
        <v>548</v>
      </c>
      <c r="B41" s="337">
        <v>0.38</v>
      </c>
      <c r="C41" s="337" t="s">
        <v>549</v>
      </c>
    </row>
    <row r="42" spans="1:7" x14ac:dyDescent="0.2">
      <c r="A42" s="340" t="s">
        <v>550</v>
      </c>
      <c r="B42" s="341">
        <v>1.94</v>
      </c>
      <c r="C42" s="341">
        <v>28.3</v>
      </c>
    </row>
    <row r="43" spans="1:7" ht="12" thickBot="1" x14ac:dyDescent="0.25">
      <c r="A43" s="336" t="s">
        <v>551</v>
      </c>
      <c r="B43" s="337">
        <v>2.23</v>
      </c>
      <c r="C43" s="337">
        <v>32.6</v>
      </c>
    </row>
    <row r="44" spans="1:7" x14ac:dyDescent="0.2">
      <c r="A44" s="319" t="s">
        <v>552</v>
      </c>
      <c r="B44" s="319"/>
      <c r="C44" s="319"/>
    </row>
    <row r="45" spans="1:7" ht="12" thickBot="1" x14ac:dyDescent="0.25">
      <c r="A45" s="342"/>
      <c r="G45" s="343"/>
    </row>
    <row r="46" spans="1:7" ht="12" thickBot="1" x14ac:dyDescent="0.25">
      <c r="A46" s="344" t="s">
        <v>560</v>
      </c>
      <c r="B46" s="345">
        <v>-0.92500000000000004</v>
      </c>
    </row>
    <row r="47" spans="1:7" x14ac:dyDescent="0.2">
      <c r="A47" s="319" t="s">
        <v>552</v>
      </c>
      <c r="B47" s="319"/>
      <c r="C47" s="319"/>
      <c r="D47" s="319"/>
    </row>
    <row r="50" spans="1:13" x14ac:dyDescent="0.2">
      <c r="A50" s="2" t="s">
        <v>698</v>
      </c>
      <c r="B50" s="346"/>
      <c r="C50" s="346"/>
      <c r="D50" s="346"/>
    </row>
    <row r="51" spans="1:13" ht="12" thickBot="1" x14ac:dyDescent="0.25">
      <c r="A51" s="347"/>
      <c r="B51" s="347"/>
      <c r="C51" s="347"/>
      <c r="D51" s="347"/>
      <c r="G51" s="657"/>
      <c r="H51" s="657"/>
      <c r="I51" s="657"/>
      <c r="J51" s="657"/>
      <c r="K51" s="657"/>
      <c r="L51" s="657"/>
      <c r="M51" s="657"/>
    </row>
    <row r="52" spans="1:13" ht="45.75" thickBot="1" x14ac:dyDescent="0.25">
      <c r="A52" s="348" t="s">
        <v>561</v>
      </c>
      <c r="B52" s="566" t="s">
        <v>562</v>
      </c>
      <c r="C52" s="567" t="s">
        <v>563</v>
      </c>
      <c r="D52" s="568" t="s">
        <v>564</v>
      </c>
      <c r="E52" s="568" t="s">
        <v>571</v>
      </c>
      <c r="F52" s="568" t="s">
        <v>572</v>
      </c>
      <c r="G52" s="568" t="s">
        <v>722</v>
      </c>
      <c r="H52" s="528"/>
      <c r="I52" s="496"/>
      <c r="J52" s="496"/>
      <c r="K52" s="528"/>
      <c r="L52" s="496"/>
      <c r="M52" s="529"/>
    </row>
    <row r="53" spans="1:13" ht="12" thickBot="1" x14ac:dyDescent="0.25">
      <c r="A53" s="531" t="s">
        <v>685</v>
      </c>
      <c r="B53" s="532">
        <v>8969</v>
      </c>
      <c r="C53" s="533">
        <f>B53*Parametre!C152</f>
        <v>13543.19</v>
      </c>
      <c r="D53" s="534">
        <f>C53*365</f>
        <v>4943264.3500000006</v>
      </c>
      <c r="E53" s="535">
        <v>94.8</v>
      </c>
      <c r="F53" s="536">
        <v>105</v>
      </c>
      <c r="G53" s="587">
        <f>F53/E53</f>
        <v>1.1075949367088609</v>
      </c>
      <c r="H53" s="530"/>
      <c r="I53" s="530"/>
      <c r="J53" s="530"/>
      <c r="K53" s="530"/>
      <c r="L53" s="530"/>
      <c r="M53" s="530"/>
    </row>
    <row r="54" spans="1:13" ht="28.5" customHeight="1" x14ac:dyDescent="0.2">
      <c r="A54" s="12" t="s">
        <v>565</v>
      </c>
    </row>
    <row r="55" spans="1:13" x14ac:dyDescent="0.2">
      <c r="A55" s="2" t="s">
        <v>643</v>
      </c>
    </row>
    <row r="59" spans="1:13" x14ac:dyDescent="0.2">
      <c r="A59" s="2" t="s">
        <v>699</v>
      </c>
    </row>
    <row r="60" spans="1:13" x14ac:dyDescent="0.2">
      <c r="A60" s="660"/>
      <c r="B60" s="662" t="s">
        <v>288</v>
      </c>
      <c r="C60" s="663"/>
      <c r="D60" s="658" t="s">
        <v>289</v>
      </c>
      <c r="E60" s="659"/>
      <c r="F60" s="658" t="s">
        <v>290</v>
      </c>
      <c r="G60" s="659"/>
      <c r="H60" s="658" t="s">
        <v>598</v>
      </c>
      <c r="I60" s="659"/>
    </row>
    <row r="61" spans="1:13" ht="12" thickBot="1" x14ac:dyDescent="0.25">
      <c r="A61" s="661"/>
      <c r="B61" s="352" t="s">
        <v>425</v>
      </c>
      <c r="C61" s="352" t="s">
        <v>426</v>
      </c>
      <c r="D61" s="352" t="s">
        <v>425</v>
      </c>
      <c r="E61" s="352" t="s">
        <v>426</v>
      </c>
      <c r="F61" s="352" t="s">
        <v>425</v>
      </c>
      <c r="G61" s="352" t="s">
        <v>426</v>
      </c>
      <c r="H61" s="352" t="s">
        <v>425</v>
      </c>
      <c r="I61" s="352" t="s">
        <v>426</v>
      </c>
    </row>
    <row r="62" spans="1:13" ht="12" thickBot="1" x14ac:dyDescent="0.25">
      <c r="A62" s="349" t="s">
        <v>685</v>
      </c>
      <c r="B62" s="352"/>
      <c r="C62" s="352"/>
      <c r="D62" s="352">
        <v>0.13</v>
      </c>
      <c r="E62" s="352">
        <v>0.09</v>
      </c>
      <c r="F62" s="352">
        <v>0.09</v>
      </c>
      <c r="G62" s="352">
        <v>7.0000000000000007E-2</v>
      </c>
      <c r="H62" s="352">
        <v>0.78</v>
      </c>
      <c r="I62" s="352">
        <v>0.84000000000000008</v>
      </c>
    </row>
    <row r="63" spans="1:13" x14ac:dyDescent="0.2">
      <c r="A63" s="572" t="s">
        <v>599</v>
      </c>
      <c r="B63" s="573">
        <v>0</v>
      </c>
      <c r="C63" s="573"/>
      <c r="D63" s="573">
        <f>AVERAGE(D62:D62)</f>
        <v>0.13</v>
      </c>
      <c r="E63" s="573"/>
      <c r="F63" s="573">
        <f>AVERAGE(F62:F62)</f>
        <v>0.09</v>
      </c>
      <c r="G63" s="573"/>
      <c r="H63" s="573">
        <f>AVERAGE(H62:H62)</f>
        <v>0.78</v>
      </c>
      <c r="I63" s="574"/>
    </row>
    <row r="64" spans="1:13" ht="12" thickBot="1" x14ac:dyDescent="0.25">
      <c r="A64" s="575" t="s">
        <v>600</v>
      </c>
      <c r="B64" s="576"/>
      <c r="C64" s="576">
        <v>0</v>
      </c>
      <c r="D64" s="577"/>
      <c r="E64" s="576">
        <f>AVERAGE(E62:E62)</f>
        <v>0.09</v>
      </c>
      <c r="F64" s="576"/>
      <c r="G64" s="576">
        <f>AVERAGE(G62:G62)</f>
        <v>7.0000000000000007E-2</v>
      </c>
      <c r="H64" s="576"/>
      <c r="I64" s="578">
        <f>AVERAGE(I62:I62)</f>
        <v>0.84000000000000008</v>
      </c>
    </row>
    <row r="65" spans="1:1" x14ac:dyDescent="0.2">
      <c r="A65" s="319" t="s">
        <v>646</v>
      </c>
    </row>
  </sheetData>
  <mergeCells count="24">
    <mergeCell ref="A6:A9"/>
    <mergeCell ref="B6:B9"/>
    <mergeCell ref="C6:C9"/>
    <mergeCell ref="G51:M51"/>
    <mergeCell ref="H60:I60"/>
    <mergeCell ref="A60:A61"/>
    <mergeCell ref="B60:C60"/>
    <mergeCell ref="D60:E60"/>
    <mergeCell ref="F60:G60"/>
    <mergeCell ref="D6:D9"/>
    <mergeCell ref="E6:E9"/>
    <mergeCell ref="F6:F9"/>
    <mergeCell ref="G6:G9"/>
    <mergeCell ref="C14:E14"/>
    <mergeCell ref="K4:M4"/>
    <mergeCell ref="N4:N5"/>
    <mergeCell ref="A4:A5"/>
    <mergeCell ref="B4:B5"/>
    <mergeCell ref="C4:C5"/>
    <mergeCell ref="I4:I5"/>
    <mergeCell ref="D4:F4"/>
    <mergeCell ref="H4:H5"/>
    <mergeCell ref="J4:J5"/>
    <mergeCell ref="G4:G5"/>
  </mergeCells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L62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42.140625" style="2" customWidth="1"/>
    <col min="3" max="3" width="14.5703125" style="2" customWidth="1"/>
    <col min="4" max="4" width="8" style="2" customWidth="1"/>
    <col min="5" max="5" width="13.5703125" style="2" customWidth="1"/>
    <col min="6" max="6" width="10.140625" style="2" bestFit="1" customWidth="1"/>
    <col min="7" max="7" width="13.85546875" style="2" customWidth="1"/>
    <col min="8" max="8" width="11.5703125" style="2" customWidth="1"/>
    <col min="9" max="9" width="12.140625" style="2" customWidth="1"/>
    <col min="10" max="10" width="8" style="2" customWidth="1"/>
    <col min="11" max="16384" width="9.140625" style="2"/>
  </cols>
  <sheetData>
    <row r="2" spans="2:10" x14ac:dyDescent="0.2">
      <c r="B2" s="3" t="s">
        <v>372</v>
      </c>
      <c r="C2" s="3"/>
      <c r="D2" s="3" t="s">
        <v>10</v>
      </c>
      <c r="E2" s="3"/>
      <c r="F2" s="3"/>
      <c r="G2" s="3"/>
      <c r="H2" s="3"/>
      <c r="I2" s="3"/>
      <c r="J2" s="3"/>
    </row>
    <row r="3" spans="2:10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/>
    </row>
    <row r="4" spans="2:10" x14ac:dyDescent="0.2">
      <c r="B4" s="6" t="s">
        <v>167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>$D$4+G3</f>
        <v>2030</v>
      </c>
      <c r="I4" s="7">
        <f>$D$4+H3</f>
        <v>2031</v>
      </c>
      <c r="J4" s="7" t="s">
        <v>371</v>
      </c>
    </row>
    <row r="5" spans="2:10" x14ac:dyDescent="0.2">
      <c r="B5" s="3" t="s">
        <v>274</v>
      </c>
      <c r="C5" s="8">
        <f>SUM(D5:J5)</f>
        <v>293176264</v>
      </c>
      <c r="D5" s="8">
        <f>SUM(D6:D10)</f>
        <v>0</v>
      </c>
      <c r="E5" s="8">
        <f t="shared" ref="E5:J5" si="0">SUM(E6:E10)</f>
        <v>0</v>
      </c>
      <c r="F5" s="8">
        <f t="shared" si="0"/>
        <v>0</v>
      </c>
      <c r="G5" s="8">
        <f t="shared" si="0"/>
        <v>109941099.00000001</v>
      </c>
      <c r="H5" s="8">
        <f t="shared" si="0"/>
        <v>109941099.00000001</v>
      </c>
      <c r="I5" s="8">
        <f t="shared" si="0"/>
        <v>73294066</v>
      </c>
      <c r="J5" s="8">
        <f t="shared" si="0"/>
        <v>0</v>
      </c>
    </row>
    <row r="6" spans="2:10" x14ac:dyDescent="0.2">
      <c r="B6" s="107" t="s">
        <v>472</v>
      </c>
      <c r="C6" s="108">
        <f t="shared" ref="C6:C17" si="1">SUM(D6:J6)</f>
        <v>117270505.60000001</v>
      </c>
      <c r="D6" s="109"/>
      <c r="E6" s="109"/>
      <c r="F6" s="109"/>
      <c r="G6" s="109">
        <f>'02 Zostatková hodnota NOV200'!G14*3</f>
        <v>43976439.600000001</v>
      </c>
      <c r="H6" s="109">
        <f>'02 Zostatková hodnota NOV200'!G14*3</f>
        <v>43976439.600000001</v>
      </c>
      <c r="I6" s="109">
        <f>'02 Zostatková hodnota NOV200'!G14*2</f>
        <v>29317626.400000002</v>
      </c>
      <c r="J6" s="109"/>
    </row>
    <row r="7" spans="2:10" x14ac:dyDescent="0.2">
      <c r="B7" s="107" t="s">
        <v>473</v>
      </c>
      <c r="C7" s="108">
        <f t="shared" si="1"/>
        <v>87952879.200000003</v>
      </c>
      <c r="D7" s="109"/>
      <c r="E7" s="109"/>
      <c r="F7" s="109"/>
      <c r="G7" s="109">
        <f>'02 Zostatková hodnota NOV200'!G15*3</f>
        <v>32982329.700000003</v>
      </c>
      <c r="H7" s="109">
        <f>'02 Zostatková hodnota NOV200'!G15*3</f>
        <v>32982329.700000003</v>
      </c>
      <c r="I7" s="109">
        <f>'02 Zostatková hodnota NOV200'!G15*2</f>
        <v>21988219.800000001</v>
      </c>
      <c r="J7" s="109"/>
    </row>
    <row r="8" spans="2:10" x14ac:dyDescent="0.2">
      <c r="B8" s="107" t="s">
        <v>474</v>
      </c>
      <c r="C8" s="108">
        <f>SUM(D8:J8)</f>
        <v>0</v>
      </c>
      <c r="D8" s="109"/>
      <c r="E8" s="109"/>
      <c r="F8" s="109"/>
      <c r="G8" s="109">
        <f>'02 Zostatková hodnota NOV200'!G16*3</f>
        <v>0</v>
      </c>
      <c r="H8" s="109">
        <f>'02 Zostatková hodnota NOV200'!G16*3</f>
        <v>0</v>
      </c>
      <c r="I8" s="109">
        <f>'02 Zostatková hodnota NOV200'!G16*2</f>
        <v>0</v>
      </c>
      <c r="J8" s="109"/>
    </row>
    <row r="9" spans="2:10" x14ac:dyDescent="0.2">
      <c r="B9" s="107" t="s">
        <v>475</v>
      </c>
      <c r="C9" s="108">
        <f t="shared" ref="C9:C10" si="2">SUM(D9:J9)</f>
        <v>29317626.400000002</v>
      </c>
      <c r="D9" s="109"/>
      <c r="E9" s="109"/>
      <c r="F9" s="109"/>
      <c r="G9" s="109">
        <f>'02 Zostatková hodnota NOV200'!G17*3</f>
        <v>10994109.9</v>
      </c>
      <c r="H9" s="109">
        <f>'02 Zostatková hodnota NOV200'!G17*3</f>
        <v>10994109.9</v>
      </c>
      <c r="I9" s="109">
        <f>'02 Zostatková hodnota NOV200'!G17*2</f>
        <v>7329406.6000000006</v>
      </c>
      <c r="J9" s="109"/>
    </row>
    <row r="10" spans="2:10" x14ac:dyDescent="0.2">
      <c r="B10" s="107" t="s">
        <v>476</v>
      </c>
      <c r="C10" s="108">
        <f t="shared" si="2"/>
        <v>58635252.800000004</v>
      </c>
      <c r="D10" s="109"/>
      <c r="E10" s="109"/>
      <c r="F10" s="109"/>
      <c r="G10" s="109">
        <f>'02 Zostatková hodnota NOV200'!G18*3</f>
        <v>21988219.800000001</v>
      </c>
      <c r="H10" s="109">
        <f>'02 Zostatková hodnota NOV200'!G18*3</f>
        <v>21988219.800000001</v>
      </c>
      <c r="I10" s="109">
        <f>'02 Zostatková hodnota NOV200'!G18*2</f>
        <v>14658813.200000001</v>
      </c>
      <c r="J10" s="109"/>
    </row>
    <row r="11" spans="2:10" x14ac:dyDescent="0.2">
      <c r="B11" s="3" t="s">
        <v>48</v>
      </c>
      <c r="C11" s="8">
        <f t="shared" si="1"/>
        <v>0</v>
      </c>
      <c r="D11" s="9"/>
      <c r="E11" s="9"/>
      <c r="F11" s="9"/>
      <c r="G11" s="9"/>
      <c r="H11" s="9"/>
      <c r="I11" s="9"/>
      <c r="J11" s="9"/>
    </row>
    <row r="12" spans="2:10" s="12" customFormat="1" x14ac:dyDescent="0.2">
      <c r="B12" s="10" t="s">
        <v>187</v>
      </c>
      <c r="C12" s="11">
        <f t="shared" si="1"/>
        <v>293176264</v>
      </c>
      <c r="D12" s="11">
        <f t="shared" ref="D12:J12" si="3">SUM(D5:D5,D11:D11)</f>
        <v>0</v>
      </c>
      <c r="E12" s="11">
        <f t="shared" si="3"/>
        <v>0</v>
      </c>
      <c r="F12" s="11">
        <f t="shared" si="3"/>
        <v>0</v>
      </c>
      <c r="G12" s="11">
        <f t="shared" si="3"/>
        <v>109941099.00000001</v>
      </c>
      <c r="H12" s="11">
        <f t="shared" si="3"/>
        <v>109941099.00000001</v>
      </c>
      <c r="I12" s="11">
        <f t="shared" si="3"/>
        <v>73294066</v>
      </c>
      <c r="J12" s="11">
        <f t="shared" si="3"/>
        <v>0</v>
      </c>
    </row>
    <row r="13" spans="2:10" x14ac:dyDescent="0.2">
      <c r="B13" s="3" t="s">
        <v>44</v>
      </c>
      <c r="C13" s="8">
        <f t="shared" si="1"/>
        <v>0</v>
      </c>
      <c r="D13" s="9"/>
      <c r="E13" s="9"/>
      <c r="F13" s="9"/>
      <c r="G13" s="9"/>
      <c r="H13" s="9"/>
      <c r="I13" s="9"/>
      <c r="J13" s="9"/>
    </row>
    <row r="14" spans="2:10" x14ac:dyDescent="0.2">
      <c r="B14" s="3" t="s">
        <v>374</v>
      </c>
      <c r="C14" s="8">
        <f t="shared" si="1"/>
        <v>0</v>
      </c>
      <c r="D14" s="9"/>
      <c r="E14" s="9"/>
      <c r="F14" s="9"/>
      <c r="G14" s="9"/>
      <c r="H14" s="9"/>
      <c r="I14" s="9"/>
      <c r="J14" s="9"/>
    </row>
    <row r="15" spans="2:10" ht="11.25" customHeight="1" x14ac:dyDescent="0.2">
      <c r="B15" s="10" t="s">
        <v>375</v>
      </c>
      <c r="C15" s="13">
        <f t="shared" si="1"/>
        <v>293176264</v>
      </c>
      <c r="D15" s="13">
        <f t="shared" ref="D15:J15" si="4">SUM(D12:D13)</f>
        <v>0</v>
      </c>
      <c r="E15" s="13">
        <f t="shared" si="4"/>
        <v>0</v>
      </c>
      <c r="F15" s="13">
        <f t="shared" si="4"/>
        <v>0</v>
      </c>
      <c r="G15" s="13">
        <f t="shared" si="4"/>
        <v>109941099.00000001</v>
      </c>
      <c r="H15" s="13">
        <f t="shared" si="4"/>
        <v>109941099.00000001</v>
      </c>
      <c r="I15" s="13">
        <f t="shared" si="4"/>
        <v>73294066</v>
      </c>
      <c r="J15" s="13">
        <f t="shared" si="4"/>
        <v>0</v>
      </c>
    </row>
    <row r="16" spans="2:10" x14ac:dyDescent="0.2">
      <c r="B16" s="3" t="s">
        <v>49</v>
      </c>
      <c r="C16" s="8">
        <f t="shared" si="1"/>
        <v>67430540.719999999</v>
      </c>
      <c r="D16" s="9"/>
      <c r="E16" s="9"/>
      <c r="F16" s="9">
        <f>F15*23%</f>
        <v>0</v>
      </c>
      <c r="G16" s="9">
        <f>G15*23%</f>
        <v>25286452.770000003</v>
      </c>
      <c r="H16" s="9">
        <f t="shared" ref="H16:J16" si="5">H15*23%</f>
        <v>25286452.770000003</v>
      </c>
      <c r="I16" s="9">
        <f t="shared" si="5"/>
        <v>16857635.18</v>
      </c>
      <c r="J16" s="9">
        <f t="shared" si="5"/>
        <v>0</v>
      </c>
    </row>
    <row r="17" spans="2:12" x14ac:dyDescent="0.2">
      <c r="B17" s="4" t="s">
        <v>168</v>
      </c>
      <c r="C17" s="13">
        <f t="shared" si="1"/>
        <v>360606804.72000003</v>
      </c>
      <c r="D17" s="13">
        <f t="shared" ref="D17:J17" si="6">SUM(D15:D16)</f>
        <v>0</v>
      </c>
      <c r="E17" s="13">
        <f t="shared" si="6"/>
        <v>0</v>
      </c>
      <c r="F17" s="13">
        <f t="shared" si="6"/>
        <v>0</v>
      </c>
      <c r="G17" s="13">
        <f t="shared" si="6"/>
        <v>135227551.77000001</v>
      </c>
      <c r="H17" s="13">
        <f t="shared" si="6"/>
        <v>135227551.77000001</v>
      </c>
      <c r="I17" s="13">
        <f t="shared" si="6"/>
        <v>90151701.180000007</v>
      </c>
      <c r="J17" s="13">
        <f t="shared" si="6"/>
        <v>0</v>
      </c>
    </row>
    <row r="18" spans="2:12" x14ac:dyDescent="0.2">
      <c r="C18" s="14"/>
      <c r="D18" s="14"/>
      <c r="E18" s="14"/>
      <c r="F18" s="14"/>
      <c r="G18" s="14"/>
      <c r="H18" s="14"/>
      <c r="I18" s="14"/>
      <c r="J18" s="14"/>
    </row>
    <row r="19" spans="2:12" x14ac:dyDescent="0.2">
      <c r="B19" s="206" t="s">
        <v>169</v>
      </c>
      <c r="C19" s="207">
        <f>SUM(D19:J19)</f>
        <v>293176264</v>
      </c>
      <c r="D19" s="207"/>
      <c r="E19" s="207"/>
      <c r="F19" s="207">
        <f>F15</f>
        <v>0</v>
      </c>
      <c r="G19" s="207">
        <f>G15</f>
        <v>109941099.00000001</v>
      </c>
      <c r="H19" s="207">
        <f t="shared" ref="H19:J19" si="7">H15</f>
        <v>109941099.00000001</v>
      </c>
      <c r="I19" s="207">
        <f t="shared" si="7"/>
        <v>73294066</v>
      </c>
      <c r="J19" s="207">
        <f t="shared" si="7"/>
        <v>0</v>
      </c>
      <c r="L19" s="205" t="s">
        <v>373</v>
      </c>
    </row>
    <row r="20" spans="2:12" x14ac:dyDescent="0.2">
      <c r="B20" s="206" t="s">
        <v>170</v>
      </c>
      <c r="C20" s="207">
        <f>SUM(D20:J20)</f>
        <v>67430540.719999999</v>
      </c>
      <c r="D20" s="207">
        <f t="shared" ref="D20:J20" si="8">D17-D19</f>
        <v>0</v>
      </c>
      <c r="E20" s="207">
        <f t="shared" si="8"/>
        <v>0</v>
      </c>
      <c r="F20" s="207">
        <f t="shared" si="8"/>
        <v>0</v>
      </c>
      <c r="G20" s="207">
        <f t="shared" si="8"/>
        <v>25286452.769999996</v>
      </c>
      <c r="H20" s="207">
        <f t="shared" si="8"/>
        <v>25286452.769999996</v>
      </c>
      <c r="I20" s="207">
        <f t="shared" si="8"/>
        <v>16857635.180000007</v>
      </c>
      <c r="J20" s="207">
        <f t="shared" si="8"/>
        <v>0</v>
      </c>
    </row>
    <row r="21" spans="2:12" x14ac:dyDescent="0.2">
      <c r="B21" s="1"/>
    </row>
    <row r="23" spans="2:12" x14ac:dyDescent="0.2">
      <c r="B23" s="3"/>
      <c r="C23" s="3"/>
      <c r="D23" s="3" t="s">
        <v>10</v>
      </c>
      <c r="E23" s="3"/>
      <c r="F23" s="3"/>
      <c r="G23" s="3"/>
      <c r="H23" s="3"/>
      <c r="I23" s="3"/>
      <c r="J23" s="3"/>
      <c r="L23" s="2" t="s">
        <v>165</v>
      </c>
    </row>
    <row r="24" spans="2:12" x14ac:dyDescent="0.2">
      <c r="B24" s="4"/>
      <c r="C24" s="4"/>
      <c r="D24" s="5">
        <v>1</v>
      </c>
      <c r="E24" s="5">
        <v>2</v>
      </c>
      <c r="F24" s="5">
        <v>3</v>
      </c>
      <c r="G24" s="5">
        <v>4</v>
      </c>
      <c r="H24" s="5">
        <v>5</v>
      </c>
      <c r="I24" s="5">
        <v>6</v>
      </c>
      <c r="J24" s="5"/>
      <c r="L24" s="2" t="s">
        <v>166</v>
      </c>
    </row>
    <row r="25" spans="2:12" x14ac:dyDescent="0.2">
      <c r="B25" s="6" t="s">
        <v>38</v>
      </c>
      <c r="C25" s="6" t="s">
        <v>9</v>
      </c>
      <c r="D25" s="7">
        <f t="shared" ref="D25:J25" si="9">D4</f>
        <v>2026</v>
      </c>
      <c r="E25" s="7">
        <f t="shared" si="9"/>
        <v>2027</v>
      </c>
      <c r="F25" s="7">
        <f t="shared" si="9"/>
        <v>2028</v>
      </c>
      <c r="G25" s="7">
        <f t="shared" si="9"/>
        <v>2029</v>
      </c>
      <c r="H25" s="7">
        <f t="shared" si="9"/>
        <v>2030</v>
      </c>
      <c r="I25" s="7">
        <f t="shared" si="9"/>
        <v>2031</v>
      </c>
      <c r="J25" s="7" t="str">
        <f t="shared" si="9"/>
        <v>...</v>
      </c>
    </row>
    <row r="26" spans="2:12" x14ac:dyDescent="0.2">
      <c r="B26" s="3" t="s">
        <v>274</v>
      </c>
      <c r="C26" s="8">
        <f t="shared" ref="C26:C28" si="10">SUM(D26:J26)</f>
        <v>263858637.59999999</v>
      </c>
      <c r="D26" s="8">
        <f>SUM(D27:D31)</f>
        <v>0</v>
      </c>
      <c r="E26" s="8">
        <f t="shared" ref="E26:J26" si="11">SUM(E27:E31)</f>
        <v>0</v>
      </c>
      <c r="F26" s="8">
        <f t="shared" si="11"/>
        <v>0</v>
      </c>
      <c r="G26" s="8">
        <f t="shared" si="11"/>
        <v>98946989.099999994</v>
      </c>
      <c r="H26" s="8">
        <f t="shared" si="11"/>
        <v>98946989.099999994</v>
      </c>
      <c r="I26" s="8">
        <f t="shared" si="11"/>
        <v>65964659.399999999</v>
      </c>
      <c r="J26" s="8">
        <f t="shared" si="11"/>
        <v>0</v>
      </c>
    </row>
    <row r="27" spans="2:12" x14ac:dyDescent="0.2">
      <c r="B27" s="107" t="s">
        <v>472</v>
      </c>
      <c r="C27" s="108">
        <f t="shared" si="10"/>
        <v>105543455.04000001</v>
      </c>
      <c r="D27" s="108">
        <f>D6*Parametre!$C$47</f>
        <v>0</v>
      </c>
      <c r="E27" s="108">
        <f>E6*Parametre!$C$47</f>
        <v>0</v>
      </c>
      <c r="F27" s="108">
        <f>F6*Parametre!$C$47</f>
        <v>0</v>
      </c>
      <c r="G27" s="108">
        <f>G6*Parametre!$C$47</f>
        <v>39578795.640000001</v>
      </c>
      <c r="H27" s="108">
        <f>H6*Parametre!$C$47</f>
        <v>39578795.640000001</v>
      </c>
      <c r="I27" s="108">
        <f>I6*Parametre!$C$47</f>
        <v>26385863.760000002</v>
      </c>
      <c r="J27" s="108">
        <f>J6*Parametre!$C$47</f>
        <v>0</v>
      </c>
    </row>
    <row r="28" spans="2:12" x14ac:dyDescent="0.2">
      <c r="B28" s="107" t="s">
        <v>473</v>
      </c>
      <c r="C28" s="108">
        <f t="shared" si="10"/>
        <v>79157591.280000001</v>
      </c>
      <c r="D28" s="108">
        <f>D7*Parametre!$C$47</f>
        <v>0</v>
      </c>
      <c r="E28" s="108">
        <f>E7*Parametre!$C$47</f>
        <v>0</v>
      </c>
      <c r="F28" s="108">
        <f>F7*Parametre!$C$47</f>
        <v>0</v>
      </c>
      <c r="G28" s="108">
        <f>G7*Parametre!$C$47</f>
        <v>29684096.730000004</v>
      </c>
      <c r="H28" s="108">
        <f>H7*Parametre!$C$47</f>
        <v>29684096.730000004</v>
      </c>
      <c r="I28" s="108">
        <f>I7*Parametre!$C$47</f>
        <v>19789397.82</v>
      </c>
      <c r="J28" s="108">
        <f>J7*Parametre!$C$47</f>
        <v>0</v>
      </c>
    </row>
    <row r="29" spans="2:12" x14ac:dyDescent="0.2">
      <c r="B29" s="107" t="s">
        <v>474</v>
      </c>
      <c r="C29" s="108">
        <f>SUM(D29:J29)</f>
        <v>0</v>
      </c>
      <c r="D29" s="108">
        <f>D8*Parametre!$C$47</f>
        <v>0</v>
      </c>
      <c r="E29" s="108">
        <f>E8*Parametre!$C$47</f>
        <v>0</v>
      </c>
      <c r="F29" s="108">
        <f>F8*Parametre!$C$47</f>
        <v>0</v>
      </c>
      <c r="G29" s="108">
        <f>G8*Parametre!$C$47</f>
        <v>0</v>
      </c>
      <c r="H29" s="108">
        <f>H8*Parametre!$C$47</f>
        <v>0</v>
      </c>
      <c r="I29" s="108">
        <f>I8*Parametre!$C$47</f>
        <v>0</v>
      </c>
      <c r="J29" s="108">
        <f>J8*Parametre!$C$47</f>
        <v>0</v>
      </c>
    </row>
    <row r="30" spans="2:12" x14ac:dyDescent="0.2">
      <c r="B30" s="107" t="s">
        <v>475</v>
      </c>
      <c r="C30" s="108">
        <f t="shared" ref="C30:C31" si="12">SUM(D30:J30)</f>
        <v>26385863.760000002</v>
      </c>
      <c r="D30" s="108">
        <f>D9*Parametre!$C$47</f>
        <v>0</v>
      </c>
      <c r="E30" s="108">
        <f>E9*Parametre!$C$47</f>
        <v>0</v>
      </c>
      <c r="F30" s="108">
        <f>F9*Parametre!$C$47</f>
        <v>0</v>
      </c>
      <c r="G30" s="108">
        <f>G9*Parametre!$C$47</f>
        <v>9894698.9100000001</v>
      </c>
      <c r="H30" s="108">
        <f>H9*Parametre!$C$47</f>
        <v>9894698.9100000001</v>
      </c>
      <c r="I30" s="108">
        <f>I9*Parametre!$C$47</f>
        <v>6596465.9400000004</v>
      </c>
      <c r="J30" s="108">
        <f>J9*Parametre!$C$47</f>
        <v>0</v>
      </c>
    </row>
    <row r="31" spans="2:12" x14ac:dyDescent="0.2">
      <c r="B31" s="107" t="s">
        <v>476</v>
      </c>
      <c r="C31" s="108">
        <f t="shared" si="12"/>
        <v>52771727.520000003</v>
      </c>
      <c r="D31" s="108">
        <f>D10*Parametre!$C$47</f>
        <v>0</v>
      </c>
      <c r="E31" s="108">
        <f>E10*Parametre!$C$47</f>
        <v>0</v>
      </c>
      <c r="F31" s="108">
        <f>F10*Parametre!$C$47</f>
        <v>0</v>
      </c>
      <c r="G31" s="108">
        <f>G10*Parametre!$C$47</f>
        <v>19789397.82</v>
      </c>
      <c r="H31" s="108">
        <f>H10*Parametre!$C$47</f>
        <v>19789397.82</v>
      </c>
      <c r="I31" s="108">
        <f>I10*Parametre!$C$47</f>
        <v>13192931.880000001</v>
      </c>
      <c r="J31" s="108">
        <f>J10*Parametre!$C$47</f>
        <v>0</v>
      </c>
    </row>
    <row r="32" spans="2:12" x14ac:dyDescent="0.2">
      <c r="B32" s="3" t="s">
        <v>48</v>
      </c>
      <c r="C32" s="8">
        <f>SUM(D32:J32)</f>
        <v>0</v>
      </c>
      <c r="D32" s="8">
        <f>D11*Parametre!$C$47</f>
        <v>0</v>
      </c>
      <c r="E32" s="8">
        <f>E11*Parametre!$C$47</f>
        <v>0</v>
      </c>
      <c r="F32" s="8">
        <f>F11*Parametre!$C$47</f>
        <v>0</v>
      </c>
      <c r="G32" s="8">
        <f>G11*Parametre!$C$47</f>
        <v>0</v>
      </c>
      <c r="H32" s="8">
        <f>H11*Parametre!$C$47</f>
        <v>0</v>
      </c>
      <c r="I32" s="8">
        <f>I11*Parametre!$C$47</f>
        <v>0</v>
      </c>
      <c r="J32" s="8">
        <f>J11*Parametre!$C$47</f>
        <v>0</v>
      </c>
    </row>
    <row r="33" spans="2:10" x14ac:dyDescent="0.2">
      <c r="B33" s="4" t="s">
        <v>45</v>
      </c>
      <c r="C33" s="13">
        <f>SUM(D33:J33)</f>
        <v>263858637.59999999</v>
      </c>
      <c r="D33" s="13">
        <f t="shared" ref="D33:J33" si="13">SUM(D26:D26,D32:D32)</f>
        <v>0</v>
      </c>
      <c r="E33" s="13">
        <f t="shared" si="13"/>
        <v>0</v>
      </c>
      <c r="F33" s="13">
        <f t="shared" si="13"/>
        <v>0</v>
      </c>
      <c r="G33" s="13">
        <f t="shared" si="13"/>
        <v>98946989.099999994</v>
      </c>
      <c r="H33" s="13">
        <f t="shared" si="13"/>
        <v>98946989.099999994</v>
      </c>
      <c r="I33" s="13">
        <f t="shared" si="13"/>
        <v>65964659.399999999</v>
      </c>
      <c r="J33" s="13">
        <f t="shared" si="13"/>
        <v>0</v>
      </c>
    </row>
    <row r="34" spans="2:10" x14ac:dyDescent="0.2">
      <c r="B34" s="15"/>
      <c r="C34" s="104"/>
      <c r="D34" s="104"/>
      <c r="E34" s="104"/>
      <c r="F34" s="104"/>
      <c r="G34" s="104"/>
      <c r="H34" s="104"/>
      <c r="I34" s="104"/>
      <c r="J34" s="104"/>
    </row>
    <row r="35" spans="2:10" x14ac:dyDescent="0.2">
      <c r="B35" s="15" t="s">
        <v>273</v>
      </c>
      <c r="C35" s="104"/>
      <c r="D35" s="104"/>
      <c r="E35" s="104"/>
      <c r="F35" s="104"/>
      <c r="G35" s="104"/>
      <c r="H35" s="104"/>
      <c r="I35" s="104"/>
      <c r="J35" s="104"/>
    </row>
    <row r="36" spans="2:10" x14ac:dyDescent="0.2">
      <c r="B36" s="105" t="s">
        <v>472</v>
      </c>
    </row>
    <row r="37" spans="2:10" x14ac:dyDescent="0.2">
      <c r="B37" s="208" t="s">
        <v>490</v>
      </c>
    </row>
    <row r="38" spans="2:10" x14ac:dyDescent="0.2">
      <c r="B38" s="105" t="s">
        <v>473</v>
      </c>
    </row>
    <row r="39" spans="2:10" x14ac:dyDescent="0.2">
      <c r="B39" s="208" t="s">
        <v>491</v>
      </c>
    </row>
    <row r="40" spans="2:10" x14ac:dyDescent="0.2">
      <c r="B40" s="105" t="s">
        <v>474</v>
      </c>
    </row>
    <row r="41" spans="2:10" x14ac:dyDescent="0.2">
      <c r="B41" s="208" t="s">
        <v>492</v>
      </c>
    </row>
    <row r="42" spans="2:10" x14ac:dyDescent="0.2">
      <c r="B42" s="105" t="s">
        <v>475</v>
      </c>
    </row>
    <row r="43" spans="2:10" x14ac:dyDescent="0.2">
      <c r="B43" s="208" t="s">
        <v>493</v>
      </c>
    </row>
    <row r="44" spans="2:10" x14ac:dyDescent="0.2">
      <c r="B44" s="105" t="s">
        <v>476</v>
      </c>
    </row>
    <row r="45" spans="2:10" x14ac:dyDescent="0.2">
      <c r="B45" s="208" t="s">
        <v>494</v>
      </c>
    </row>
    <row r="46" spans="2:10" x14ac:dyDescent="0.2">
      <c r="B46" s="106" t="s">
        <v>163</v>
      </c>
    </row>
    <row r="47" spans="2:10" x14ac:dyDescent="0.2">
      <c r="B47" s="1" t="s">
        <v>275</v>
      </c>
    </row>
    <row r="48" spans="2:10" x14ac:dyDescent="0.2">
      <c r="B48" s="105" t="s">
        <v>164</v>
      </c>
    </row>
    <row r="49" spans="2:5" x14ac:dyDescent="0.2">
      <c r="B49" s="208" t="s">
        <v>376</v>
      </c>
    </row>
    <row r="50" spans="2:5" x14ac:dyDescent="0.2">
      <c r="B50" s="105" t="s">
        <v>377</v>
      </c>
    </row>
    <row r="51" spans="2:5" x14ac:dyDescent="0.2">
      <c r="B51" s="208" t="s">
        <v>378</v>
      </c>
    </row>
    <row r="53" spans="2:5" ht="22.5" x14ac:dyDescent="0.2">
      <c r="B53" s="286" t="s">
        <v>674</v>
      </c>
      <c r="C53" s="287" t="s">
        <v>733</v>
      </c>
      <c r="D53" s="288" t="s">
        <v>732</v>
      </c>
      <c r="E53" s="287" t="s">
        <v>519</v>
      </c>
    </row>
    <row r="54" spans="2:5" x14ac:dyDescent="0.2">
      <c r="B54" s="515" t="s">
        <v>670</v>
      </c>
      <c r="C54" s="289">
        <v>3607277</v>
      </c>
      <c r="D54" s="43">
        <v>8</v>
      </c>
      <c r="E54" s="289">
        <f>C54*D54</f>
        <v>28858216</v>
      </c>
    </row>
    <row r="55" spans="2:5" x14ac:dyDescent="0.2">
      <c r="B55" s="515" t="s">
        <v>777</v>
      </c>
      <c r="C55" s="289">
        <v>4419991</v>
      </c>
      <c r="D55" s="43">
        <v>8</v>
      </c>
      <c r="E55" s="289">
        <f t="shared" ref="E55:E57" si="14">C55*D55</f>
        <v>35359928</v>
      </c>
    </row>
    <row r="56" spans="2:5" x14ac:dyDescent="0.2">
      <c r="B56" s="515" t="s">
        <v>671</v>
      </c>
      <c r="C56" s="289">
        <v>4128417</v>
      </c>
      <c r="D56" s="43">
        <v>8</v>
      </c>
      <c r="E56" s="289">
        <f t="shared" si="14"/>
        <v>33027336</v>
      </c>
    </row>
    <row r="57" spans="2:5" x14ac:dyDescent="0.2">
      <c r="B57" s="515" t="s">
        <v>672</v>
      </c>
      <c r="C57" s="289">
        <v>3498764</v>
      </c>
      <c r="D57" s="43">
        <v>56</v>
      </c>
      <c r="E57" s="289">
        <f t="shared" si="14"/>
        <v>195930784</v>
      </c>
    </row>
    <row r="58" spans="2:5" x14ac:dyDescent="0.2">
      <c r="B58" s="290" t="s">
        <v>512</v>
      </c>
      <c r="C58" s="291"/>
      <c r="D58" s="292">
        <f>SUM(D54:D57)</f>
        <v>80</v>
      </c>
      <c r="E58" s="293">
        <f>SUM(E54:E57)</f>
        <v>293176264</v>
      </c>
    </row>
    <row r="61" spans="2:5" ht="22.5" x14ac:dyDescent="0.2">
      <c r="B61" s="286" t="s">
        <v>706</v>
      </c>
      <c r="C61" s="287" t="s">
        <v>673</v>
      </c>
      <c r="D61" s="288" t="s">
        <v>731</v>
      </c>
      <c r="E61" s="287" t="s">
        <v>519</v>
      </c>
    </row>
    <row r="62" spans="2:5" x14ac:dyDescent="0.2">
      <c r="B62" s="515" t="s">
        <v>778</v>
      </c>
      <c r="C62" s="289">
        <f>C54+C55+C56+C57*7</f>
        <v>36647033</v>
      </c>
      <c r="D62" s="43">
        <v>8</v>
      </c>
      <c r="E62" s="289">
        <f>C62*D62</f>
        <v>293176264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:J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R21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50.85546875" style="2" customWidth="1"/>
    <col min="3" max="9" width="13.85546875" style="2" customWidth="1"/>
    <col min="10" max="11" width="5" style="2" bestFit="1" customWidth="1"/>
    <col min="12" max="12" width="12.85546875" style="2" customWidth="1"/>
    <col min="13" max="36" width="5" style="2" bestFit="1" customWidth="1"/>
    <col min="37" max="16384" width="9.140625" style="2"/>
  </cols>
  <sheetData>
    <row r="1" spans="2:18" ht="12" thickBot="1" x14ac:dyDescent="0.25"/>
    <row r="2" spans="2:18" x14ac:dyDescent="0.2">
      <c r="B2" s="15" t="s">
        <v>76</v>
      </c>
      <c r="H2" s="53" t="s">
        <v>77</v>
      </c>
      <c r="I2" s="54" t="s">
        <v>78</v>
      </c>
    </row>
    <row r="3" spans="2:18" ht="56.25" x14ac:dyDescent="0.2">
      <c r="B3" s="47" t="s">
        <v>479</v>
      </c>
      <c r="C3" s="48" t="s">
        <v>276</v>
      </c>
      <c r="D3" s="48" t="s">
        <v>64</v>
      </c>
      <c r="E3" s="48" t="s">
        <v>31</v>
      </c>
      <c r="F3" s="48" t="s">
        <v>30</v>
      </c>
      <c r="G3" s="49" t="s">
        <v>32</v>
      </c>
      <c r="H3" s="51" t="s">
        <v>16</v>
      </c>
      <c r="I3" s="52" t="s">
        <v>16</v>
      </c>
      <c r="L3" s="2" t="s">
        <v>165</v>
      </c>
    </row>
    <row r="4" spans="2:18" x14ac:dyDescent="0.2">
      <c r="B4" s="16" t="s">
        <v>472</v>
      </c>
      <c r="C4" s="18">
        <v>50</v>
      </c>
      <c r="D4" s="112">
        <f>$E$21-Parametre!$C$15</f>
        <v>34</v>
      </c>
      <c r="E4" s="17">
        <f>ROUNDDOWN(D4/C4,0)</f>
        <v>0</v>
      </c>
      <c r="F4" s="18">
        <f>C4+(E4*C4)</f>
        <v>50</v>
      </c>
      <c r="G4" s="50">
        <f>(F4-D4)/C4</f>
        <v>0.32</v>
      </c>
      <c r="H4" s="151">
        <f>G4*'01 Investičné výdavky NOV200'!C6</f>
        <v>37526561.792000003</v>
      </c>
      <c r="I4" s="153">
        <f>H4*Parametre!$C$47</f>
        <v>33773905.612800002</v>
      </c>
      <c r="L4" s="2" t="s">
        <v>166</v>
      </c>
    </row>
    <row r="5" spans="2:18" x14ac:dyDescent="0.2">
      <c r="B5" s="16" t="s">
        <v>473</v>
      </c>
      <c r="C5" s="18">
        <v>30</v>
      </c>
      <c r="D5" s="112">
        <f>$E$21-Parametre!$C$15</f>
        <v>34</v>
      </c>
      <c r="E5" s="17">
        <f t="shared" ref="E5:E8" si="0">ROUNDDOWN(D5/C5,0)</f>
        <v>1</v>
      </c>
      <c r="F5" s="18">
        <f t="shared" ref="F5:F8" si="1">C5+(E5*C5)</f>
        <v>60</v>
      </c>
      <c r="G5" s="50">
        <f t="shared" ref="G5:G8" si="2">(F5-D5)/C5</f>
        <v>0.8666666666666667</v>
      </c>
      <c r="H5" s="151">
        <f>G5*'01 Investičné výdavky NOV200'!C7</f>
        <v>76225828.640000001</v>
      </c>
      <c r="I5" s="153">
        <f>H5*Parametre!$C$47</f>
        <v>68603245.776000008</v>
      </c>
      <c r="K5" s="205" t="s">
        <v>477</v>
      </c>
      <c r="L5" s="279">
        <f>'01 Investičné výdavky NOV200'!C6*1</f>
        <v>117270505.60000001</v>
      </c>
      <c r="M5" s="280">
        <f>E5</f>
        <v>1</v>
      </c>
      <c r="N5" s="280" t="s">
        <v>478</v>
      </c>
      <c r="O5" s="280"/>
      <c r="P5" s="280"/>
      <c r="Q5" s="280"/>
      <c r="R5" s="280"/>
    </row>
    <row r="6" spans="2:18" x14ac:dyDescent="0.2">
      <c r="B6" s="16" t="s">
        <v>474</v>
      </c>
      <c r="C6" s="18">
        <v>30</v>
      </c>
      <c r="D6" s="112">
        <f>$E$21-Parametre!$C$15</f>
        <v>34</v>
      </c>
      <c r="E6" s="17">
        <f t="shared" si="0"/>
        <v>1</v>
      </c>
      <c r="F6" s="18">
        <f t="shared" si="1"/>
        <v>60</v>
      </c>
      <c r="G6" s="50">
        <f t="shared" si="2"/>
        <v>0.8666666666666667</v>
      </c>
      <c r="H6" s="151">
        <f>G6*'01 Investičné výdavky NOV200'!C8</f>
        <v>0</v>
      </c>
      <c r="I6" s="153">
        <f>H6*Parametre!$C$47</f>
        <v>0</v>
      </c>
      <c r="K6" s="205" t="s">
        <v>477</v>
      </c>
      <c r="L6" s="279">
        <f>'01 Investičné výdavky NOV200'!C7*1</f>
        <v>87952879.200000003</v>
      </c>
      <c r="M6" s="280">
        <f t="shared" ref="M6:M8" si="3">E6</f>
        <v>1</v>
      </c>
      <c r="N6" s="280" t="s">
        <v>478</v>
      </c>
      <c r="O6" s="280"/>
      <c r="P6" s="280"/>
      <c r="Q6" s="280"/>
      <c r="R6" s="280"/>
    </row>
    <row r="7" spans="2:18" x14ac:dyDescent="0.2">
      <c r="B7" s="16" t="s">
        <v>475</v>
      </c>
      <c r="C7" s="18">
        <v>30</v>
      </c>
      <c r="D7" s="112">
        <f>$E$21-Parametre!$C$15</f>
        <v>34</v>
      </c>
      <c r="E7" s="17">
        <f t="shared" si="0"/>
        <v>1</v>
      </c>
      <c r="F7" s="18">
        <f t="shared" si="1"/>
        <v>60</v>
      </c>
      <c r="G7" s="50">
        <f t="shared" si="2"/>
        <v>0.8666666666666667</v>
      </c>
      <c r="H7" s="151">
        <f>G7*'01 Investičné výdavky NOV200'!C9</f>
        <v>25408609.546666671</v>
      </c>
      <c r="I7" s="153">
        <f>H7*Parametre!$C$47</f>
        <v>22867748.592000004</v>
      </c>
      <c r="K7" s="205" t="s">
        <v>477</v>
      </c>
      <c r="L7" s="279">
        <f>'01 Investičné výdavky NOV200'!C8*1</f>
        <v>0</v>
      </c>
      <c r="M7" s="280">
        <f t="shared" si="3"/>
        <v>1</v>
      </c>
      <c r="N7" s="280" t="s">
        <v>478</v>
      </c>
      <c r="O7" s="280"/>
      <c r="P7" s="280"/>
      <c r="Q7" s="280"/>
      <c r="R7" s="280"/>
    </row>
    <row r="8" spans="2:18" ht="12" thickBot="1" x14ac:dyDescent="0.25">
      <c r="B8" s="16" t="s">
        <v>476</v>
      </c>
      <c r="C8" s="18">
        <v>20</v>
      </c>
      <c r="D8" s="112">
        <f>$E$21-Parametre!$C$15</f>
        <v>34</v>
      </c>
      <c r="E8" s="17">
        <f t="shared" si="0"/>
        <v>1</v>
      </c>
      <c r="F8" s="18">
        <f t="shared" si="1"/>
        <v>40</v>
      </c>
      <c r="G8" s="50">
        <f t="shared" si="2"/>
        <v>0.3</v>
      </c>
      <c r="H8" s="151">
        <f>G8*'01 Investičné výdavky NOV200'!C10</f>
        <v>17590575.84</v>
      </c>
      <c r="I8" s="153">
        <f>H8*Parametre!$C$47</f>
        <v>15831518.256000001</v>
      </c>
      <c r="K8" s="205" t="s">
        <v>477</v>
      </c>
      <c r="L8" s="279">
        <f>'01 Investičné výdavky NOV200'!C9*1</f>
        <v>29317626.400000002</v>
      </c>
      <c r="M8" s="280">
        <f t="shared" si="3"/>
        <v>1</v>
      </c>
      <c r="N8" s="280" t="s">
        <v>478</v>
      </c>
      <c r="O8" s="280"/>
      <c r="P8" s="280"/>
      <c r="Q8" s="280"/>
      <c r="R8" s="280"/>
    </row>
    <row r="9" spans="2:18" ht="12" thickBot="1" x14ac:dyDescent="0.25">
      <c r="B9" s="4" t="s">
        <v>16</v>
      </c>
      <c r="C9" s="3"/>
      <c r="D9" s="3"/>
      <c r="E9" s="3"/>
      <c r="F9" s="3"/>
      <c r="G9" s="26"/>
      <c r="H9" s="152">
        <f>SUM(H4:H8)</f>
        <v>156751575.8186667</v>
      </c>
      <c r="I9" s="150">
        <f>SUM(I4:I8)</f>
        <v>141076418.23680001</v>
      </c>
    </row>
    <row r="10" spans="2:18" x14ac:dyDescent="0.2">
      <c r="B10" s="1" t="s">
        <v>277</v>
      </c>
    </row>
    <row r="12" spans="2:18" x14ac:dyDescent="0.2">
      <c r="B12" s="15" t="s">
        <v>379</v>
      </c>
    </row>
    <row r="13" spans="2:18" ht="22.5" x14ac:dyDescent="0.2">
      <c r="B13" s="47" t="s">
        <v>480</v>
      </c>
      <c r="C13" s="48" t="s">
        <v>380</v>
      </c>
      <c r="D13" s="48" t="s">
        <v>381</v>
      </c>
      <c r="E13" s="48" t="s">
        <v>382</v>
      </c>
      <c r="G13" s="749">
        <f>'01 Investičné výdavky NOV200'!C62</f>
        <v>36647033</v>
      </c>
    </row>
    <row r="14" spans="2:18" x14ac:dyDescent="0.2">
      <c r="B14" s="16" t="s">
        <v>472</v>
      </c>
      <c r="C14" s="18">
        <f>C4</f>
        <v>50</v>
      </c>
      <c r="D14" s="209">
        <f>'01 Investičné výdavky NOV200'!C6</f>
        <v>117270505.60000001</v>
      </c>
      <c r="E14" s="3">
        <f>ROUND(D14/$D$19,2)</f>
        <v>0.4</v>
      </c>
      <c r="G14" s="749">
        <f>G13*40%</f>
        <v>14658813.200000001</v>
      </c>
    </row>
    <row r="15" spans="2:18" x14ac:dyDescent="0.2">
      <c r="B15" s="16" t="s">
        <v>473</v>
      </c>
      <c r="C15" s="18">
        <f t="shared" ref="C15:C18" si="4">C5</f>
        <v>30</v>
      </c>
      <c r="D15" s="209">
        <f>'01 Investičné výdavky NOV200'!C7</f>
        <v>87952879.200000003</v>
      </c>
      <c r="E15" s="3">
        <f t="shared" ref="E15:E18" si="5">ROUND(D15/$D$19,2)</f>
        <v>0.3</v>
      </c>
      <c r="G15" s="749">
        <f>G13*30%</f>
        <v>10994109.9</v>
      </c>
    </row>
    <row r="16" spans="2:18" x14ac:dyDescent="0.2">
      <c r="B16" s="16" t="s">
        <v>474</v>
      </c>
      <c r="C16" s="18">
        <f t="shared" si="4"/>
        <v>30</v>
      </c>
      <c r="D16" s="209">
        <f>'01 Investičné výdavky NOV200'!C8</f>
        <v>0</v>
      </c>
      <c r="E16" s="3">
        <f t="shared" si="5"/>
        <v>0</v>
      </c>
      <c r="G16" s="749">
        <f>G13*0%</f>
        <v>0</v>
      </c>
    </row>
    <row r="17" spans="2:7" x14ac:dyDescent="0.2">
      <c r="B17" s="16" t="s">
        <v>475</v>
      </c>
      <c r="C17" s="18">
        <f t="shared" si="4"/>
        <v>30</v>
      </c>
      <c r="D17" s="209">
        <f>'01 Investičné výdavky NOV200'!C9</f>
        <v>29317626.400000002</v>
      </c>
      <c r="E17" s="3">
        <f t="shared" si="5"/>
        <v>0.1</v>
      </c>
      <c r="G17" s="749">
        <f>G13*10%</f>
        <v>3664703.3000000003</v>
      </c>
    </row>
    <row r="18" spans="2:7" x14ac:dyDescent="0.2">
      <c r="B18" s="16" t="s">
        <v>476</v>
      </c>
      <c r="C18" s="18">
        <f t="shared" si="4"/>
        <v>20</v>
      </c>
      <c r="D18" s="209">
        <f>'01 Investičné výdavky NOV200'!C10</f>
        <v>58635252.800000004</v>
      </c>
      <c r="E18" s="3">
        <f t="shared" si="5"/>
        <v>0.2</v>
      </c>
      <c r="G18" s="749">
        <f>G13*20%</f>
        <v>7329406.6000000006</v>
      </c>
    </row>
    <row r="19" spans="2:7" ht="12" thickBot="1" x14ac:dyDescent="0.25">
      <c r="B19" s="210"/>
      <c r="C19" s="211"/>
      <c r="D19" s="212">
        <f>SUM(D14:D18)</f>
        <v>293176264</v>
      </c>
      <c r="E19" s="211"/>
    </row>
    <row r="20" spans="2:7" x14ac:dyDescent="0.2">
      <c r="B20" s="213" t="s">
        <v>383</v>
      </c>
      <c r="C20" s="214"/>
      <c r="D20" s="215"/>
      <c r="E20" s="216">
        <f>IFERROR(ROUND(SUMPRODUCT(C14:C18,E14:E18),0),0)</f>
        <v>36</v>
      </c>
    </row>
    <row r="21" spans="2:7" ht="12" thickBot="1" x14ac:dyDescent="0.25">
      <c r="B21" s="217" t="s">
        <v>384</v>
      </c>
      <c r="C21" s="218"/>
      <c r="D21" s="219"/>
      <c r="E21" s="220">
        <f>IF(E20&lt;=Parametre!C16,ROUND(E20+Parametre!C15,0),40)</f>
        <v>40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AQ46"/>
  <sheetViews>
    <sheetView zoomScale="90" zoomScaleNormal="90" workbookViewId="0"/>
  </sheetViews>
  <sheetFormatPr defaultColWidth="9.140625" defaultRowHeight="11.25" x14ac:dyDescent="0.2"/>
  <cols>
    <col min="1" max="1" width="2" style="2" customWidth="1"/>
    <col min="2" max="2" width="41.140625" style="2" customWidth="1"/>
    <col min="3" max="3" width="12" style="2" bestFit="1" customWidth="1"/>
    <col min="4" max="8" width="9.5703125" style="2" bestFit="1" customWidth="1"/>
    <col min="9" max="10" width="10.140625" style="2" bestFit="1" customWidth="1"/>
    <col min="11" max="18" width="9.5703125" style="2" bestFit="1" customWidth="1"/>
    <col min="19" max="20" width="10.140625" style="2" bestFit="1" customWidth="1"/>
    <col min="21" max="28" width="9.5703125" style="2" bestFit="1" customWidth="1"/>
    <col min="29" max="30" width="10.140625" style="2" bestFit="1" customWidth="1"/>
    <col min="31" max="38" width="9.5703125" style="2" bestFit="1" customWidth="1"/>
    <col min="39" max="40" width="10.140625" style="2" bestFit="1" customWidth="1"/>
    <col min="41" max="42" width="9.5703125" style="2" bestFit="1" customWidth="1"/>
    <col min="43" max="43" width="10.140625" style="2" bestFit="1" customWidth="1"/>
    <col min="44" max="44" width="7.42578125" style="2" customWidth="1"/>
    <col min="45" max="16384" width="9.140625" style="2"/>
  </cols>
  <sheetData>
    <row r="2" spans="2:43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 t="s">
        <v>50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  <c r="AM3" s="3">
        <v>36</v>
      </c>
      <c r="AN3" s="3">
        <v>37</v>
      </c>
      <c r="AO3" s="3">
        <v>38</v>
      </c>
      <c r="AP3" s="3">
        <v>39</v>
      </c>
      <c r="AQ3" s="3">
        <v>40</v>
      </c>
    </row>
    <row r="4" spans="2:43" x14ac:dyDescent="0.2">
      <c r="B4" s="6" t="s">
        <v>33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 t="shared" ref="H4:AG4" si="0">$D$4+G3</f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  <c r="AP4" s="7">
        <f t="shared" ref="AP4" si="9">$D$4+AO3</f>
        <v>2064</v>
      </c>
      <c r="AQ4" s="7">
        <f t="shared" ref="AQ4" si="10">$D$4+AP3</f>
        <v>2065</v>
      </c>
    </row>
    <row r="5" spans="2:43" x14ac:dyDescent="0.2">
      <c r="B5" s="3" t="s">
        <v>281</v>
      </c>
      <c r="C5" s="8">
        <f>SUM(D5:AQ5)</f>
        <v>1112679814.2240002</v>
      </c>
      <c r="D5" s="9">
        <f>'03A PV NOV200 bez proj.pomoc'!D28</f>
        <v>27816995.355600003</v>
      </c>
      <c r="E5" s="9">
        <f>'03A PV NOV200 bez proj.pomoc'!E28</f>
        <v>27816995.355600003</v>
      </c>
      <c r="F5" s="9">
        <f>'03A PV NOV200 bez proj.pomoc'!F28</f>
        <v>27816995.355600003</v>
      </c>
      <c r="G5" s="9">
        <f>'03A PV NOV200 bez proj.pomoc'!G28</f>
        <v>27816995.355600003</v>
      </c>
      <c r="H5" s="9">
        <f>'03A PV NOV200 bez proj.pomoc'!H28</f>
        <v>27816995.355600003</v>
      </c>
      <c r="I5" s="9">
        <f>'03A PV NOV200 bez proj.pomoc'!I28</f>
        <v>27816995.355600003</v>
      </c>
      <c r="J5" s="9">
        <f>'03A PV NOV200 bez proj.pomoc'!J28</f>
        <v>27816995.355600003</v>
      </c>
      <c r="K5" s="9">
        <f>'03A PV NOV200 bez proj.pomoc'!K28</f>
        <v>27816995.355600003</v>
      </c>
      <c r="L5" s="9">
        <f>'03A PV NOV200 bez proj.pomoc'!L28</f>
        <v>27816995.355600003</v>
      </c>
      <c r="M5" s="9">
        <f>'03A PV NOV200 bez proj.pomoc'!M28</f>
        <v>27816995.355600003</v>
      </c>
      <c r="N5" s="9">
        <f>'03A PV NOV200 bez proj.pomoc'!N28</f>
        <v>27816995.355600003</v>
      </c>
      <c r="O5" s="9">
        <f>'03A PV NOV200 bez proj.pomoc'!O28</f>
        <v>27816995.355600003</v>
      </c>
      <c r="P5" s="9">
        <f>'03A PV NOV200 bez proj.pomoc'!P28</f>
        <v>27816995.355600003</v>
      </c>
      <c r="Q5" s="9">
        <f>'03A PV NOV200 bez proj.pomoc'!Q28</f>
        <v>27816995.355600003</v>
      </c>
      <c r="R5" s="9">
        <f>'03A PV NOV200 bez proj.pomoc'!R28</f>
        <v>27816995.355600003</v>
      </c>
      <c r="S5" s="9">
        <f>'03A PV NOV200 bez proj.pomoc'!S28</f>
        <v>27816995.355600003</v>
      </c>
      <c r="T5" s="9">
        <f>'03A PV NOV200 bez proj.pomoc'!T28</f>
        <v>27816995.355600003</v>
      </c>
      <c r="U5" s="9">
        <f>'03A PV NOV200 bez proj.pomoc'!U28</f>
        <v>27816995.355600003</v>
      </c>
      <c r="V5" s="9">
        <f>'03A PV NOV200 bez proj.pomoc'!V28</f>
        <v>27816995.355600003</v>
      </c>
      <c r="W5" s="9">
        <f>'03A PV NOV200 bez proj.pomoc'!W28</f>
        <v>27816995.355600003</v>
      </c>
      <c r="X5" s="9">
        <f>'03A PV NOV200 bez proj.pomoc'!X28</f>
        <v>27816995.355600003</v>
      </c>
      <c r="Y5" s="9">
        <f>'03A PV NOV200 bez proj.pomoc'!Y28</f>
        <v>27816995.355600003</v>
      </c>
      <c r="Z5" s="9">
        <f>'03A PV NOV200 bez proj.pomoc'!Z28</f>
        <v>27816995.355600003</v>
      </c>
      <c r="AA5" s="9">
        <f>'03A PV NOV200 bez proj.pomoc'!AA28</f>
        <v>27816995.355600003</v>
      </c>
      <c r="AB5" s="9">
        <f>'03A PV NOV200 bez proj.pomoc'!AB28</f>
        <v>27816995.355600003</v>
      </c>
      <c r="AC5" s="9">
        <f>'03A PV NOV200 bez proj.pomoc'!AC28</f>
        <v>27816995.355600003</v>
      </c>
      <c r="AD5" s="9">
        <f>'03A PV NOV200 bez proj.pomoc'!AD28</f>
        <v>27816995.355600003</v>
      </c>
      <c r="AE5" s="9">
        <f>'03A PV NOV200 bez proj.pomoc'!AE28</f>
        <v>27816995.355600003</v>
      </c>
      <c r="AF5" s="9">
        <f>'03A PV NOV200 bez proj.pomoc'!AF28</f>
        <v>27816995.355600003</v>
      </c>
      <c r="AG5" s="9">
        <f>'03A PV NOV200 bez proj.pomoc'!AG28</f>
        <v>27816995.355600003</v>
      </c>
      <c r="AH5" s="9">
        <f>'03A PV NOV200 bez proj.pomoc'!AH28</f>
        <v>27816995.355600003</v>
      </c>
      <c r="AI5" s="9">
        <f>'03A PV NOV200 bez proj.pomoc'!AI28</f>
        <v>27816995.355600003</v>
      </c>
      <c r="AJ5" s="9">
        <f>'03A PV NOV200 bez proj.pomoc'!AJ28</f>
        <v>27816995.355600003</v>
      </c>
      <c r="AK5" s="9">
        <f>'03A PV NOV200 bez proj.pomoc'!AK28</f>
        <v>27816995.355600003</v>
      </c>
      <c r="AL5" s="9">
        <f>'03A PV NOV200 bez proj.pomoc'!AL28</f>
        <v>27816995.355600003</v>
      </c>
      <c r="AM5" s="9">
        <f>'03A PV NOV200 bez proj.pomoc'!AM28</f>
        <v>27816995.355600003</v>
      </c>
      <c r="AN5" s="9">
        <f>'03A PV NOV200 bez proj.pomoc'!AN28</f>
        <v>27816995.355600003</v>
      </c>
      <c r="AO5" s="9">
        <f>'03A PV NOV200 bez proj.pomoc'!AO28</f>
        <v>27816995.355600003</v>
      </c>
      <c r="AP5" s="9">
        <f>'03A PV NOV200 bez proj.pomoc'!AP28</f>
        <v>27816995.355600003</v>
      </c>
      <c r="AQ5" s="9">
        <f>'03A PV NOV200 bez proj.pomoc'!AQ28</f>
        <v>27816995.355600003</v>
      </c>
    </row>
    <row r="6" spans="2:43" x14ac:dyDescent="0.2">
      <c r="B6" s="3" t="s">
        <v>279</v>
      </c>
      <c r="C6" s="8">
        <f t="shared" ref="C6:C10" si="11">SUM(D6:AQ6)</f>
        <v>375200000</v>
      </c>
      <c r="D6" s="9">
        <f>'03A PV NOV200 bez proj.pomoc'!D29</f>
        <v>0</v>
      </c>
      <c r="E6" s="9">
        <f>'03A PV NOV200 bez proj.pomoc'!E29</f>
        <v>0</v>
      </c>
      <c r="F6" s="9">
        <f>'03A PV NOV200 bez proj.pomoc'!F29</f>
        <v>0</v>
      </c>
      <c r="G6" s="9">
        <f>'03A PV NOV200 bez proj.pomoc'!G29</f>
        <v>0</v>
      </c>
      <c r="H6" s="9">
        <f>'03A PV NOV200 bez proj.pomoc'!H29</f>
        <v>0</v>
      </c>
      <c r="I6" s="9">
        <f>'03A PV NOV200 bez proj.pomoc'!I29</f>
        <v>26800000</v>
      </c>
      <c r="J6" s="9">
        <f>'03A PV NOV200 bez proj.pomoc'!J29</f>
        <v>26800000</v>
      </c>
      <c r="K6" s="9">
        <f>'03A PV NOV200 bez proj.pomoc'!K29</f>
        <v>0</v>
      </c>
      <c r="L6" s="9">
        <f>'03A PV NOV200 bez proj.pomoc'!L29</f>
        <v>0</v>
      </c>
      <c r="M6" s="9">
        <f>'03A PV NOV200 bez proj.pomoc'!M29</f>
        <v>0</v>
      </c>
      <c r="N6" s="9">
        <f>'03A PV NOV200 bez proj.pomoc'!N29</f>
        <v>0</v>
      </c>
      <c r="O6" s="9">
        <f>'03A PV NOV200 bez proj.pomoc'!O29</f>
        <v>0</v>
      </c>
      <c r="P6" s="9">
        <f>'03A PV NOV200 bez proj.pomoc'!P29</f>
        <v>0</v>
      </c>
      <c r="Q6" s="9">
        <f>'03A PV NOV200 bez proj.pomoc'!Q29</f>
        <v>0</v>
      </c>
      <c r="R6" s="9">
        <f>'03A PV NOV200 bez proj.pomoc'!R29</f>
        <v>0</v>
      </c>
      <c r="S6" s="9">
        <f>'03A PV NOV200 bez proj.pomoc'!S29</f>
        <v>53600000</v>
      </c>
      <c r="T6" s="9">
        <f>'03A PV NOV200 bez proj.pomoc'!T29</f>
        <v>53600000</v>
      </c>
      <c r="U6" s="9">
        <f>'03A PV NOV200 bez proj.pomoc'!U29</f>
        <v>0</v>
      </c>
      <c r="V6" s="9">
        <f>'03A PV NOV200 bez proj.pomoc'!V29</f>
        <v>0</v>
      </c>
      <c r="W6" s="9">
        <f>'03A PV NOV200 bez proj.pomoc'!W29</f>
        <v>0</v>
      </c>
      <c r="X6" s="9">
        <f>'03A PV NOV200 bez proj.pomoc'!X29</f>
        <v>0</v>
      </c>
      <c r="Y6" s="9">
        <f>'03A PV NOV200 bez proj.pomoc'!Y29</f>
        <v>0</v>
      </c>
      <c r="Z6" s="9">
        <f>'03A PV NOV200 bez proj.pomoc'!Z29</f>
        <v>0</v>
      </c>
      <c r="AA6" s="9">
        <f>'03A PV NOV200 bez proj.pomoc'!AA29</f>
        <v>0</v>
      </c>
      <c r="AB6" s="9">
        <f>'03A PV NOV200 bez proj.pomoc'!AB29</f>
        <v>0</v>
      </c>
      <c r="AC6" s="9">
        <f>'03A PV NOV200 bez proj.pomoc'!AC29</f>
        <v>26800000</v>
      </c>
      <c r="AD6" s="9">
        <f>'03A PV NOV200 bez proj.pomoc'!AD29</f>
        <v>26800000</v>
      </c>
      <c r="AE6" s="9">
        <f>'03A PV NOV200 bez proj.pomoc'!AE29</f>
        <v>0</v>
      </c>
      <c r="AF6" s="9">
        <f>'03A PV NOV200 bez proj.pomoc'!AF29</f>
        <v>0</v>
      </c>
      <c r="AG6" s="9">
        <f>'03A PV NOV200 bez proj.pomoc'!AG29</f>
        <v>0</v>
      </c>
      <c r="AH6" s="9">
        <f>'03A PV NOV200 bez proj.pomoc'!AH29</f>
        <v>0</v>
      </c>
      <c r="AI6" s="9">
        <f>'03A PV NOV200 bez proj.pomoc'!AI29</f>
        <v>0</v>
      </c>
      <c r="AJ6" s="9">
        <f>'03A PV NOV200 bez proj.pomoc'!AJ29</f>
        <v>0</v>
      </c>
      <c r="AK6" s="9">
        <f>'03A PV NOV200 bez proj.pomoc'!AK29</f>
        <v>0</v>
      </c>
      <c r="AL6" s="9">
        <f>'03A PV NOV200 bez proj.pomoc'!AL29</f>
        <v>0</v>
      </c>
      <c r="AM6" s="9">
        <f>'03A PV NOV200 bez proj.pomoc'!AM29</f>
        <v>53600000</v>
      </c>
      <c r="AN6" s="9">
        <f>'03A PV NOV200 bez proj.pomoc'!AN29</f>
        <v>53600000</v>
      </c>
      <c r="AO6" s="9">
        <f>'03A PV NOV200 bez proj.pomoc'!AO29</f>
        <v>0</v>
      </c>
      <c r="AP6" s="9">
        <f>'03A PV NOV200 bez proj.pomoc'!AP29</f>
        <v>0</v>
      </c>
      <c r="AQ6" s="9">
        <f>'03A PV NOV200 bez proj.pomoc'!AQ29</f>
        <v>53600000</v>
      </c>
    </row>
    <row r="7" spans="2:43" x14ac:dyDescent="0.2">
      <c r="B7" s="4" t="s">
        <v>278</v>
      </c>
      <c r="C7" s="13">
        <f t="shared" si="11"/>
        <v>1487879814.2240005</v>
      </c>
      <c r="D7" s="13">
        <f t="shared" ref="D7:AG7" si="12">SUM(D5:D6)</f>
        <v>27816995.355600003</v>
      </c>
      <c r="E7" s="13">
        <f t="shared" si="12"/>
        <v>27816995.355600003</v>
      </c>
      <c r="F7" s="13">
        <f t="shared" si="12"/>
        <v>27816995.355600003</v>
      </c>
      <c r="G7" s="13">
        <f t="shared" si="12"/>
        <v>27816995.355600003</v>
      </c>
      <c r="H7" s="13">
        <f t="shared" si="12"/>
        <v>27816995.355600003</v>
      </c>
      <c r="I7" s="13">
        <f t="shared" si="12"/>
        <v>54616995.355599999</v>
      </c>
      <c r="J7" s="13">
        <f t="shared" si="12"/>
        <v>54616995.355599999</v>
      </c>
      <c r="K7" s="13">
        <f t="shared" si="12"/>
        <v>27816995.355600003</v>
      </c>
      <c r="L7" s="13">
        <f t="shared" si="12"/>
        <v>27816995.355600003</v>
      </c>
      <c r="M7" s="13">
        <f t="shared" si="12"/>
        <v>27816995.355600003</v>
      </c>
      <c r="N7" s="13">
        <f t="shared" si="12"/>
        <v>27816995.355600003</v>
      </c>
      <c r="O7" s="13">
        <f t="shared" si="12"/>
        <v>27816995.355600003</v>
      </c>
      <c r="P7" s="13">
        <f t="shared" si="12"/>
        <v>27816995.355600003</v>
      </c>
      <c r="Q7" s="13">
        <f t="shared" si="12"/>
        <v>27816995.355600003</v>
      </c>
      <c r="R7" s="13">
        <f t="shared" si="12"/>
        <v>27816995.355600003</v>
      </c>
      <c r="S7" s="13">
        <f t="shared" si="12"/>
        <v>81416995.355599999</v>
      </c>
      <c r="T7" s="13">
        <f t="shared" si="12"/>
        <v>81416995.355599999</v>
      </c>
      <c r="U7" s="13">
        <f t="shared" si="12"/>
        <v>27816995.355600003</v>
      </c>
      <c r="V7" s="13">
        <f t="shared" si="12"/>
        <v>27816995.355600003</v>
      </c>
      <c r="W7" s="13">
        <f t="shared" si="12"/>
        <v>27816995.355600003</v>
      </c>
      <c r="X7" s="13">
        <f t="shared" si="12"/>
        <v>27816995.355600003</v>
      </c>
      <c r="Y7" s="13">
        <f t="shared" si="12"/>
        <v>27816995.355600003</v>
      </c>
      <c r="Z7" s="13">
        <f t="shared" si="12"/>
        <v>27816995.355600003</v>
      </c>
      <c r="AA7" s="13">
        <f t="shared" si="12"/>
        <v>27816995.355600003</v>
      </c>
      <c r="AB7" s="13">
        <f t="shared" si="12"/>
        <v>27816995.355600003</v>
      </c>
      <c r="AC7" s="13">
        <f t="shared" si="12"/>
        <v>54616995.355599999</v>
      </c>
      <c r="AD7" s="13">
        <f t="shared" si="12"/>
        <v>54616995.355599999</v>
      </c>
      <c r="AE7" s="13">
        <f t="shared" si="12"/>
        <v>27816995.355600003</v>
      </c>
      <c r="AF7" s="13">
        <f t="shared" si="12"/>
        <v>27816995.355600003</v>
      </c>
      <c r="AG7" s="13">
        <f t="shared" si="12"/>
        <v>27816995.355600003</v>
      </c>
      <c r="AH7" s="13">
        <f t="shared" ref="AH7:AN7" si="13">SUM(AH5:AH6)</f>
        <v>27816995.355600003</v>
      </c>
      <c r="AI7" s="13">
        <f t="shared" si="13"/>
        <v>27816995.355600003</v>
      </c>
      <c r="AJ7" s="13">
        <f t="shared" si="13"/>
        <v>27816995.355600003</v>
      </c>
      <c r="AK7" s="13">
        <f t="shared" si="13"/>
        <v>27816995.355600003</v>
      </c>
      <c r="AL7" s="13">
        <f t="shared" si="13"/>
        <v>27816995.355600003</v>
      </c>
      <c r="AM7" s="13">
        <f t="shared" si="13"/>
        <v>81416995.355599999</v>
      </c>
      <c r="AN7" s="13">
        <f t="shared" si="13"/>
        <v>81416995.355599999</v>
      </c>
      <c r="AO7" s="13">
        <f t="shared" ref="AO7:AQ7" si="14">SUM(AO5:AO6)</f>
        <v>27816995.355600003</v>
      </c>
      <c r="AP7" s="13">
        <f t="shared" si="14"/>
        <v>27816995.355600003</v>
      </c>
      <c r="AQ7" s="13">
        <f t="shared" si="14"/>
        <v>81416995.355599999</v>
      </c>
    </row>
    <row r="8" spans="2:43" x14ac:dyDescent="0.2">
      <c r="B8" s="3" t="s">
        <v>54</v>
      </c>
      <c r="C8" s="8">
        <f t="shared" si="11"/>
        <v>157162415.61600009</v>
      </c>
      <c r="D8" s="9">
        <f>'03A PV NOV200 bez proj.pomoc'!D31</f>
        <v>3929060.3904000008</v>
      </c>
      <c r="E8" s="9">
        <f>'03A PV NOV200 bez proj.pomoc'!E31</f>
        <v>3929060.3904000008</v>
      </c>
      <c r="F8" s="9">
        <f>'03A PV NOV200 bez proj.pomoc'!F31</f>
        <v>3929060.3904000008</v>
      </c>
      <c r="G8" s="9">
        <f>'03A PV NOV200 bez proj.pomoc'!G31</f>
        <v>3929060.3904000008</v>
      </c>
      <c r="H8" s="9">
        <f>'03A PV NOV200 bez proj.pomoc'!H31</f>
        <v>3929060.3904000008</v>
      </c>
      <c r="I8" s="9">
        <f>'03A PV NOV200 bez proj.pomoc'!I31</f>
        <v>3929060.3904000008</v>
      </c>
      <c r="J8" s="9">
        <f>'03A PV NOV200 bez proj.pomoc'!J31</f>
        <v>3929060.3904000008</v>
      </c>
      <c r="K8" s="9">
        <f>'03A PV NOV200 bez proj.pomoc'!K31</f>
        <v>3929060.3904000008</v>
      </c>
      <c r="L8" s="9">
        <f>'03A PV NOV200 bez proj.pomoc'!L31</f>
        <v>3929060.3904000008</v>
      </c>
      <c r="M8" s="9">
        <f>'03A PV NOV200 bez proj.pomoc'!M31</f>
        <v>3929060.3904000008</v>
      </c>
      <c r="N8" s="9">
        <f>'03A PV NOV200 bez proj.pomoc'!N31</f>
        <v>3929060.3904000008</v>
      </c>
      <c r="O8" s="9">
        <f>'03A PV NOV200 bez proj.pomoc'!O31</f>
        <v>3929060.3904000008</v>
      </c>
      <c r="P8" s="9">
        <f>'03A PV NOV200 bez proj.pomoc'!P31</f>
        <v>3929060.3904000008</v>
      </c>
      <c r="Q8" s="9">
        <f>'03A PV NOV200 bez proj.pomoc'!Q31</f>
        <v>3929060.3904000008</v>
      </c>
      <c r="R8" s="9">
        <f>'03A PV NOV200 bez proj.pomoc'!R31</f>
        <v>3929060.3904000008</v>
      </c>
      <c r="S8" s="9">
        <f>'03A PV NOV200 bez proj.pomoc'!S31</f>
        <v>3929060.3904000008</v>
      </c>
      <c r="T8" s="9">
        <f>'03A PV NOV200 bez proj.pomoc'!T31</f>
        <v>3929060.3904000008</v>
      </c>
      <c r="U8" s="9">
        <f>'03A PV NOV200 bez proj.pomoc'!U31</f>
        <v>3929060.3904000008</v>
      </c>
      <c r="V8" s="9">
        <f>'03A PV NOV200 bez proj.pomoc'!V31</f>
        <v>3929060.3904000008</v>
      </c>
      <c r="W8" s="9">
        <f>'03A PV NOV200 bez proj.pomoc'!W31</f>
        <v>3929060.3904000008</v>
      </c>
      <c r="X8" s="9">
        <f>'03A PV NOV200 bez proj.pomoc'!X31</f>
        <v>3929060.3904000008</v>
      </c>
      <c r="Y8" s="9">
        <f>'03A PV NOV200 bez proj.pomoc'!Y31</f>
        <v>3929060.3904000008</v>
      </c>
      <c r="Z8" s="9">
        <f>'03A PV NOV200 bez proj.pomoc'!Z31</f>
        <v>3929060.3904000008</v>
      </c>
      <c r="AA8" s="9">
        <f>'03A PV NOV200 bez proj.pomoc'!AA31</f>
        <v>3929060.3904000008</v>
      </c>
      <c r="AB8" s="9">
        <f>'03A PV NOV200 bez proj.pomoc'!AB31</f>
        <v>3929060.3904000008</v>
      </c>
      <c r="AC8" s="9">
        <f>'03A PV NOV200 bez proj.pomoc'!AC31</f>
        <v>3929060.3904000008</v>
      </c>
      <c r="AD8" s="9">
        <f>'03A PV NOV200 bez proj.pomoc'!AD31</f>
        <v>3929060.3904000008</v>
      </c>
      <c r="AE8" s="9">
        <f>'03A PV NOV200 bez proj.pomoc'!AE31</f>
        <v>3929060.3904000008</v>
      </c>
      <c r="AF8" s="9">
        <f>'03A PV NOV200 bez proj.pomoc'!AF31</f>
        <v>3929060.3904000008</v>
      </c>
      <c r="AG8" s="9">
        <f>'03A PV NOV200 bez proj.pomoc'!AG31</f>
        <v>3929060.3904000008</v>
      </c>
      <c r="AH8" s="9">
        <f>'03A PV NOV200 bez proj.pomoc'!AH31</f>
        <v>3929060.3904000008</v>
      </c>
      <c r="AI8" s="9">
        <f>'03A PV NOV200 bez proj.pomoc'!AI31</f>
        <v>3929060.3904000008</v>
      </c>
      <c r="AJ8" s="9">
        <f>'03A PV NOV200 bez proj.pomoc'!AJ31</f>
        <v>3929060.3904000008</v>
      </c>
      <c r="AK8" s="9">
        <f>'03A PV NOV200 bez proj.pomoc'!AK31</f>
        <v>3929060.3904000008</v>
      </c>
      <c r="AL8" s="9">
        <f>'03A PV NOV200 bez proj.pomoc'!AL31</f>
        <v>3929060.3904000008</v>
      </c>
      <c r="AM8" s="9">
        <f>'03A PV NOV200 bez proj.pomoc'!AM31</f>
        <v>3929060.3904000008</v>
      </c>
      <c r="AN8" s="9">
        <f>'03A PV NOV200 bez proj.pomoc'!AN31</f>
        <v>3929060.3904000008</v>
      </c>
      <c r="AO8" s="9">
        <f>'03A PV NOV200 bez proj.pomoc'!AO31</f>
        <v>3929060.3904000008</v>
      </c>
      <c r="AP8" s="9">
        <f>'03A PV NOV200 bez proj.pomoc'!AP31</f>
        <v>3929060.3904000008</v>
      </c>
      <c r="AQ8" s="9">
        <f>'03A PV NOV200 bez proj.pomoc'!AQ31</f>
        <v>3929060.3904000008</v>
      </c>
    </row>
    <row r="9" spans="2:43" ht="12" thickBot="1" x14ac:dyDescent="0.25">
      <c r="B9" s="20" t="s">
        <v>52</v>
      </c>
      <c r="C9" s="21">
        <f t="shared" si="11"/>
        <v>157162415.61600009</v>
      </c>
      <c r="D9" s="21">
        <f t="shared" ref="D9:AG9" si="15">SUM(D8:D8)</f>
        <v>3929060.3904000008</v>
      </c>
      <c r="E9" s="21">
        <f t="shared" si="15"/>
        <v>3929060.3904000008</v>
      </c>
      <c r="F9" s="21">
        <f t="shared" si="15"/>
        <v>3929060.3904000008</v>
      </c>
      <c r="G9" s="21">
        <f t="shared" si="15"/>
        <v>3929060.3904000008</v>
      </c>
      <c r="H9" s="21">
        <f t="shared" si="15"/>
        <v>3929060.3904000008</v>
      </c>
      <c r="I9" s="21">
        <f t="shared" si="15"/>
        <v>3929060.3904000008</v>
      </c>
      <c r="J9" s="21">
        <f t="shared" si="15"/>
        <v>3929060.3904000008</v>
      </c>
      <c r="K9" s="21">
        <f t="shared" si="15"/>
        <v>3929060.3904000008</v>
      </c>
      <c r="L9" s="21">
        <f t="shared" si="15"/>
        <v>3929060.3904000008</v>
      </c>
      <c r="M9" s="21">
        <f t="shared" si="15"/>
        <v>3929060.3904000008</v>
      </c>
      <c r="N9" s="21">
        <f t="shared" si="15"/>
        <v>3929060.3904000008</v>
      </c>
      <c r="O9" s="21">
        <f t="shared" si="15"/>
        <v>3929060.3904000008</v>
      </c>
      <c r="P9" s="21">
        <f t="shared" si="15"/>
        <v>3929060.3904000008</v>
      </c>
      <c r="Q9" s="21">
        <f t="shared" si="15"/>
        <v>3929060.3904000008</v>
      </c>
      <c r="R9" s="21">
        <f t="shared" si="15"/>
        <v>3929060.3904000008</v>
      </c>
      <c r="S9" s="21">
        <f t="shared" si="15"/>
        <v>3929060.3904000008</v>
      </c>
      <c r="T9" s="21">
        <f t="shared" si="15"/>
        <v>3929060.3904000008</v>
      </c>
      <c r="U9" s="21">
        <f t="shared" si="15"/>
        <v>3929060.3904000008</v>
      </c>
      <c r="V9" s="21">
        <f t="shared" si="15"/>
        <v>3929060.3904000008</v>
      </c>
      <c r="W9" s="21">
        <f t="shared" si="15"/>
        <v>3929060.3904000008</v>
      </c>
      <c r="X9" s="21">
        <f t="shared" si="15"/>
        <v>3929060.3904000008</v>
      </c>
      <c r="Y9" s="21">
        <f t="shared" si="15"/>
        <v>3929060.3904000008</v>
      </c>
      <c r="Z9" s="21">
        <f t="shared" si="15"/>
        <v>3929060.3904000008</v>
      </c>
      <c r="AA9" s="21">
        <f t="shared" si="15"/>
        <v>3929060.3904000008</v>
      </c>
      <c r="AB9" s="21">
        <f t="shared" si="15"/>
        <v>3929060.3904000008</v>
      </c>
      <c r="AC9" s="21">
        <f t="shared" si="15"/>
        <v>3929060.3904000008</v>
      </c>
      <c r="AD9" s="21">
        <f t="shared" si="15"/>
        <v>3929060.3904000008</v>
      </c>
      <c r="AE9" s="21">
        <f t="shared" si="15"/>
        <v>3929060.3904000008</v>
      </c>
      <c r="AF9" s="21">
        <f t="shared" si="15"/>
        <v>3929060.3904000008</v>
      </c>
      <c r="AG9" s="21">
        <f t="shared" si="15"/>
        <v>3929060.3904000008</v>
      </c>
      <c r="AH9" s="21">
        <f t="shared" ref="AH9:AN9" si="16">SUM(AH8:AH8)</f>
        <v>3929060.3904000008</v>
      </c>
      <c r="AI9" s="21">
        <f t="shared" si="16"/>
        <v>3929060.3904000008</v>
      </c>
      <c r="AJ9" s="21">
        <f t="shared" si="16"/>
        <v>3929060.3904000008</v>
      </c>
      <c r="AK9" s="21">
        <f t="shared" si="16"/>
        <v>3929060.3904000008</v>
      </c>
      <c r="AL9" s="21">
        <f t="shared" si="16"/>
        <v>3929060.3904000008</v>
      </c>
      <c r="AM9" s="21">
        <f t="shared" si="16"/>
        <v>3929060.3904000008</v>
      </c>
      <c r="AN9" s="21">
        <f t="shared" si="16"/>
        <v>3929060.3904000008</v>
      </c>
      <c r="AO9" s="21">
        <f t="shared" ref="AO9:AQ9" si="17">SUM(AO8:AO8)</f>
        <v>3929060.3904000008</v>
      </c>
      <c r="AP9" s="21">
        <f t="shared" si="17"/>
        <v>3929060.3904000008</v>
      </c>
      <c r="AQ9" s="21">
        <f t="shared" si="17"/>
        <v>3929060.3904000008</v>
      </c>
    </row>
    <row r="10" spans="2:43" ht="12" thickTop="1" x14ac:dyDescent="0.2">
      <c r="B10" s="22" t="s">
        <v>51</v>
      </c>
      <c r="C10" s="23">
        <f t="shared" si="11"/>
        <v>1645042229.8400011</v>
      </c>
      <c r="D10" s="23">
        <f t="shared" ref="D10:AG10" si="18">SUM(D7,D9)</f>
        <v>31746055.746000003</v>
      </c>
      <c r="E10" s="23">
        <f t="shared" si="18"/>
        <v>31746055.746000003</v>
      </c>
      <c r="F10" s="23">
        <f t="shared" si="18"/>
        <v>31746055.746000003</v>
      </c>
      <c r="G10" s="23">
        <f t="shared" si="18"/>
        <v>31746055.746000003</v>
      </c>
      <c r="H10" s="23">
        <f t="shared" si="18"/>
        <v>31746055.746000003</v>
      </c>
      <c r="I10" s="23">
        <f t="shared" si="18"/>
        <v>58546055.745999999</v>
      </c>
      <c r="J10" s="23">
        <f t="shared" si="18"/>
        <v>58546055.745999999</v>
      </c>
      <c r="K10" s="23">
        <f t="shared" si="18"/>
        <v>31746055.746000003</v>
      </c>
      <c r="L10" s="23">
        <f t="shared" si="18"/>
        <v>31746055.746000003</v>
      </c>
      <c r="M10" s="23">
        <f t="shared" si="18"/>
        <v>31746055.746000003</v>
      </c>
      <c r="N10" s="23">
        <f t="shared" si="18"/>
        <v>31746055.746000003</v>
      </c>
      <c r="O10" s="23">
        <f t="shared" si="18"/>
        <v>31746055.746000003</v>
      </c>
      <c r="P10" s="23">
        <f t="shared" si="18"/>
        <v>31746055.746000003</v>
      </c>
      <c r="Q10" s="23">
        <f t="shared" si="18"/>
        <v>31746055.746000003</v>
      </c>
      <c r="R10" s="23">
        <f t="shared" si="18"/>
        <v>31746055.746000003</v>
      </c>
      <c r="S10" s="23">
        <f t="shared" si="18"/>
        <v>85346055.746000007</v>
      </c>
      <c r="T10" s="23">
        <f t="shared" si="18"/>
        <v>85346055.746000007</v>
      </c>
      <c r="U10" s="23">
        <f t="shared" si="18"/>
        <v>31746055.746000003</v>
      </c>
      <c r="V10" s="23">
        <f t="shared" si="18"/>
        <v>31746055.746000003</v>
      </c>
      <c r="W10" s="23">
        <f t="shared" si="18"/>
        <v>31746055.746000003</v>
      </c>
      <c r="X10" s="23">
        <f t="shared" si="18"/>
        <v>31746055.746000003</v>
      </c>
      <c r="Y10" s="23">
        <f t="shared" si="18"/>
        <v>31746055.746000003</v>
      </c>
      <c r="Z10" s="23">
        <f t="shared" si="18"/>
        <v>31746055.746000003</v>
      </c>
      <c r="AA10" s="23">
        <f t="shared" si="18"/>
        <v>31746055.746000003</v>
      </c>
      <c r="AB10" s="23">
        <f t="shared" si="18"/>
        <v>31746055.746000003</v>
      </c>
      <c r="AC10" s="23">
        <f t="shared" si="18"/>
        <v>58546055.745999999</v>
      </c>
      <c r="AD10" s="23">
        <f t="shared" si="18"/>
        <v>58546055.745999999</v>
      </c>
      <c r="AE10" s="23">
        <f t="shared" si="18"/>
        <v>31746055.746000003</v>
      </c>
      <c r="AF10" s="23">
        <f t="shared" si="18"/>
        <v>31746055.746000003</v>
      </c>
      <c r="AG10" s="23">
        <f t="shared" si="18"/>
        <v>31746055.746000003</v>
      </c>
      <c r="AH10" s="23">
        <f t="shared" ref="AH10:AN10" si="19">SUM(AH7,AH9)</f>
        <v>31746055.746000003</v>
      </c>
      <c r="AI10" s="23">
        <f t="shared" si="19"/>
        <v>31746055.746000003</v>
      </c>
      <c r="AJ10" s="23">
        <f t="shared" si="19"/>
        <v>31746055.746000003</v>
      </c>
      <c r="AK10" s="23">
        <f t="shared" si="19"/>
        <v>31746055.746000003</v>
      </c>
      <c r="AL10" s="23">
        <f t="shared" si="19"/>
        <v>31746055.746000003</v>
      </c>
      <c r="AM10" s="23">
        <f t="shared" si="19"/>
        <v>85346055.746000007</v>
      </c>
      <c r="AN10" s="23">
        <f t="shared" si="19"/>
        <v>85346055.746000007</v>
      </c>
      <c r="AO10" s="23">
        <f t="shared" ref="AO10:AQ10" si="20">SUM(AO7,AO9)</f>
        <v>31746055.746000003</v>
      </c>
      <c r="AP10" s="23">
        <f t="shared" si="20"/>
        <v>31746055.746000003</v>
      </c>
      <c r="AQ10" s="23">
        <f t="shared" si="20"/>
        <v>85346055.746000007</v>
      </c>
    </row>
    <row r="13" spans="2:43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2:43" x14ac:dyDescent="0.2">
      <c r="B14" s="4" t="s">
        <v>55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  <c r="AH14" s="5">
        <v>31</v>
      </c>
      <c r="AI14" s="5">
        <v>32</v>
      </c>
      <c r="AJ14" s="5">
        <v>33</v>
      </c>
      <c r="AK14" s="5">
        <v>34</v>
      </c>
      <c r="AL14" s="5">
        <v>35</v>
      </c>
      <c r="AM14" s="5">
        <v>36</v>
      </c>
      <c r="AN14" s="5">
        <v>37</v>
      </c>
      <c r="AO14" s="5">
        <v>38</v>
      </c>
      <c r="AP14" s="5">
        <v>39</v>
      </c>
      <c r="AQ14" s="5">
        <v>40</v>
      </c>
    </row>
    <row r="15" spans="2:43" x14ac:dyDescent="0.2">
      <c r="B15" s="6" t="s">
        <v>34</v>
      </c>
      <c r="C15" s="6" t="s">
        <v>9</v>
      </c>
      <c r="D15" s="7">
        <f>D4</f>
        <v>2026</v>
      </c>
      <c r="E15" s="7">
        <f>$D$4+D14</f>
        <v>2027</v>
      </c>
      <c r="F15" s="7">
        <f>$D$4+E14</f>
        <v>2028</v>
      </c>
      <c r="G15" s="7">
        <f>$D$4+F14</f>
        <v>2029</v>
      </c>
      <c r="H15" s="7">
        <f t="shared" ref="H15:AG15" si="21">$D$4+G14</f>
        <v>2030</v>
      </c>
      <c r="I15" s="7">
        <f t="shared" si="21"/>
        <v>2031</v>
      </c>
      <c r="J15" s="7">
        <f t="shared" si="21"/>
        <v>2032</v>
      </c>
      <c r="K15" s="7">
        <f t="shared" si="21"/>
        <v>2033</v>
      </c>
      <c r="L15" s="7">
        <f t="shared" si="21"/>
        <v>2034</v>
      </c>
      <c r="M15" s="7">
        <f t="shared" si="21"/>
        <v>2035</v>
      </c>
      <c r="N15" s="7">
        <f t="shared" si="21"/>
        <v>2036</v>
      </c>
      <c r="O15" s="7">
        <f t="shared" si="21"/>
        <v>2037</v>
      </c>
      <c r="P15" s="7">
        <f t="shared" si="21"/>
        <v>2038</v>
      </c>
      <c r="Q15" s="7">
        <f t="shared" si="21"/>
        <v>2039</v>
      </c>
      <c r="R15" s="7">
        <f t="shared" si="21"/>
        <v>2040</v>
      </c>
      <c r="S15" s="7">
        <f t="shared" si="21"/>
        <v>2041</v>
      </c>
      <c r="T15" s="7">
        <f t="shared" si="21"/>
        <v>2042</v>
      </c>
      <c r="U15" s="7">
        <f t="shared" si="21"/>
        <v>2043</v>
      </c>
      <c r="V15" s="7">
        <f t="shared" si="21"/>
        <v>2044</v>
      </c>
      <c r="W15" s="7">
        <f t="shared" si="21"/>
        <v>2045</v>
      </c>
      <c r="X15" s="7">
        <f t="shared" si="21"/>
        <v>2046</v>
      </c>
      <c r="Y15" s="7">
        <f t="shared" si="21"/>
        <v>2047</v>
      </c>
      <c r="Z15" s="7">
        <f t="shared" si="21"/>
        <v>2048</v>
      </c>
      <c r="AA15" s="7">
        <f t="shared" si="21"/>
        <v>2049</v>
      </c>
      <c r="AB15" s="7">
        <f t="shared" si="21"/>
        <v>2050</v>
      </c>
      <c r="AC15" s="7">
        <f t="shared" si="21"/>
        <v>2051</v>
      </c>
      <c r="AD15" s="7">
        <f t="shared" si="21"/>
        <v>2052</v>
      </c>
      <c r="AE15" s="7">
        <f t="shared" si="21"/>
        <v>2053</v>
      </c>
      <c r="AF15" s="7">
        <f t="shared" si="21"/>
        <v>2054</v>
      </c>
      <c r="AG15" s="7">
        <f t="shared" si="21"/>
        <v>2055</v>
      </c>
      <c r="AH15" s="7">
        <f t="shared" ref="AH15" si="22">$D$4+AG14</f>
        <v>2056</v>
      </c>
      <c r="AI15" s="7">
        <f t="shared" ref="AI15" si="23">$D$4+AH14</f>
        <v>2057</v>
      </c>
      <c r="AJ15" s="7">
        <f t="shared" ref="AJ15" si="24">$D$4+AI14</f>
        <v>2058</v>
      </c>
      <c r="AK15" s="7">
        <f t="shared" ref="AK15" si="25">$D$4+AJ14</f>
        <v>2059</v>
      </c>
      <c r="AL15" s="7">
        <f t="shared" ref="AL15" si="26">$D$4+AK14</f>
        <v>2060</v>
      </c>
      <c r="AM15" s="7">
        <f t="shared" ref="AM15" si="27">$D$4+AL14</f>
        <v>2061</v>
      </c>
      <c r="AN15" s="7">
        <f t="shared" ref="AN15" si="28">$D$4+AM14</f>
        <v>2062</v>
      </c>
      <c r="AO15" s="7">
        <f t="shared" ref="AO15" si="29">$D$4+AN14</f>
        <v>2063</v>
      </c>
      <c r="AP15" s="7">
        <f t="shared" ref="AP15" si="30">$D$4+AO14</f>
        <v>2064</v>
      </c>
      <c r="AQ15" s="7">
        <f t="shared" ref="AQ15" si="31">$D$4+AP14</f>
        <v>2065</v>
      </c>
    </row>
    <row r="16" spans="2:43" x14ac:dyDescent="0.2">
      <c r="B16" s="3" t="s">
        <v>281</v>
      </c>
      <c r="C16" s="8">
        <f t="shared" ref="C16:C21" si="32">SUM(D16:AQ16)</f>
        <v>849562262.27729964</v>
      </c>
      <c r="D16" s="9">
        <f>'03B PV NOV200 s proj.pomoc'!D46</f>
        <v>27816995.355600003</v>
      </c>
      <c r="E16" s="9">
        <f>'03B PV NOV200 s proj.pomoc'!E46</f>
        <v>27816995.355600003</v>
      </c>
      <c r="F16" s="9">
        <f>'03B PV NOV200 s proj.pomoc'!F46</f>
        <v>27816995.355600003</v>
      </c>
      <c r="G16" s="9">
        <f>'03B PV NOV200 s proj.pomoc'!G46</f>
        <v>27816995.355600003</v>
      </c>
      <c r="H16" s="9">
        <f>'03B PV NOV200 s proj.pomoc'!H46</f>
        <v>25034394.6435</v>
      </c>
      <c r="I16" s="9">
        <f>'03B PV NOV200 s proj.pomoc'!I46</f>
        <v>22251793.931400001</v>
      </c>
      <c r="J16" s="9">
        <f>'03B PV NOV200 s proj.pomoc'!J46</f>
        <v>20323767.420000002</v>
      </c>
      <c r="K16" s="9">
        <f>'03B PV NOV200 s proj.pomoc'!K46</f>
        <v>20323767.420000002</v>
      </c>
      <c r="L16" s="9">
        <f>'03B PV NOV200 s proj.pomoc'!L46</f>
        <v>20323767.420000002</v>
      </c>
      <c r="M16" s="9">
        <f>'03B PV NOV200 s proj.pomoc'!M46</f>
        <v>20323767.420000002</v>
      </c>
      <c r="N16" s="9">
        <f>'03B PV NOV200 s proj.pomoc'!N46</f>
        <v>20323767.420000002</v>
      </c>
      <c r="O16" s="9">
        <f>'03B PV NOV200 s proj.pomoc'!O46</f>
        <v>20323767.420000002</v>
      </c>
      <c r="P16" s="9">
        <f>'03B PV NOV200 s proj.pomoc'!P46</f>
        <v>20323767.420000002</v>
      </c>
      <c r="Q16" s="9">
        <f>'03B PV NOV200 s proj.pomoc'!Q46</f>
        <v>20323767.420000002</v>
      </c>
      <c r="R16" s="9">
        <f>'03B PV NOV200 s proj.pomoc'!R46</f>
        <v>20323767.420000002</v>
      </c>
      <c r="S16" s="9">
        <f>'03B PV NOV200 s proj.pomoc'!S46</f>
        <v>20323767.420000002</v>
      </c>
      <c r="T16" s="9">
        <f>'03B PV NOV200 s proj.pomoc'!T46</f>
        <v>20323767.420000002</v>
      </c>
      <c r="U16" s="9">
        <f>'03B PV NOV200 s proj.pomoc'!U46</f>
        <v>20323767.420000002</v>
      </c>
      <c r="V16" s="9">
        <f>'03B PV NOV200 s proj.pomoc'!V46</f>
        <v>20323767.420000002</v>
      </c>
      <c r="W16" s="9">
        <f>'03B PV NOV200 s proj.pomoc'!W46</f>
        <v>20323767.420000002</v>
      </c>
      <c r="X16" s="9">
        <f>'03B PV NOV200 s proj.pomoc'!X46</f>
        <v>20323767.420000002</v>
      </c>
      <c r="Y16" s="9">
        <f>'03B PV NOV200 s proj.pomoc'!Y46</f>
        <v>20323767.420000002</v>
      </c>
      <c r="Z16" s="9">
        <f>'03B PV NOV200 s proj.pomoc'!Z46</f>
        <v>20323767.420000002</v>
      </c>
      <c r="AA16" s="9">
        <f>'03B PV NOV200 s proj.pomoc'!AA46</f>
        <v>20323767.420000002</v>
      </c>
      <c r="AB16" s="9">
        <f>'03B PV NOV200 s proj.pomoc'!AB46</f>
        <v>20323767.420000002</v>
      </c>
      <c r="AC16" s="9">
        <f>'03B PV NOV200 s proj.pomoc'!AC46</f>
        <v>20323767.420000002</v>
      </c>
      <c r="AD16" s="9">
        <f>'03B PV NOV200 s proj.pomoc'!AD46</f>
        <v>20323767.420000002</v>
      </c>
      <c r="AE16" s="9">
        <f>'03B PV NOV200 s proj.pomoc'!AE46</f>
        <v>20323767.420000002</v>
      </c>
      <c r="AF16" s="9">
        <f>'03B PV NOV200 s proj.pomoc'!AF46</f>
        <v>20323767.420000002</v>
      </c>
      <c r="AG16" s="9">
        <f>'03B PV NOV200 s proj.pomoc'!AG46</f>
        <v>20323767.420000002</v>
      </c>
      <c r="AH16" s="9">
        <f>'03B PV NOV200 s proj.pomoc'!AH46</f>
        <v>20323767.420000002</v>
      </c>
      <c r="AI16" s="9">
        <f>'03B PV NOV200 s proj.pomoc'!AI46</f>
        <v>20323767.420000002</v>
      </c>
      <c r="AJ16" s="9">
        <f>'03B PV NOV200 s proj.pomoc'!AJ46</f>
        <v>20323767.420000002</v>
      </c>
      <c r="AK16" s="9">
        <f>'03B PV NOV200 s proj.pomoc'!AK46</f>
        <v>20323767.420000002</v>
      </c>
      <c r="AL16" s="9">
        <f>'03B PV NOV200 s proj.pomoc'!AL46</f>
        <v>20323767.420000002</v>
      </c>
      <c r="AM16" s="9">
        <f>'03B PV NOV200 s proj.pomoc'!AM46</f>
        <v>20323767.420000002</v>
      </c>
      <c r="AN16" s="9">
        <f>'03B PV NOV200 s proj.pomoc'!AN46</f>
        <v>20323767.420000002</v>
      </c>
      <c r="AO16" s="9">
        <f>'03B PV NOV200 s proj.pomoc'!AO46</f>
        <v>20323767.420000002</v>
      </c>
      <c r="AP16" s="9">
        <f>'03B PV NOV200 s proj.pomoc'!AP46</f>
        <v>20323767.420000002</v>
      </c>
      <c r="AQ16" s="9">
        <f>'03B PV NOV200 s proj.pomoc'!AQ46</f>
        <v>20323767.420000002</v>
      </c>
    </row>
    <row r="17" spans="2:43" x14ac:dyDescent="0.2">
      <c r="B17" s="3" t="s">
        <v>279</v>
      </c>
      <c r="C17" s="8">
        <f t="shared" si="32"/>
        <v>70776300</v>
      </c>
      <c r="D17" s="9">
        <f>'03B PV NOV200 s proj.pomoc'!D47</f>
        <v>0</v>
      </c>
      <c r="E17" s="9">
        <f>'03B PV NOV200 s proj.pomoc'!E47</f>
        <v>0</v>
      </c>
      <c r="F17" s="9">
        <f>'03B PV NOV200 s proj.pomoc'!F47</f>
        <v>0</v>
      </c>
      <c r="G17" s="9">
        <f>'03B PV NOV200 s proj.pomoc'!G47</f>
        <v>0</v>
      </c>
      <c r="H17" s="9">
        <f>'03B PV NOV200 s proj.pomoc'!H47</f>
        <v>0</v>
      </c>
      <c r="I17" s="9">
        <f>'03B PV NOV200 s proj.pomoc'!I47</f>
        <v>0</v>
      </c>
      <c r="J17" s="9">
        <f>'03B PV NOV200 s proj.pomoc'!J47</f>
        <v>0</v>
      </c>
      <c r="K17" s="9">
        <f>'03B PV NOV200 s proj.pomoc'!K47</f>
        <v>0</v>
      </c>
      <c r="L17" s="9">
        <f>'03B PV NOV200 s proj.pomoc'!L47</f>
        <v>0</v>
      </c>
      <c r="M17" s="9">
        <f>'03B PV NOV200 s proj.pomoc'!M47</f>
        <v>0</v>
      </c>
      <c r="N17" s="9">
        <f>'03B PV NOV200 s proj.pomoc'!N47</f>
        <v>0</v>
      </c>
      <c r="O17" s="9">
        <f>'03B PV NOV200 s proj.pomoc'!O47</f>
        <v>0</v>
      </c>
      <c r="P17" s="9">
        <f>'03B PV NOV200 s proj.pomoc'!P47</f>
        <v>0</v>
      </c>
      <c r="Q17" s="9">
        <f>'03B PV NOV200 s proj.pomoc'!Q47</f>
        <v>0</v>
      </c>
      <c r="R17" s="9">
        <f>'03B PV NOV200 s proj.pomoc'!R47</f>
        <v>0</v>
      </c>
      <c r="S17" s="9">
        <f>'03B PV NOV200 s proj.pomoc'!S47</f>
        <v>0</v>
      </c>
      <c r="T17" s="9">
        <f>'03B PV NOV200 s proj.pomoc'!T47</f>
        <v>0</v>
      </c>
      <c r="U17" s="9">
        <f>'03B PV NOV200 s proj.pomoc'!U47</f>
        <v>0</v>
      </c>
      <c r="V17" s="9">
        <f>'03B PV NOV200 s proj.pomoc'!V47</f>
        <v>0</v>
      </c>
      <c r="W17" s="9">
        <f>'03B PV NOV200 s proj.pomoc'!W47</f>
        <v>0</v>
      </c>
      <c r="X17" s="9">
        <f>'03B PV NOV200 s proj.pomoc'!X47</f>
        <v>0</v>
      </c>
      <c r="Y17" s="9">
        <f>'03B PV NOV200 s proj.pomoc'!Y47</f>
        <v>0</v>
      </c>
      <c r="Z17" s="9">
        <f>'03B PV NOV200 s proj.pomoc'!Z47</f>
        <v>0</v>
      </c>
      <c r="AA17" s="9">
        <f>'03B PV NOV200 s proj.pomoc'!AA47</f>
        <v>0</v>
      </c>
      <c r="AB17" s="9">
        <f>'03B PV NOV200 s proj.pomoc'!AB47</f>
        <v>0</v>
      </c>
      <c r="AC17" s="9">
        <f>'03B PV NOV200 s proj.pomoc'!AC47</f>
        <v>23592100</v>
      </c>
      <c r="AD17" s="9">
        <f>'03B PV NOV200 s proj.pomoc'!AD47</f>
        <v>0</v>
      </c>
      <c r="AE17" s="9">
        <f>'03B PV NOV200 s proj.pomoc'!AE47</f>
        <v>0</v>
      </c>
      <c r="AF17" s="9">
        <f>'03B PV NOV200 s proj.pomoc'!AF47</f>
        <v>0</v>
      </c>
      <c r="AG17" s="9">
        <f>'03B PV NOV200 s proj.pomoc'!AG47</f>
        <v>0</v>
      </c>
      <c r="AH17" s="9">
        <f>'03B PV NOV200 s proj.pomoc'!AH47</f>
        <v>0</v>
      </c>
      <c r="AI17" s="9">
        <f>'03B PV NOV200 s proj.pomoc'!AI47</f>
        <v>0</v>
      </c>
      <c r="AJ17" s="9">
        <f>'03B PV NOV200 s proj.pomoc'!AJ47</f>
        <v>0</v>
      </c>
      <c r="AK17" s="9">
        <f>'03B PV NOV200 s proj.pomoc'!AK47</f>
        <v>0</v>
      </c>
      <c r="AL17" s="9">
        <f>'03B PV NOV200 s proj.pomoc'!AL47</f>
        <v>0</v>
      </c>
      <c r="AM17" s="9">
        <f>'03B PV NOV200 s proj.pomoc'!AM47</f>
        <v>47184200</v>
      </c>
      <c r="AN17" s="9">
        <f>'03B PV NOV200 s proj.pomoc'!AN47</f>
        <v>0</v>
      </c>
      <c r="AO17" s="9">
        <f>'03B PV NOV200 s proj.pomoc'!AO47</f>
        <v>0</v>
      </c>
      <c r="AP17" s="9">
        <f>'03B PV NOV200 s proj.pomoc'!AP47</f>
        <v>0</v>
      </c>
      <c r="AQ17" s="9">
        <f>'03B PV NOV200 s proj.pomoc'!AQ47</f>
        <v>0</v>
      </c>
    </row>
    <row r="18" spans="2:43" x14ac:dyDescent="0.2">
      <c r="B18" s="4" t="s">
        <v>278</v>
      </c>
      <c r="C18" s="13">
        <f t="shared" si="32"/>
        <v>920338562.27729964</v>
      </c>
      <c r="D18" s="13">
        <f t="shared" ref="D18:AG18" si="33">SUM(D16:D17)</f>
        <v>27816995.355600003</v>
      </c>
      <c r="E18" s="13">
        <f t="shared" si="33"/>
        <v>27816995.355600003</v>
      </c>
      <c r="F18" s="13">
        <f t="shared" si="33"/>
        <v>27816995.355600003</v>
      </c>
      <c r="G18" s="13">
        <f t="shared" si="33"/>
        <v>27816995.355600003</v>
      </c>
      <c r="H18" s="13">
        <f t="shared" si="33"/>
        <v>25034394.6435</v>
      </c>
      <c r="I18" s="13">
        <f t="shared" si="33"/>
        <v>22251793.931400001</v>
      </c>
      <c r="J18" s="13">
        <f t="shared" si="33"/>
        <v>20323767.420000002</v>
      </c>
      <c r="K18" s="13">
        <f t="shared" si="33"/>
        <v>20323767.420000002</v>
      </c>
      <c r="L18" s="13">
        <f t="shared" si="33"/>
        <v>20323767.420000002</v>
      </c>
      <c r="M18" s="13">
        <f t="shared" si="33"/>
        <v>20323767.420000002</v>
      </c>
      <c r="N18" s="13">
        <f t="shared" si="33"/>
        <v>20323767.420000002</v>
      </c>
      <c r="O18" s="13">
        <f t="shared" si="33"/>
        <v>20323767.420000002</v>
      </c>
      <c r="P18" s="13">
        <f t="shared" si="33"/>
        <v>20323767.420000002</v>
      </c>
      <c r="Q18" s="13">
        <f t="shared" si="33"/>
        <v>20323767.420000002</v>
      </c>
      <c r="R18" s="13">
        <f t="shared" si="33"/>
        <v>20323767.420000002</v>
      </c>
      <c r="S18" s="13">
        <f t="shared" si="33"/>
        <v>20323767.420000002</v>
      </c>
      <c r="T18" s="13">
        <f t="shared" si="33"/>
        <v>20323767.420000002</v>
      </c>
      <c r="U18" s="13">
        <f t="shared" si="33"/>
        <v>20323767.420000002</v>
      </c>
      <c r="V18" s="13">
        <f t="shared" si="33"/>
        <v>20323767.420000002</v>
      </c>
      <c r="W18" s="13">
        <f t="shared" si="33"/>
        <v>20323767.420000002</v>
      </c>
      <c r="X18" s="13">
        <f t="shared" si="33"/>
        <v>20323767.420000002</v>
      </c>
      <c r="Y18" s="13">
        <f t="shared" si="33"/>
        <v>20323767.420000002</v>
      </c>
      <c r="Z18" s="13">
        <f t="shared" si="33"/>
        <v>20323767.420000002</v>
      </c>
      <c r="AA18" s="13">
        <f t="shared" si="33"/>
        <v>20323767.420000002</v>
      </c>
      <c r="AB18" s="13">
        <f t="shared" si="33"/>
        <v>20323767.420000002</v>
      </c>
      <c r="AC18" s="13">
        <f t="shared" si="33"/>
        <v>43915867.420000002</v>
      </c>
      <c r="AD18" s="13">
        <f t="shared" si="33"/>
        <v>20323767.420000002</v>
      </c>
      <c r="AE18" s="13">
        <f t="shared" si="33"/>
        <v>20323767.420000002</v>
      </c>
      <c r="AF18" s="13">
        <f t="shared" si="33"/>
        <v>20323767.420000002</v>
      </c>
      <c r="AG18" s="13">
        <f t="shared" si="33"/>
        <v>20323767.420000002</v>
      </c>
      <c r="AH18" s="13">
        <f t="shared" ref="AH18:AN18" si="34">SUM(AH16:AH17)</f>
        <v>20323767.420000002</v>
      </c>
      <c r="AI18" s="13">
        <f t="shared" si="34"/>
        <v>20323767.420000002</v>
      </c>
      <c r="AJ18" s="13">
        <f t="shared" si="34"/>
        <v>20323767.420000002</v>
      </c>
      <c r="AK18" s="13">
        <f t="shared" si="34"/>
        <v>20323767.420000002</v>
      </c>
      <c r="AL18" s="13">
        <f t="shared" si="34"/>
        <v>20323767.420000002</v>
      </c>
      <c r="AM18" s="13">
        <f t="shared" si="34"/>
        <v>67507967.420000002</v>
      </c>
      <c r="AN18" s="13">
        <f t="shared" si="34"/>
        <v>20323767.420000002</v>
      </c>
      <c r="AO18" s="13">
        <f t="shared" ref="AO18:AQ18" si="35">SUM(AO16:AO17)</f>
        <v>20323767.420000002</v>
      </c>
      <c r="AP18" s="13">
        <f t="shared" si="35"/>
        <v>20323767.420000002</v>
      </c>
      <c r="AQ18" s="13">
        <f t="shared" si="35"/>
        <v>20323767.420000002</v>
      </c>
    </row>
    <row r="19" spans="2:43" x14ac:dyDescent="0.2">
      <c r="B19" s="3" t="s">
        <v>54</v>
      </c>
      <c r="C19" s="8">
        <f t="shared" si="32"/>
        <v>209226977.16920012</v>
      </c>
      <c r="D19" s="9">
        <f>'03B PV NOV200 s proj.pomoc'!D49</f>
        <v>3929060.3904000008</v>
      </c>
      <c r="E19" s="9">
        <f>'03B PV NOV200 s proj.pomoc'!E49</f>
        <v>3929060.3904000008</v>
      </c>
      <c r="F19" s="9">
        <f>'03B PV NOV200 s proj.pomoc'!F49</f>
        <v>3929060.3904000008</v>
      </c>
      <c r="G19" s="9">
        <f>'03B PV NOV200 s proj.pomoc'!G49</f>
        <v>3929060.3904000008</v>
      </c>
      <c r="H19" s="9">
        <f>'03B PV NOV200 s proj.pomoc'!H49</f>
        <v>4484909.8020000001</v>
      </c>
      <c r="I19" s="9">
        <f>'03B PV NOV200 s proj.pomoc'!I49</f>
        <v>5040759.2136000004</v>
      </c>
      <c r="J19" s="9">
        <f>'03B PV NOV200 s proj.pomoc'!J49</f>
        <v>5411325.4879999999</v>
      </c>
      <c r="K19" s="9">
        <f>'03B PV NOV200 s proj.pomoc'!K49</f>
        <v>5411325.4879999999</v>
      </c>
      <c r="L19" s="9">
        <f>'03B PV NOV200 s proj.pomoc'!L49</f>
        <v>5411325.4879999999</v>
      </c>
      <c r="M19" s="9">
        <f>'03B PV NOV200 s proj.pomoc'!M49</f>
        <v>5411325.4879999999</v>
      </c>
      <c r="N19" s="9">
        <f>'03B PV NOV200 s proj.pomoc'!N49</f>
        <v>5411325.4879999999</v>
      </c>
      <c r="O19" s="9">
        <f>'03B PV NOV200 s proj.pomoc'!O49</f>
        <v>5411325.4879999999</v>
      </c>
      <c r="P19" s="9">
        <f>'03B PV NOV200 s proj.pomoc'!P49</f>
        <v>5411325.4879999999</v>
      </c>
      <c r="Q19" s="9">
        <f>'03B PV NOV200 s proj.pomoc'!Q49</f>
        <v>5411325.4879999999</v>
      </c>
      <c r="R19" s="9">
        <f>'03B PV NOV200 s proj.pomoc'!R49</f>
        <v>5411325.4879999999</v>
      </c>
      <c r="S19" s="9">
        <f>'03B PV NOV200 s proj.pomoc'!S49</f>
        <v>5411325.4879999999</v>
      </c>
      <c r="T19" s="9">
        <f>'03B PV NOV200 s proj.pomoc'!T49</f>
        <v>5411325.4879999999</v>
      </c>
      <c r="U19" s="9">
        <f>'03B PV NOV200 s proj.pomoc'!U49</f>
        <v>5411325.4879999999</v>
      </c>
      <c r="V19" s="9">
        <f>'03B PV NOV200 s proj.pomoc'!V49</f>
        <v>5411325.4879999999</v>
      </c>
      <c r="W19" s="9">
        <f>'03B PV NOV200 s proj.pomoc'!W49</f>
        <v>5411325.4879999999</v>
      </c>
      <c r="X19" s="9">
        <f>'03B PV NOV200 s proj.pomoc'!X49</f>
        <v>5411325.4879999999</v>
      </c>
      <c r="Y19" s="9">
        <f>'03B PV NOV200 s proj.pomoc'!Y49</f>
        <v>5411325.4879999999</v>
      </c>
      <c r="Z19" s="9">
        <f>'03B PV NOV200 s proj.pomoc'!Z49</f>
        <v>5411325.4879999999</v>
      </c>
      <c r="AA19" s="9">
        <f>'03B PV NOV200 s proj.pomoc'!AA49</f>
        <v>5411325.4879999999</v>
      </c>
      <c r="AB19" s="9">
        <f>'03B PV NOV200 s proj.pomoc'!AB49</f>
        <v>5411325.4879999999</v>
      </c>
      <c r="AC19" s="9">
        <f>'03B PV NOV200 s proj.pomoc'!AC49</f>
        <v>5411325.4879999999</v>
      </c>
      <c r="AD19" s="9">
        <f>'03B PV NOV200 s proj.pomoc'!AD49</f>
        <v>5411325.4879999999</v>
      </c>
      <c r="AE19" s="9">
        <f>'03B PV NOV200 s proj.pomoc'!AE49</f>
        <v>5411325.4879999999</v>
      </c>
      <c r="AF19" s="9">
        <f>'03B PV NOV200 s proj.pomoc'!AF49</f>
        <v>5411325.4879999999</v>
      </c>
      <c r="AG19" s="9">
        <f>'03B PV NOV200 s proj.pomoc'!AG49</f>
        <v>5411325.4879999999</v>
      </c>
      <c r="AH19" s="9">
        <f>'03B PV NOV200 s proj.pomoc'!AH49</f>
        <v>5411325.4879999999</v>
      </c>
      <c r="AI19" s="9">
        <f>'03B PV NOV200 s proj.pomoc'!AI49</f>
        <v>5411325.4879999999</v>
      </c>
      <c r="AJ19" s="9">
        <f>'03B PV NOV200 s proj.pomoc'!AJ49</f>
        <v>5411325.4879999999</v>
      </c>
      <c r="AK19" s="9">
        <f>'03B PV NOV200 s proj.pomoc'!AK49</f>
        <v>5411325.4879999999</v>
      </c>
      <c r="AL19" s="9">
        <f>'03B PV NOV200 s proj.pomoc'!AL49</f>
        <v>5411325.4879999999</v>
      </c>
      <c r="AM19" s="9">
        <f>'03B PV NOV200 s proj.pomoc'!AM49</f>
        <v>5411325.4879999999</v>
      </c>
      <c r="AN19" s="9">
        <f>'03B PV NOV200 s proj.pomoc'!AN49</f>
        <v>5411325.4879999999</v>
      </c>
      <c r="AO19" s="9">
        <f>'03B PV NOV200 s proj.pomoc'!AO49</f>
        <v>5411325.4879999999</v>
      </c>
      <c r="AP19" s="9">
        <f>'03B PV NOV200 s proj.pomoc'!AP49</f>
        <v>5411325.4879999999</v>
      </c>
      <c r="AQ19" s="9">
        <f>'03B PV NOV200 s proj.pomoc'!AQ49</f>
        <v>5411325.4879999999</v>
      </c>
    </row>
    <row r="20" spans="2:43" ht="12" thickBot="1" x14ac:dyDescent="0.25">
      <c r="B20" s="20" t="s">
        <v>52</v>
      </c>
      <c r="C20" s="21">
        <f t="shared" si="32"/>
        <v>209226977.16920012</v>
      </c>
      <c r="D20" s="21">
        <f t="shared" ref="D20:AG20" si="36">SUM(D19:D19)</f>
        <v>3929060.3904000008</v>
      </c>
      <c r="E20" s="21">
        <f t="shared" si="36"/>
        <v>3929060.3904000008</v>
      </c>
      <c r="F20" s="21">
        <f t="shared" si="36"/>
        <v>3929060.3904000008</v>
      </c>
      <c r="G20" s="21">
        <f t="shared" si="36"/>
        <v>3929060.3904000008</v>
      </c>
      <c r="H20" s="21">
        <f t="shared" si="36"/>
        <v>4484909.8020000001</v>
      </c>
      <c r="I20" s="21">
        <f t="shared" si="36"/>
        <v>5040759.2136000004</v>
      </c>
      <c r="J20" s="21">
        <f t="shared" si="36"/>
        <v>5411325.4879999999</v>
      </c>
      <c r="K20" s="21">
        <f t="shared" si="36"/>
        <v>5411325.4879999999</v>
      </c>
      <c r="L20" s="21">
        <f t="shared" si="36"/>
        <v>5411325.4879999999</v>
      </c>
      <c r="M20" s="21">
        <f t="shared" si="36"/>
        <v>5411325.4879999999</v>
      </c>
      <c r="N20" s="21">
        <f t="shared" si="36"/>
        <v>5411325.4879999999</v>
      </c>
      <c r="O20" s="21">
        <f t="shared" si="36"/>
        <v>5411325.4879999999</v>
      </c>
      <c r="P20" s="21">
        <f t="shared" si="36"/>
        <v>5411325.4879999999</v>
      </c>
      <c r="Q20" s="21">
        <f t="shared" si="36"/>
        <v>5411325.4879999999</v>
      </c>
      <c r="R20" s="21">
        <f t="shared" si="36"/>
        <v>5411325.4879999999</v>
      </c>
      <c r="S20" s="21">
        <f t="shared" si="36"/>
        <v>5411325.4879999999</v>
      </c>
      <c r="T20" s="21">
        <f t="shared" si="36"/>
        <v>5411325.4879999999</v>
      </c>
      <c r="U20" s="21">
        <f t="shared" si="36"/>
        <v>5411325.4879999999</v>
      </c>
      <c r="V20" s="21">
        <f t="shared" si="36"/>
        <v>5411325.4879999999</v>
      </c>
      <c r="W20" s="21">
        <f t="shared" si="36"/>
        <v>5411325.4879999999</v>
      </c>
      <c r="X20" s="21">
        <f t="shared" si="36"/>
        <v>5411325.4879999999</v>
      </c>
      <c r="Y20" s="21">
        <f t="shared" si="36"/>
        <v>5411325.4879999999</v>
      </c>
      <c r="Z20" s="21">
        <f t="shared" si="36"/>
        <v>5411325.4879999999</v>
      </c>
      <c r="AA20" s="21">
        <f t="shared" si="36"/>
        <v>5411325.4879999999</v>
      </c>
      <c r="AB20" s="21">
        <f t="shared" si="36"/>
        <v>5411325.4879999999</v>
      </c>
      <c r="AC20" s="21">
        <f t="shared" si="36"/>
        <v>5411325.4879999999</v>
      </c>
      <c r="AD20" s="21">
        <f t="shared" si="36"/>
        <v>5411325.4879999999</v>
      </c>
      <c r="AE20" s="21">
        <f t="shared" si="36"/>
        <v>5411325.4879999999</v>
      </c>
      <c r="AF20" s="21">
        <f t="shared" si="36"/>
        <v>5411325.4879999999</v>
      </c>
      <c r="AG20" s="21">
        <f t="shared" si="36"/>
        <v>5411325.4879999999</v>
      </c>
      <c r="AH20" s="21">
        <f t="shared" ref="AH20:AN20" si="37">SUM(AH19:AH19)</f>
        <v>5411325.4879999999</v>
      </c>
      <c r="AI20" s="21">
        <f t="shared" si="37"/>
        <v>5411325.4879999999</v>
      </c>
      <c r="AJ20" s="21">
        <f t="shared" si="37"/>
        <v>5411325.4879999999</v>
      </c>
      <c r="AK20" s="21">
        <f t="shared" si="37"/>
        <v>5411325.4879999999</v>
      </c>
      <c r="AL20" s="21">
        <f t="shared" si="37"/>
        <v>5411325.4879999999</v>
      </c>
      <c r="AM20" s="21">
        <f t="shared" si="37"/>
        <v>5411325.4879999999</v>
      </c>
      <c r="AN20" s="21">
        <f t="shared" si="37"/>
        <v>5411325.4879999999</v>
      </c>
      <c r="AO20" s="21">
        <f t="shared" ref="AO20:AQ20" si="38">SUM(AO19:AO19)</f>
        <v>5411325.4879999999</v>
      </c>
      <c r="AP20" s="21">
        <f t="shared" si="38"/>
        <v>5411325.4879999999</v>
      </c>
      <c r="AQ20" s="21">
        <f t="shared" si="38"/>
        <v>5411325.4879999999</v>
      </c>
    </row>
    <row r="21" spans="2:43" ht="12" thickTop="1" x14ac:dyDescent="0.2">
      <c r="B21" s="22" t="s">
        <v>51</v>
      </c>
      <c r="C21" s="23">
        <f t="shared" si="32"/>
        <v>1129565539.4464998</v>
      </c>
      <c r="D21" s="23">
        <f t="shared" ref="D21:AG21" si="39">SUM(D18,D20)</f>
        <v>31746055.746000003</v>
      </c>
      <c r="E21" s="23">
        <f t="shared" si="39"/>
        <v>31746055.746000003</v>
      </c>
      <c r="F21" s="23">
        <f t="shared" si="39"/>
        <v>31746055.746000003</v>
      </c>
      <c r="G21" s="23">
        <f t="shared" si="39"/>
        <v>31746055.746000003</v>
      </c>
      <c r="H21" s="23">
        <f t="shared" si="39"/>
        <v>29519304.445500001</v>
      </c>
      <c r="I21" s="23">
        <f t="shared" si="39"/>
        <v>27292553.145000003</v>
      </c>
      <c r="J21" s="23">
        <f t="shared" si="39"/>
        <v>25735092.908</v>
      </c>
      <c r="K21" s="23">
        <f t="shared" si="39"/>
        <v>25735092.908</v>
      </c>
      <c r="L21" s="23">
        <f t="shared" si="39"/>
        <v>25735092.908</v>
      </c>
      <c r="M21" s="23">
        <f t="shared" si="39"/>
        <v>25735092.908</v>
      </c>
      <c r="N21" s="23">
        <f t="shared" si="39"/>
        <v>25735092.908</v>
      </c>
      <c r="O21" s="23">
        <f t="shared" si="39"/>
        <v>25735092.908</v>
      </c>
      <c r="P21" s="23">
        <f t="shared" si="39"/>
        <v>25735092.908</v>
      </c>
      <c r="Q21" s="23">
        <f t="shared" si="39"/>
        <v>25735092.908</v>
      </c>
      <c r="R21" s="23">
        <f t="shared" si="39"/>
        <v>25735092.908</v>
      </c>
      <c r="S21" s="23">
        <f t="shared" si="39"/>
        <v>25735092.908</v>
      </c>
      <c r="T21" s="23">
        <f t="shared" si="39"/>
        <v>25735092.908</v>
      </c>
      <c r="U21" s="23">
        <f t="shared" si="39"/>
        <v>25735092.908</v>
      </c>
      <c r="V21" s="23">
        <f t="shared" si="39"/>
        <v>25735092.908</v>
      </c>
      <c r="W21" s="23">
        <f t="shared" si="39"/>
        <v>25735092.908</v>
      </c>
      <c r="X21" s="23">
        <f t="shared" si="39"/>
        <v>25735092.908</v>
      </c>
      <c r="Y21" s="23">
        <f t="shared" si="39"/>
        <v>25735092.908</v>
      </c>
      <c r="Z21" s="23">
        <f t="shared" si="39"/>
        <v>25735092.908</v>
      </c>
      <c r="AA21" s="23">
        <f t="shared" si="39"/>
        <v>25735092.908</v>
      </c>
      <c r="AB21" s="23">
        <f t="shared" si="39"/>
        <v>25735092.908</v>
      </c>
      <c r="AC21" s="23">
        <f t="shared" si="39"/>
        <v>49327192.908</v>
      </c>
      <c r="AD21" s="23">
        <f t="shared" si="39"/>
        <v>25735092.908</v>
      </c>
      <c r="AE21" s="23">
        <f t="shared" si="39"/>
        <v>25735092.908</v>
      </c>
      <c r="AF21" s="23">
        <f t="shared" si="39"/>
        <v>25735092.908</v>
      </c>
      <c r="AG21" s="23">
        <f t="shared" si="39"/>
        <v>25735092.908</v>
      </c>
      <c r="AH21" s="23">
        <f t="shared" ref="AH21:AN21" si="40">SUM(AH18,AH20)</f>
        <v>25735092.908</v>
      </c>
      <c r="AI21" s="23">
        <f t="shared" si="40"/>
        <v>25735092.908</v>
      </c>
      <c r="AJ21" s="23">
        <f t="shared" si="40"/>
        <v>25735092.908</v>
      </c>
      <c r="AK21" s="23">
        <f t="shared" si="40"/>
        <v>25735092.908</v>
      </c>
      <c r="AL21" s="23">
        <f t="shared" si="40"/>
        <v>25735092.908</v>
      </c>
      <c r="AM21" s="23">
        <f t="shared" si="40"/>
        <v>72919292.908000007</v>
      </c>
      <c r="AN21" s="23">
        <f t="shared" si="40"/>
        <v>25735092.908</v>
      </c>
      <c r="AO21" s="23">
        <f t="shared" ref="AO21:AQ21" si="41">SUM(AO18,AO20)</f>
        <v>25735092.908</v>
      </c>
      <c r="AP21" s="23">
        <f t="shared" si="41"/>
        <v>25735092.908</v>
      </c>
      <c r="AQ21" s="23">
        <f t="shared" si="41"/>
        <v>25735092.908</v>
      </c>
    </row>
    <row r="24" spans="2:43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2:43" x14ac:dyDescent="0.2">
      <c r="B25" s="4" t="s">
        <v>56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  <c r="AH25" s="3">
        <v>31</v>
      </c>
      <c r="AI25" s="3">
        <v>32</v>
      </c>
      <c r="AJ25" s="3">
        <v>33</v>
      </c>
      <c r="AK25" s="3">
        <v>34</v>
      </c>
      <c r="AL25" s="3">
        <v>35</v>
      </c>
      <c r="AM25" s="3">
        <v>36</v>
      </c>
      <c r="AN25" s="3">
        <v>37</v>
      </c>
      <c r="AO25" s="3">
        <v>38</v>
      </c>
      <c r="AP25" s="3">
        <v>39</v>
      </c>
      <c r="AQ25" s="3">
        <v>40</v>
      </c>
    </row>
    <row r="26" spans="2:43" x14ac:dyDescent="0.2">
      <c r="B26" s="154" t="s">
        <v>43</v>
      </c>
      <c r="C26" s="154" t="s">
        <v>9</v>
      </c>
      <c r="D26" s="281">
        <f t="shared" ref="D26:AG26" si="42">D4</f>
        <v>2026</v>
      </c>
      <c r="E26" s="281">
        <f t="shared" si="42"/>
        <v>2027</v>
      </c>
      <c r="F26" s="281">
        <f t="shared" si="42"/>
        <v>2028</v>
      </c>
      <c r="G26" s="281">
        <f t="shared" si="42"/>
        <v>2029</v>
      </c>
      <c r="H26" s="281">
        <f t="shared" si="42"/>
        <v>2030</v>
      </c>
      <c r="I26" s="281">
        <f t="shared" si="42"/>
        <v>2031</v>
      </c>
      <c r="J26" s="281">
        <f t="shared" si="42"/>
        <v>2032</v>
      </c>
      <c r="K26" s="281">
        <f t="shared" si="42"/>
        <v>2033</v>
      </c>
      <c r="L26" s="281">
        <f t="shared" si="42"/>
        <v>2034</v>
      </c>
      <c r="M26" s="281">
        <f t="shared" si="42"/>
        <v>2035</v>
      </c>
      <c r="N26" s="281">
        <f t="shared" si="42"/>
        <v>2036</v>
      </c>
      <c r="O26" s="281">
        <f t="shared" si="42"/>
        <v>2037</v>
      </c>
      <c r="P26" s="281">
        <f t="shared" si="42"/>
        <v>2038</v>
      </c>
      <c r="Q26" s="281">
        <f t="shared" si="42"/>
        <v>2039</v>
      </c>
      <c r="R26" s="281">
        <f t="shared" si="42"/>
        <v>2040</v>
      </c>
      <c r="S26" s="281">
        <f t="shared" si="42"/>
        <v>2041</v>
      </c>
      <c r="T26" s="281">
        <f t="shared" si="42"/>
        <v>2042</v>
      </c>
      <c r="U26" s="281">
        <f t="shared" si="42"/>
        <v>2043</v>
      </c>
      <c r="V26" s="281">
        <f t="shared" si="42"/>
        <v>2044</v>
      </c>
      <c r="W26" s="281">
        <f t="shared" si="42"/>
        <v>2045</v>
      </c>
      <c r="X26" s="281">
        <f t="shared" si="42"/>
        <v>2046</v>
      </c>
      <c r="Y26" s="281">
        <f t="shared" si="42"/>
        <v>2047</v>
      </c>
      <c r="Z26" s="281">
        <f t="shared" si="42"/>
        <v>2048</v>
      </c>
      <c r="AA26" s="281">
        <f t="shared" si="42"/>
        <v>2049</v>
      </c>
      <c r="AB26" s="281">
        <f t="shared" si="42"/>
        <v>2050</v>
      </c>
      <c r="AC26" s="281">
        <f t="shared" si="42"/>
        <v>2051</v>
      </c>
      <c r="AD26" s="281">
        <f t="shared" si="42"/>
        <v>2052</v>
      </c>
      <c r="AE26" s="281">
        <f t="shared" si="42"/>
        <v>2053</v>
      </c>
      <c r="AF26" s="281">
        <f t="shared" si="42"/>
        <v>2054</v>
      </c>
      <c r="AG26" s="281">
        <f t="shared" si="42"/>
        <v>2055</v>
      </c>
      <c r="AH26" s="281">
        <f t="shared" ref="AH26:AN26" si="43">AH4</f>
        <v>2056</v>
      </c>
      <c r="AI26" s="281">
        <f t="shared" si="43"/>
        <v>2057</v>
      </c>
      <c r="AJ26" s="281">
        <f t="shared" si="43"/>
        <v>2058</v>
      </c>
      <c r="AK26" s="281">
        <f t="shared" si="43"/>
        <v>2059</v>
      </c>
      <c r="AL26" s="281">
        <f t="shared" si="43"/>
        <v>2060</v>
      </c>
      <c r="AM26" s="281">
        <f t="shared" si="43"/>
        <v>2061</v>
      </c>
      <c r="AN26" s="281">
        <f t="shared" si="43"/>
        <v>2062</v>
      </c>
      <c r="AO26" s="281">
        <f t="shared" ref="AO26:AQ26" si="44">AO4</f>
        <v>2063</v>
      </c>
      <c r="AP26" s="281">
        <f t="shared" si="44"/>
        <v>2064</v>
      </c>
      <c r="AQ26" s="281">
        <f t="shared" si="44"/>
        <v>2065</v>
      </c>
    </row>
    <row r="27" spans="2:43" x14ac:dyDescent="0.2">
      <c r="B27" s="3" t="s">
        <v>281</v>
      </c>
      <c r="C27" s="8">
        <f t="shared" ref="C27:C32" si="45">SUM(D27:AQ27)</f>
        <v>-263117551.94670022</v>
      </c>
      <c r="D27" s="8">
        <f t="shared" ref="D27:AG27" si="46">D16-D5</f>
        <v>0</v>
      </c>
      <c r="E27" s="8">
        <f t="shared" si="46"/>
        <v>0</v>
      </c>
      <c r="F27" s="8">
        <f t="shared" si="46"/>
        <v>0</v>
      </c>
      <c r="G27" s="8">
        <f t="shared" si="46"/>
        <v>0</v>
      </c>
      <c r="H27" s="8">
        <f t="shared" si="46"/>
        <v>-2782600.7121000029</v>
      </c>
      <c r="I27" s="8">
        <f t="shared" si="46"/>
        <v>-5565201.4242000021</v>
      </c>
      <c r="J27" s="8">
        <f t="shared" si="46"/>
        <v>-7493227.9356000014</v>
      </c>
      <c r="K27" s="8">
        <f t="shared" si="46"/>
        <v>-7493227.9356000014</v>
      </c>
      <c r="L27" s="8">
        <f t="shared" si="46"/>
        <v>-7493227.9356000014</v>
      </c>
      <c r="M27" s="8">
        <f t="shared" si="46"/>
        <v>-7493227.9356000014</v>
      </c>
      <c r="N27" s="8">
        <f t="shared" si="46"/>
        <v>-7493227.9356000014</v>
      </c>
      <c r="O27" s="8">
        <f t="shared" si="46"/>
        <v>-7493227.9356000014</v>
      </c>
      <c r="P27" s="8">
        <f t="shared" si="46"/>
        <v>-7493227.9356000014</v>
      </c>
      <c r="Q27" s="8">
        <f t="shared" si="46"/>
        <v>-7493227.9356000014</v>
      </c>
      <c r="R27" s="8">
        <f t="shared" si="46"/>
        <v>-7493227.9356000014</v>
      </c>
      <c r="S27" s="8">
        <f t="shared" si="46"/>
        <v>-7493227.9356000014</v>
      </c>
      <c r="T27" s="8">
        <f t="shared" si="46"/>
        <v>-7493227.9356000014</v>
      </c>
      <c r="U27" s="8">
        <f t="shared" si="46"/>
        <v>-7493227.9356000014</v>
      </c>
      <c r="V27" s="8">
        <f t="shared" si="46"/>
        <v>-7493227.9356000014</v>
      </c>
      <c r="W27" s="8">
        <f t="shared" si="46"/>
        <v>-7493227.9356000014</v>
      </c>
      <c r="X27" s="8">
        <f t="shared" si="46"/>
        <v>-7493227.9356000014</v>
      </c>
      <c r="Y27" s="8">
        <f t="shared" si="46"/>
        <v>-7493227.9356000014</v>
      </c>
      <c r="Z27" s="8">
        <f t="shared" si="46"/>
        <v>-7493227.9356000014</v>
      </c>
      <c r="AA27" s="8">
        <f t="shared" si="46"/>
        <v>-7493227.9356000014</v>
      </c>
      <c r="AB27" s="8">
        <f t="shared" si="46"/>
        <v>-7493227.9356000014</v>
      </c>
      <c r="AC27" s="8">
        <f t="shared" si="46"/>
        <v>-7493227.9356000014</v>
      </c>
      <c r="AD27" s="8">
        <f t="shared" si="46"/>
        <v>-7493227.9356000014</v>
      </c>
      <c r="AE27" s="8">
        <f t="shared" si="46"/>
        <v>-7493227.9356000014</v>
      </c>
      <c r="AF27" s="8">
        <f t="shared" si="46"/>
        <v>-7493227.9356000014</v>
      </c>
      <c r="AG27" s="8">
        <f t="shared" si="46"/>
        <v>-7493227.9356000014</v>
      </c>
      <c r="AH27" s="8">
        <f t="shared" ref="AH27:AN27" si="47">AH16-AH5</f>
        <v>-7493227.9356000014</v>
      </c>
      <c r="AI27" s="8">
        <f t="shared" si="47"/>
        <v>-7493227.9356000014</v>
      </c>
      <c r="AJ27" s="8">
        <f t="shared" si="47"/>
        <v>-7493227.9356000014</v>
      </c>
      <c r="AK27" s="8">
        <f t="shared" si="47"/>
        <v>-7493227.9356000014</v>
      </c>
      <c r="AL27" s="8">
        <f t="shared" si="47"/>
        <v>-7493227.9356000014</v>
      </c>
      <c r="AM27" s="8">
        <f t="shared" si="47"/>
        <v>-7493227.9356000014</v>
      </c>
      <c r="AN27" s="8">
        <f t="shared" si="47"/>
        <v>-7493227.9356000014</v>
      </c>
      <c r="AO27" s="8">
        <f t="shared" ref="AO27:AQ27" si="48">AO16-AO5</f>
        <v>-7493227.9356000014</v>
      </c>
      <c r="AP27" s="8">
        <f t="shared" si="48"/>
        <v>-7493227.9356000014</v>
      </c>
      <c r="AQ27" s="8">
        <f t="shared" si="48"/>
        <v>-7493227.9356000014</v>
      </c>
    </row>
    <row r="28" spans="2:43" x14ac:dyDescent="0.2">
      <c r="B28" s="3" t="s">
        <v>279</v>
      </c>
      <c r="C28" s="8">
        <f t="shared" si="45"/>
        <v>-304423700</v>
      </c>
      <c r="D28" s="8">
        <f t="shared" ref="D28:AG28" si="49">D17-D6</f>
        <v>0</v>
      </c>
      <c r="E28" s="8">
        <f t="shared" si="49"/>
        <v>0</v>
      </c>
      <c r="F28" s="8">
        <f t="shared" si="49"/>
        <v>0</v>
      </c>
      <c r="G28" s="8">
        <f t="shared" si="49"/>
        <v>0</v>
      </c>
      <c r="H28" s="8">
        <f t="shared" si="49"/>
        <v>0</v>
      </c>
      <c r="I28" s="8">
        <f t="shared" si="49"/>
        <v>-26800000</v>
      </c>
      <c r="J28" s="8">
        <f t="shared" si="49"/>
        <v>-26800000</v>
      </c>
      <c r="K28" s="8">
        <f t="shared" si="49"/>
        <v>0</v>
      </c>
      <c r="L28" s="8">
        <f t="shared" si="49"/>
        <v>0</v>
      </c>
      <c r="M28" s="8">
        <f t="shared" si="49"/>
        <v>0</v>
      </c>
      <c r="N28" s="8">
        <f t="shared" si="49"/>
        <v>0</v>
      </c>
      <c r="O28" s="8">
        <f t="shared" si="49"/>
        <v>0</v>
      </c>
      <c r="P28" s="8">
        <f t="shared" si="49"/>
        <v>0</v>
      </c>
      <c r="Q28" s="8">
        <f t="shared" si="49"/>
        <v>0</v>
      </c>
      <c r="R28" s="8">
        <f t="shared" si="49"/>
        <v>0</v>
      </c>
      <c r="S28" s="8">
        <f t="shared" si="49"/>
        <v>-53600000</v>
      </c>
      <c r="T28" s="8">
        <f t="shared" si="49"/>
        <v>-53600000</v>
      </c>
      <c r="U28" s="8">
        <f t="shared" si="49"/>
        <v>0</v>
      </c>
      <c r="V28" s="8">
        <f t="shared" si="49"/>
        <v>0</v>
      </c>
      <c r="W28" s="8">
        <f t="shared" si="49"/>
        <v>0</v>
      </c>
      <c r="X28" s="8">
        <f t="shared" si="49"/>
        <v>0</v>
      </c>
      <c r="Y28" s="8">
        <f t="shared" si="49"/>
        <v>0</v>
      </c>
      <c r="Z28" s="8">
        <f t="shared" si="49"/>
        <v>0</v>
      </c>
      <c r="AA28" s="8">
        <f t="shared" si="49"/>
        <v>0</v>
      </c>
      <c r="AB28" s="8">
        <f t="shared" si="49"/>
        <v>0</v>
      </c>
      <c r="AC28" s="8">
        <f t="shared" si="49"/>
        <v>-3207900</v>
      </c>
      <c r="AD28" s="8">
        <f t="shared" si="49"/>
        <v>-26800000</v>
      </c>
      <c r="AE28" s="8">
        <f t="shared" si="49"/>
        <v>0</v>
      </c>
      <c r="AF28" s="8">
        <f t="shared" si="49"/>
        <v>0</v>
      </c>
      <c r="AG28" s="8">
        <f t="shared" si="49"/>
        <v>0</v>
      </c>
      <c r="AH28" s="8">
        <f t="shared" ref="AH28:AN28" si="50">AH17-AH6</f>
        <v>0</v>
      </c>
      <c r="AI28" s="8">
        <f t="shared" si="50"/>
        <v>0</v>
      </c>
      <c r="AJ28" s="8">
        <f t="shared" si="50"/>
        <v>0</v>
      </c>
      <c r="AK28" s="8">
        <f t="shared" si="50"/>
        <v>0</v>
      </c>
      <c r="AL28" s="8">
        <f t="shared" si="50"/>
        <v>0</v>
      </c>
      <c r="AM28" s="8">
        <f t="shared" si="50"/>
        <v>-6415800</v>
      </c>
      <c r="AN28" s="8">
        <f t="shared" si="50"/>
        <v>-53600000</v>
      </c>
      <c r="AO28" s="8">
        <f t="shared" ref="AO28:AQ28" si="51">AO17-AO6</f>
        <v>0</v>
      </c>
      <c r="AP28" s="8">
        <f t="shared" si="51"/>
        <v>0</v>
      </c>
      <c r="AQ28" s="8">
        <f t="shared" si="51"/>
        <v>-53600000</v>
      </c>
    </row>
    <row r="29" spans="2:43" x14ac:dyDescent="0.2">
      <c r="B29" s="4" t="s">
        <v>278</v>
      </c>
      <c r="C29" s="13">
        <f t="shared" si="45"/>
        <v>-567541251.94669962</v>
      </c>
      <c r="D29" s="13">
        <f t="shared" ref="D29:AG29" si="52">SUM(D27:D28)</f>
        <v>0</v>
      </c>
      <c r="E29" s="13">
        <f t="shared" si="52"/>
        <v>0</v>
      </c>
      <c r="F29" s="13">
        <f t="shared" si="52"/>
        <v>0</v>
      </c>
      <c r="G29" s="13">
        <f t="shared" si="52"/>
        <v>0</v>
      </c>
      <c r="H29" s="13">
        <f t="shared" si="52"/>
        <v>-2782600.7121000029</v>
      </c>
      <c r="I29" s="13">
        <f t="shared" si="52"/>
        <v>-32365201.424200002</v>
      </c>
      <c r="J29" s="13">
        <f t="shared" si="52"/>
        <v>-34293227.935599998</v>
      </c>
      <c r="K29" s="13">
        <f t="shared" si="52"/>
        <v>-7493227.9356000014</v>
      </c>
      <c r="L29" s="13">
        <f t="shared" si="52"/>
        <v>-7493227.9356000014</v>
      </c>
      <c r="M29" s="13">
        <f t="shared" si="52"/>
        <v>-7493227.9356000014</v>
      </c>
      <c r="N29" s="13">
        <f t="shared" si="52"/>
        <v>-7493227.9356000014</v>
      </c>
      <c r="O29" s="13">
        <f t="shared" si="52"/>
        <v>-7493227.9356000014</v>
      </c>
      <c r="P29" s="13">
        <f t="shared" si="52"/>
        <v>-7493227.9356000014</v>
      </c>
      <c r="Q29" s="13">
        <f t="shared" si="52"/>
        <v>-7493227.9356000014</v>
      </c>
      <c r="R29" s="13">
        <f t="shared" si="52"/>
        <v>-7493227.9356000014</v>
      </c>
      <c r="S29" s="13">
        <f t="shared" si="52"/>
        <v>-61093227.935599998</v>
      </c>
      <c r="T29" s="13">
        <f t="shared" si="52"/>
        <v>-61093227.935599998</v>
      </c>
      <c r="U29" s="13">
        <f t="shared" si="52"/>
        <v>-7493227.9356000014</v>
      </c>
      <c r="V29" s="13">
        <f t="shared" si="52"/>
        <v>-7493227.9356000014</v>
      </c>
      <c r="W29" s="13">
        <f t="shared" si="52"/>
        <v>-7493227.9356000014</v>
      </c>
      <c r="X29" s="13">
        <f t="shared" si="52"/>
        <v>-7493227.9356000014</v>
      </c>
      <c r="Y29" s="13">
        <f t="shared" si="52"/>
        <v>-7493227.9356000014</v>
      </c>
      <c r="Z29" s="13">
        <f t="shared" si="52"/>
        <v>-7493227.9356000014</v>
      </c>
      <c r="AA29" s="13">
        <f t="shared" si="52"/>
        <v>-7493227.9356000014</v>
      </c>
      <c r="AB29" s="13">
        <f t="shared" si="52"/>
        <v>-7493227.9356000014</v>
      </c>
      <c r="AC29" s="13">
        <f t="shared" si="52"/>
        <v>-10701127.935600001</v>
      </c>
      <c r="AD29" s="13">
        <f t="shared" si="52"/>
        <v>-34293227.935599998</v>
      </c>
      <c r="AE29" s="13">
        <f t="shared" si="52"/>
        <v>-7493227.9356000014</v>
      </c>
      <c r="AF29" s="13">
        <f t="shared" si="52"/>
        <v>-7493227.9356000014</v>
      </c>
      <c r="AG29" s="13">
        <f t="shared" si="52"/>
        <v>-7493227.9356000014</v>
      </c>
      <c r="AH29" s="13">
        <f t="shared" ref="AH29:AN29" si="53">SUM(AH27:AH28)</f>
        <v>-7493227.9356000014</v>
      </c>
      <c r="AI29" s="13">
        <f t="shared" si="53"/>
        <v>-7493227.9356000014</v>
      </c>
      <c r="AJ29" s="13">
        <f t="shared" si="53"/>
        <v>-7493227.9356000014</v>
      </c>
      <c r="AK29" s="13">
        <f t="shared" si="53"/>
        <v>-7493227.9356000014</v>
      </c>
      <c r="AL29" s="13">
        <f t="shared" si="53"/>
        <v>-7493227.9356000014</v>
      </c>
      <c r="AM29" s="13">
        <f t="shared" si="53"/>
        <v>-13909027.935600001</v>
      </c>
      <c r="AN29" s="13">
        <f t="shared" si="53"/>
        <v>-61093227.935599998</v>
      </c>
      <c r="AO29" s="13">
        <f t="shared" ref="AO29:AQ29" si="54">SUM(AO27:AO28)</f>
        <v>-7493227.9356000014</v>
      </c>
      <c r="AP29" s="13">
        <f t="shared" si="54"/>
        <v>-7493227.9356000014</v>
      </c>
      <c r="AQ29" s="13">
        <f t="shared" si="54"/>
        <v>-61093227.935599998</v>
      </c>
    </row>
    <row r="30" spans="2:43" x14ac:dyDescent="0.2">
      <c r="B30" s="3" t="s">
        <v>54</v>
      </c>
      <c r="C30" s="8">
        <f t="shared" si="45"/>
        <v>52064561.553199939</v>
      </c>
      <c r="D30" s="8">
        <f t="shared" ref="D30:AG30" si="55">D19-D8</f>
        <v>0</v>
      </c>
      <c r="E30" s="8">
        <f t="shared" si="55"/>
        <v>0</v>
      </c>
      <c r="F30" s="8">
        <f t="shared" si="55"/>
        <v>0</v>
      </c>
      <c r="G30" s="8">
        <f t="shared" si="55"/>
        <v>0</v>
      </c>
      <c r="H30" s="8">
        <f t="shared" si="55"/>
        <v>555849.41159999929</v>
      </c>
      <c r="I30" s="8">
        <f t="shared" si="55"/>
        <v>1111698.8231999995</v>
      </c>
      <c r="J30" s="8">
        <f t="shared" si="55"/>
        <v>1482265.097599999</v>
      </c>
      <c r="K30" s="8">
        <f t="shared" si="55"/>
        <v>1482265.097599999</v>
      </c>
      <c r="L30" s="8">
        <f t="shared" si="55"/>
        <v>1482265.097599999</v>
      </c>
      <c r="M30" s="8">
        <f t="shared" si="55"/>
        <v>1482265.097599999</v>
      </c>
      <c r="N30" s="8">
        <f t="shared" si="55"/>
        <v>1482265.097599999</v>
      </c>
      <c r="O30" s="8">
        <f t="shared" si="55"/>
        <v>1482265.097599999</v>
      </c>
      <c r="P30" s="8">
        <f t="shared" si="55"/>
        <v>1482265.097599999</v>
      </c>
      <c r="Q30" s="8">
        <f t="shared" si="55"/>
        <v>1482265.097599999</v>
      </c>
      <c r="R30" s="8">
        <f t="shared" si="55"/>
        <v>1482265.097599999</v>
      </c>
      <c r="S30" s="8">
        <f t="shared" si="55"/>
        <v>1482265.097599999</v>
      </c>
      <c r="T30" s="8">
        <f t="shared" si="55"/>
        <v>1482265.097599999</v>
      </c>
      <c r="U30" s="8">
        <f t="shared" si="55"/>
        <v>1482265.097599999</v>
      </c>
      <c r="V30" s="8">
        <f t="shared" si="55"/>
        <v>1482265.097599999</v>
      </c>
      <c r="W30" s="8">
        <f t="shared" si="55"/>
        <v>1482265.097599999</v>
      </c>
      <c r="X30" s="8">
        <f t="shared" si="55"/>
        <v>1482265.097599999</v>
      </c>
      <c r="Y30" s="8">
        <f t="shared" si="55"/>
        <v>1482265.097599999</v>
      </c>
      <c r="Z30" s="8">
        <f t="shared" si="55"/>
        <v>1482265.097599999</v>
      </c>
      <c r="AA30" s="8">
        <f t="shared" si="55"/>
        <v>1482265.097599999</v>
      </c>
      <c r="AB30" s="8">
        <f t="shared" si="55"/>
        <v>1482265.097599999</v>
      </c>
      <c r="AC30" s="8">
        <f t="shared" si="55"/>
        <v>1482265.097599999</v>
      </c>
      <c r="AD30" s="8">
        <f t="shared" si="55"/>
        <v>1482265.097599999</v>
      </c>
      <c r="AE30" s="8">
        <f t="shared" si="55"/>
        <v>1482265.097599999</v>
      </c>
      <c r="AF30" s="8">
        <f t="shared" si="55"/>
        <v>1482265.097599999</v>
      </c>
      <c r="AG30" s="8">
        <f t="shared" si="55"/>
        <v>1482265.097599999</v>
      </c>
      <c r="AH30" s="8">
        <f t="shared" ref="AH30:AN30" si="56">AH19-AH8</f>
        <v>1482265.097599999</v>
      </c>
      <c r="AI30" s="8">
        <f t="shared" si="56"/>
        <v>1482265.097599999</v>
      </c>
      <c r="AJ30" s="8">
        <f t="shared" si="56"/>
        <v>1482265.097599999</v>
      </c>
      <c r="AK30" s="8">
        <f t="shared" si="56"/>
        <v>1482265.097599999</v>
      </c>
      <c r="AL30" s="8">
        <f t="shared" si="56"/>
        <v>1482265.097599999</v>
      </c>
      <c r="AM30" s="8">
        <f t="shared" si="56"/>
        <v>1482265.097599999</v>
      </c>
      <c r="AN30" s="8">
        <f t="shared" si="56"/>
        <v>1482265.097599999</v>
      </c>
      <c r="AO30" s="8">
        <f t="shared" ref="AO30:AQ30" si="57">AO19-AO8</f>
        <v>1482265.097599999</v>
      </c>
      <c r="AP30" s="8">
        <f t="shared" si="57"/>
        <v>1482265.097599999</v>
      </c>
      <c r="AQ30" s="8">
        <f t="shared" si="57"/>
        <v>1482265.097599999</v>
      </c>
    </row>
    <row r="31" spans="2:43" ht="12" thickBot="1" x14ac:dyDescent="0.25">
      <c r="B31" s="20" t="s">
        <v>52</v>
      </c>
      <c r="C31" s="21">
        <f t="shared" si="45"/>
        <v>52064561.553199939</v>
      </c>
      <c r="D31" s="21">
        <f t="shared" ref="D31:AG31" si="58">SUM(D30:D30)</f>
        <v>0</v>
      </c>
      <c r="E31" s="21">
        <f t="shared" si="58"/>
        <v>0</v>
      </c>
      <c r="F31" s="21">
        <f t="shared" si="58"/>
        <v>0</v>
      </c>
      <c r="G31" s="21">
        <f t="shared" si="58"/>
        <v>0</v>
      </c>
      <c r="H31" s="21">
        <f t="shared" si="58"/>
        <v>555849.41159999929</v>
      </c>
      <c r="I31" s="21">
        <f t="shared" si="58"/>
        <v>1111698.8231999995</v>
      </c>
      <c r="J31" s="21">
        <f t="shared" si="58"/>
        <v>1482265.097599999</v>
      </c>
      <c r="K31" s="21">
        <f t="shared" si="58"/>
        <v>1482265.097599999</v>
      </c>
      <c r="L31" s="21">
        <f t="shared" si="58"/>
        <v>1482265.097599999</v>
      </c>
      <c r="M31" s="21">
        <f t="shared" si="58"/>
        <v>1482265.097599999</v>
      </c>
      <c r="N31" s="21">
        <f t="shared" si="58"/>
        <v>1482265.097599999</v>
      </c>
      <c r="O31" s="21">
        <f t="shared" si="58"/>
        <v>1482265.097599999</v>
      </c>
      <c r="P31" s="21">
        <f t="shared" si="58"/>
        <v>1482265.097599999</v>
      </c>
      <c r="Q31" s="21">
        <f t="shared" si="58"/>
        <v>1482265.097599999</v>
      </c>
      <c r="R31" s="21">
        <f t="shared" si="58"/>
        <v>1482265.097599999</v>
      </c>
      <c r="S31" s="21">
        <f t="shared" si="58"/>
        <v>1482265.097599999</v>
      </c>
      <c r="T31" s="21">
        <f t="shared" si="58"/>
        <v>1482265.097599999</v>
      </c>
      <c r="U31" s="21">
        <f t="shared" si="58"/>
        <v>1482265.097599999</v>
      </c>
      <c r="V31" s="21">
        <f t="shared" si="58"/>
        <v>1482265.097599999</v>
      </c>
      <c r="W31" s="21">
        <f t="shared" si="58"/>
        <v>1482265.097599999</v>
      </c>
      <c r="X31" s="21">
        <f t="shared" si="58"/>
        <v>1482265.097599999</v>
      </c>
      <c r="Y31" s="21">
        <f t="shared" si="58"/>
        <v>1482265.097599999</v>
      </c>
      <c r="Z31" s="21">
        <f t="shared" si="58"/>
        <v>1482265.097599999</v>
      </c>
      <c r="AA31" s="21">
        <f t="shared" si="58"/>
        <v>1482265.097599999</v>
      </c>
      <c r="AB31" s="21">
        <f t="shared" si="58"/>
        <v>1482265.097599999</v>
      </c>
      <c r="AC31" s="21">
        <f t="shared" si="58"/>
        <v>1482265.097599999</v>
      </c>
      <c r="AD31" s="21">
        <f t="shared" si="58"/>
        <v>1482265.097599999</v>
      </c>
      <c r="AE31" s="21">
        <f t="shared" si="58"/>
        <v>1482265.097599999</v>
      </c>
      <c r="AF31" s="21">
        <f t="shared" si="58"/>
        <v>1482265.097599999</v>
      </c>
      <c r="AG31" s="21">
        <f t="shared" si="58"/>
        <v>1482265.097599999</v>
      </c>
      <c r="AH31" s="21">
        <f t="shared" ref="AH31:AN31" si="59">SUM(AH30:AH30)</f>
        <v>1482265.097599999</v>
      </c>
      <c r="AI31" s="21">
        <f t="shared" si="59"/>
        <v>1482265.097599999</v>
      </c>
      <c r="AJ31" s="21">
        <f t="shared" si="59"/>
        <v>1482265.097599999</v>
      </c>
      <c r="AK31" s="21">
        <f t="shared" si="59"/>
        <v>1482265.097599999</v>
      </c>
      <c r="AL31" s="21">
        <f t="shared" si="59"/>
        <v>1482265.097599999</v>
      </c>
      <c r="AM31" s="21">
        <f t="shared" si="59"/>
        <v>1482265.097599999</v>
      </c>
      <c r="AN31" s="21">
        <f t="shared" si="59"/>
        <v>1482265.097599999</v>
      </c>
      <c r="AO31" s="21">
        <f t="shared" ref="AO31:AQ31" si="60">SUM(AO30:AO30)</f>
        <v>1482265.097599999</v>
      </c>
      <c r="AP31" s="21">
        <f t="shared" si="60"/>
        <v>1482265.097599999</v>
      </c>
      <c r="AQ31" s="21">
        <f t="shared" si="60"/>
        <v>1482265.097599999</v>
      </c>
    </row>
    <row r="32" spans="2:43" ht="12" thickTop="1" x14ac:dyDescent="0.2">
      <c r="B32" s="22" t="s">
        <v>51</v>
      </c>
      <c r="C32" s="23">
        <f t="shared" si="45"/>
        <v>-515476690.39350003</v>
      </c>
      <c r="D32" s="23">
        <f t="shared" ref="D32:AG32" si="61">SUM(D29,D31)</f>
        <v>0</v>
      </c>
      <c r="E32" s="23">
        <f t="shared" si="61"/>
        <v>0</v>
      </c>
      <c r="F32" s="23">
        <f t="shared" si="61"/>
        <v>0</v>
      </c>
      <c r="G32" s="23">
        <f t="shared" si="61"/>
        <v>0</v>
      </c>
      <c r="H32" s="23">
        <f t="shared" si="61"/>
        <v>-2226751.3005000036</v>
      </c>
      <c r="I32" s="23">
        <f t="shared" si="61"/>
        <v>-31253502.601000004</v>
      </c>
      <c r="J32" s="23">
        <f t="shared" si="61"/>
        <v>-32810962.838</v>
      </c>
      <c r="K32" s="23">
        <f t="shared" si="61"/>
        <v>-6010962.8380000023</v>
      </c>
      <c r="L32" s="23">
        <f t="shared" si="61"/>
        <v>-6010962.8380000023</v>
      </c>
      <c r="M32" s="23">
        <f t="shared" si="61"/>
        <v>-6010962.8380000023</v>
      </c>
      <c r="N32" s="23">
        <f t="shared" si="61"/>
        <v>-6010962.8380000023</v>
      </c>
      <c r="O32" s="23">
        <f t="shared" si="61"/>
        <v>-6010962.8380000023</v>
      </c>
      <c r="P32" s="23">
        <f t="shared" si="61"/>
        <v>-6010962.8380000023</v>
      </c>
      <c r="Q32" s="23">
        <f t="shared" si="61"/>
        <v>-6010962.8380000023</v>
      </c>
      <c r="R32" s="23">
        <f t="shared" si="61"/>
        <v>-6010962.8380000023</v>
      </c>
      <c r="S32" s="23">
        <f t="shared" si="61"/>
        <v>-59610962.838</v>
      </c>
      <c r="T32" s="23">
        <f t="shared" si="61"/>
        <v>-59610962.838</v>
      </c>
      <c r="U32" s="23">
        <f t="shared" si="61"/>
        <v>-6010962.8380000023</v>
      </c>
      <c r="V32" s="23">
        <f t="shared" si="61"/>
        <v>-6010962.8380000023</v>
      </c>
      <c r="W32" s="23">
        <f t="shared" si="61"/>
        <v>-6010962.8380000023</v>
      </c>
      <c r="X32" s="23">
        <f t="shared" si="61"/>
        <v>-6010962.8380000023</v>
      </c>
      <c r="Y32" s="23">
        <f t="shared" si="61"/>
        <v>-6010962.8380000023</v>
      </c>
      <c r="Z32" s="23">
        <f t="shared" si="61"/>
        <v>-6010962.8380000023</v>
      </c>
      <c r="AA32" s="23">
        <f t="shared" si="61"/>
        <v>-6010962.8380000023</v>
      </c>
      <c r="AB32" s="23">
        <f t="shared" si="61"/>
        <v>-6010962.8380000023</v>
      </c>
      <c r="AC32" s="23">
        <f t="shared" si="61"/>
        <v>-9218862.8380000032</v>
      </c>
      <c r="AD32" s="23">
        <f t="shared" si="61"/>
        <v>-32810962.838</v>
      </c>
      <c r="AE32" s="23">
        <f t="shared" si="61"/>
        <v>-6010962.8380000023</v>
      </c>
      <c r="AF32" s="23">
        <f t="shared" si="61"/>
        <v>-6010962.8380000023</v>
      </c>
      <c r="AG32" s="23">
        <f t="shared" si="61"/>
        <v>-6010962.8380000023</v>
      </c>
      <c r="AH32" s="23">
        <f t="shared" ref="AH32:AN32" si="62">SUM(AH29,AH31)</f>
        <v>-6010962.8380000023</v>
      </c>
      <c r="AI32" s="23">
        <f t="shared" si="62"/>
        <v>-6010962.8380000023</v>
      </c>
      <c r="AJ32" s="23">
        <f t="shared" si="62"/>
        <v>-6010962.8380000023</v>
      </c>
      <c r="AK32" s="23">
        <f t="shared" si="62"/>
        <v>-6010962.8380000023</v>
      </c>
      <c r="AL32" s="23">
        <f t="shared" si="62"/>
        <v>-6010962.8380000023</v>
      </c>
      <c r="AM32" s="23">
        <f t="shared" si="62"/>
        <v>-12426762.838000003</v>
      </c>
      <c r="AN32" s="23">
        <f t="shared" si="62"/>
        <v>-59610962.838</v>
      </c>
      <c r="AO32" s="23">
        <f t="shared" ref="AO32:AQ32" si="63">SUM(AO29,AO31)</f>
        <v>-6010962.8380000023</v>
      </c>
      <c r="AP32" s="23">
        <f t="shared" si="63"/>
        <v>-6010962.8380000023</v>
      </c>
      <c r="AQ32" s="23">
        <f t="shared" si="63"/>
        <v>-59610962.838</v>
      </c>
    </row>
    <row r="35" spans="2:43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2:43" x14ac:dyDescent="0.2">
      <c r="B36" s="4" t="s">
        <v>176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  <c r="AH36" s="3">
        <v>31</v>
      </c>
      <c r="AI36" s="3">
        <v>32</v>
      </c>
      <c r="AJ36" s="3">
        <v>33</v>
      </c>
      <c r="AK36" s="3">
        <v>34</v>
      </c>
      <c r="AL36" s="3">
        <v>35</v>
      </c>
      <c r="AM36" s="3">
        <v>36</v>
      </c>
      <c r="AN36" s="3">
        <v>37</v>
      </c>
      <c r="AO36" s="3">
        <v>38</v>
      </c>
      <c r="AP36" s="3">
        <v>39</v>
      </c>
      <c r="AQ36" s="3">
        <v>40</v>
      </c>
    </row>
    <row r="37" spans="2:43" x14ac:dyDescent="0.2">
      <c r="B37" s="154" t="s">
        <v>43</v>
      </c>
      <c r="C37" s="154" t="s">
        <v>9</v>
      </c>
      <c r="D37" s="281">
        <f t="shared" ref="D37:AG37" si="64">D4</f>
        <v>2026</v>
      </c>
      <c r="E37" s="281">
        <f t="shared" si="64"/>
        <v>2027</v>
      </c>
      <c r="F37" s="281">
        <f t="shared" si="64"/>
        <v>2028</v>
      </c>
      <c r="G37" s="281">
        <f t="shared" si="64"/>
        <v>2029</v>
      </c>
      <c r="H37" s="281">
        <f t="shared" si="64"/>
        <v>2030</v>
      </c>
      <c r="I37" s="281">
        <f t="shared" si="64"/>
        <v>2031</v>
      </c>
      <c r="J37" s="281">
        <f t="shared" si="64"/>
        <v>2032</v>
      </c>
      <c r="K37" s="281">
        <f t="shared" si="64"/>
        <v>2033</v>
      </c>
      <c r="L37" s="281">
        <f t="shared" si="64"/>
        <v>2034</v>
      </c>
      <c r="M37" s="281">
        <f t="shared" si="64"/>
        <v>2035</v>
      </c>
      <c r="N37" s="281">
        <f t="shared" si="64"/>
        <v>2036</v>
      </c>
      <c r="O37" s="281">
        <f t="shared" si="64"/>
        <v>2037</v>
      </c>
      <c r="P37" s="281">
        <f t="shared" si="64"/>
        <v>2038</v>
      </c>
      <c r="Q37" s="281">
        <f t="shared" si="64"/>
        <v>2039</v>
      </c>
      <c r="R37" s="281">
        <f t="shared" si="64"/>
        <v>2040</v>
      </c>
      <c r="S37" s="281">
        <f t="shared" si="64"/>
        <v>2041</v>
      </c>
      <c r="T37" s="281">
        <f t="shared" si="64"/>
        <v>2042</v>
      </c>
      <c r="U37" s="281">
        <f t="shared" si="64"/>
        <v>2043</v>
      </c>
      <c r="V37" s="281">
        <f t="shared" si="64"/>
        <v>2044</v>
      </c>
      <c r="W37" s="281">
        <f t="shared" si="64"/>
        <v>2045</v>
      </c>
      <c r="X37" s="281">
        <f t="shared" si="64"/>
        <v>2046</v>
      </c>
      <c r="Y37" s="281">
        <f t="shared" si="64"/>
        <v>2047</v>
      </c>
      <c r="Z37" s="281">
        <f t="shared" si="64"/>
        <v>2048</v>
      </c>
      <c r="AA37" s="281">
        <f t="shared" si="64"/>
        <v>2049</v>
      </c>
      <c r="AB37" s="281">
        <f t="shared" si="64"/>
        <v>2050</v>
      </c>
      <c r="AC37" s="281">
        <f t="shared" si="64"/>
        <v>2051</v>
      </c>
      <c r="AD37" s="281">
        <f t="shared" si="64"/>
        <v>2052</v>
      </c>
      <c r="AE37" s="281">
        <f t="shared" si="64"/>
        <v>2053</v>
      </c>
      <c r="AF37" s="281">
        <f t="shared" si="64"/>
        <v>2054</v>
      </c>
      <c r="AG37" s="281">
        <f t="shared" si="64"/>
        <v>2055</v>
      </c>
      <c r="AH37" s="281">
        <f t="shared" ref="AH37:AN37" si="65">AH4</f>
        <v>2056</v>
      </c>
      <c r="AI37" s="281">
        <f t="shared" si="65"/>
        <v>2057</v>
      </c>
      <c r="AJ37" s="281">
        <f t="shared" si="65"/>
        <v>2058</v>
      </c>
      <c r="AK37" s="281">
        <f t="shared" si="65"/>
        <v>2059</v>
      </c>
      <c r="AL37" s="281">
        <f t="shared" si="65"/>
        <v>2060</v>
      </c>
      <c r="AM37" s="281">
        <f t="shared" si="65"/>
        <v>2061</v>
      </c>
      <c r="AN37" s="281">
        <f t="shared" si="65"/>
        <v>2062</v>
      </c>
      <c r="AO37" s="281">
        <f t="shared" ref="AO37:AQ37" si="66">AO4</f>
        <v>2063</v>
      </c>
      <c r="AP37" s="281">
        <f t="shared" si="66"/>
        <v>2064</v>
      </c>
      <c r="AQ37" s="281">
        <f t="shared" si="66"/>
        <v>2065</v>
      </c>
    </row>
    <row r="38" spans="2:43" x14ac:dyDescent="0.2">
      <c r="B38" s="3" t="s">
        <v>281</v>
      </c>
      <c r="C38" s="8">
        <f t="shared" ref="C38:C43" si="67">SUM(D38:AQ38)</f>
        <v>-236805796.75203022</v>
      </c>
      <c r="D38" s="8">
        <f>D27*Parametre!$C$47</f>
        <v>0</v>
      </c>
      <c r="E38" s="8">
        <f>E27*Parametre!$C$47</f>
        <v>0</v>
      </c>
      <c r="F38" s="8">
        <f>F27*Parametre!$C$47</f>
        <v>0</v>
      </c>
      <c r="G38" s="8">
        <f>G27*Parametre!$C$47</f>
        <v>0</v>
      </c>
      <c r="H38" s="8">
        <f>H27*Parametre!$C$47</f>
        <v>-2504340.6408900027</v>
      </c>
      <c r="I38" s="8">
        <f>I27*Parametre!$C$47</f>
        <v>-5008681.2817800017</v>
      </c>
      <c r="J38" s="8">
        <f>J27*Parametre!$C$47</f>
        <v>-6743905.1420400012</v>
      </c>
      <c r="K38" s="8">
        <f>K27*Parametre!$C$47</f>
        <v>-6743905.1420400012</v>
      </c>
      <c r="L38" s="8">
        <f>L27*Parametre!$C$47</f>
        <v>-6743905.1420400012</v>
      </c>
      <c r="M38" s="8">
        <f>M27*Parametre!$C$47</f>
        <v>-6743905.1420400012</v>
      </c>
      <c r="N38" s="8">
        <f>N27*Parametre!$C$47</f>
        <v>-6743905.1420400012</v>
      </c>
      <c r="O38" s="8">
        <f>O27*Parametre!$C$47</f>
        <v>-6743905.1420400012</v>
      </c>
      <c r="P38" s="8">
        <f>P27*Parametre!$C$47</f>
        <v>-6743905.1420400012</v>
      </c>
      <c r="Q38" s="8">
        <f>Q27*Parametre!$C$47</f>
        <v>-6743905.1420400012</v>
      </c>
      <c r="R38" s="8">
        <f>R27*Parametre!$C$47</f>
        <v>-6743905.1420400012</v>
      </c>
      <c r="S38" s="8">
        <f>S27*Parametre!$C$47</f>
        <v>-6743905.1420400012</v>
      </c>
      <c r="T38" s="8">
        <f>T27*Parametre!$C$47</f>
        <v>-6743905.1420400012</v>
      </c>
      <c r="U38" s="8">
        <f>U27*Parametre!$C$47</f>
        <v>-6743905.1420400012</v>
      </c>
      <c r="V38" s="8">
        <f>V27*Parametre!$C$47</f>
        <v>-6743905.1420400012</v>
      </c>
      <c r="W38" s="8">
        <f>W27*Parametre!$C$47</f>
        <v>-6743905.1420400012</v>
      </c>
      <c r="X38" s="8">
        <f>X27*Parametre!$C$47</f>
        <v>-6743905.1420400012</v>
      </c>
      <c r="Y38" s="8">
        <f>Y27*Parametre!$C$47</f>
        <v>-6743905.1420400012</v>
      </c>
      <c r="Z38" s="8">
        <f>Z27*Parametre!$C$47</f>
        <v>-6743905.1420400012</v>
      </c>
      <c r="AA38" s="8">
        <f>AA27*Parametre!$C$47</f>
        <v>-6743905.1420400012</v>
      </c>
      <c r="AB38" s="8">
        <f>AB27*Parametre!$C$47</f>
        <v>-6743905.1420400012</v>
      </c>
      <c r="AC38" s="8">
        <f>AC27*Parametre!$C$47</f>
        <v>-6743905.1420400012</v>
      </c>
      <c r="AD38" s="8">
        <f>AD27*Parametre!$C$47</f>
        <v>-6743905.1420400012</v>
      </c>
      <c r="AE38" s="8">
        <f>AE27*Parametre!$C$47</f>
        <v>-6743905.1420400012</v>
      </c>
      <c r="AF38" s="8">
        <f>AF27*Parametre!$C$47</f>
        <v>-6743905.1420400012</v>
      </c>
      <c r="AG38" s="8">
        <f>AG27*Parametre!$C$47</f>
        <v>-6743905.1420400012</v>
      </c>
      <c r="AH38" s="8">
        <f>AH27*Parametre!$C$47</f>
        <v>-6743905.1420400012</v>
      </c>
      <c r="AI38" s="8">
        <f>AI27*Parametre!$C$47</f>
        <v>-6743905.1420400012</v>
      </c>
      <c r="AJ38" s="8">
        <f>AJ27*Parametre!$C$47</f>
        <v>-6743905.1420400012</v>
      </c>
      <c r="AK38" s="8">
        <f>AK27*Parametre!$C$47</f>
        <v>-6743905.1420400012</v>
      </c>
      <c r="AL38" s="8">
        <f>AL27*Parametre!$C$47</f>
        <v>-6743905.1420400012</v>
      </c>
      <c r="AM38" s="8">
        <f>AM27*Parametre!$C$47</f>
        <v>-6743905.1420400012</v>
      </c>
      <c r="AN38" s="8">
        <f>AN27*Parametre!$C$47</f>
        <v>-6743905.1420400012</v>
      </c>
      <c r="AO38" s="8">
        <f>AO27*Parametre!$C$47</f>
        <v>-6743905.1420400012</v>
      </c>
      <c r="AP38" s="8">
        <f>AP27*Parametre!$C$47</f>
        <v>-6743905.1420400012</v>
      </c>
      <c r="AQ38" s="8">
        <f>AQ27*Parametre!$C$47</f>
        <v>-6743905.1420400012</v>
      </c>
    </row>
    <row r="39" spans="2:43" x14ac:dyDescent="0.2">
      <c r="B39" s="3" t="s">
        <v>279</v>
      </c>
      <c r="C39" s="8">
        <f t="shared" si="67"/>
        <v>-273981330</v>
      </c>
      <c r="D39" s="8">
        <f>D28*Parametre!$C$47</f>
        <v>0</v>
      </c>
      <c r="E39" s="8">
        <f>E28*Parametre!$C$47</f>
        <v>0</v>
      </c>
      <c r="F39" s="8">
        <f>F28*Parametre!$C$47</f>
        <v>0</v>
      </c>
      <c r="G39" s="8">
        <f>G28*Parametre!$C$47</f>
        <v>0</v>
      </c>
      <c r="H39" s="8">
        <f>H28*Parametre!$C$47</f>
        <v>0</v>
      </c>
      <c r="I39" s="8">
        <f>I28*Parametre!$C$47</f>
        <v>-24120000</v>
      </c>
      <c r="J39" s="8">
        <f>J28*Parametre!$C$47</f>
        <v>-24120000</v>
      </c>
      <c r="K39" s="8">
        <f>K28*Parametre!$C$47</f>
        <v>0</v>
      </c>
      <c r="L39" s="8">
        <f>L28*Parametre!$C$47</f>
        <v>0</v>
      </c>
      <c r="M39" s="8">
        <f>M28*Parametre!$C$47</f>
        <v>0</v>
      </c>
      <c r="N39" s="8">
        <f>N28*Parametre!$C$47</f>
        <v>0</v>
      </c>
      <c r="O39" s="8">
        <f>O28*Parametre!$C$47</f>
        <v>0</v>
      </c>
      <c r="P39" s="8">
        <f>P28*Parametre!$C$47</f>
        <v>0</v>
      </c>
      <c r="Q39" s="8">
        <f>Q28*Parametre!$C$47</f>
        <v>0</v>
      </c>
      <c r="R39" s="8">
        <f>R28*Parametre!$C$47</f>
        <v>0</v>
      </c>
      <c r="S39" s="8">
        <f>S28*Parametre!$C$47</f>
        <v>-48240000</v>
      </c>
      <c r="T39" s="8">
        <f>T28*Parametre!$C$47</f>
        <v>-48240000</v>
      </c>
      <c r="U39" s="8">
        <f>U28*Parametre!$C$47</f>
        <v>0</v>
      </c>
      <c r="V39" s="8">
        <f>V28*Parametre!$C$47</f>
        <v>0</v>
      </c>
      <c r="W39" s="8">
        <f>W28*Parametre!$C$47</f>
        <v>0</v>
      </c>
      <c r="X39" s="8">
        <f>X28*Parametre!$C$47</f>
        <v>0</v>
      </c>
      <c r="Y39" s="8">
        <f>Y28*Parametre!$C$47</f>
        <v>0</v>
      </c>
      <c r="Z39" s="8">
        <f>Z28*Parametre!$C$47</f>
        <v>0</v>
      </c>
      <c r="AA39" s="8">
        <f>AA28*Parametre!$C$47</f>
        <v>0</v>
      </c>
      <c r="AB39" s="8">
        <f>AB28*Parametre!$C$47</f>
        <v>0</v>
      </c>
      <c r="AC39" s="8">
        <f>AC28*Parametre!$C$47</f>
        <v>-2887110</v>
      </c>
      <c r="AD39" s="8">
        <f>AD28*Parametre!$C$47</f>
        <v>-24120000</v>
      </c>
      <c r="AE39" s="8">
        <f>AE28*Parametre!$C$47</f>
        <v>0</v>
      </c>
      <c r="AF39" s="8">
        <f>AF28*Parametre!$C$47</f>
        <v>0</v>
      </c>
      <c r="AG39" s="8">
        <f>AG28*Parametre!$C$47</f>
        <v>0</v>
      </c>
      <c r="AH39" s="8">
        <f>AH28*Parametre!$C$47</f>
        <v>0</v>
      </c>
      <c r="AI39" s="8">
        <f>AI28*Parametre!$C$47</f>
        <v>0</v>
      </c>
      <c r="AJ39" s="8">
        <f>AJ28*Parametre!$C$47</f>
        <v>0</v>
      </c>
      <c r="AK39" s="8">
        <f>AK28*Parametre!$C$47</f>
        <v>0</v>
      </c>
      <c r="AL39" s="8">
        <f>AL28*Parametre!$C$47</f>
        <v>0</v>
      </c>
      <c r="AM39" s="8">
        <f>AM28*Parametre!$C$47</f>
        <v>-5774220</v>
      </c>
      <c r="AN39" s="8">
        <f>AN28*Parametre!$C$47</f>
        <v>-48240000</v>
      </c>
      <c r="AO39" s="8">
        <f>AO28*Parametre!$C$47</f>
        <v>0</v>
      </c>
      <c r="AP39" s="8">
        <f>AP28*Parametre!$C$47</f>
        <v>0</v>
      </c>
      <c r="AQ39" s="8">
        <f>AQ28*Parametre!$C$47</f>
        <v>-48240000</v>
      </c>
    </row>
    <row r="40" spans="2:43" x14ac:dyDescent="0.2">
      <c r="B40" s="4" t="s">
        <v>280</v>
      </c>
      <c r="C40" s="13">
        <f t="shared" si="67"/>
        <v>-510787126.75203031</v>
      </c>
      <c r="D40" s="13">
        <f t="shared" ref="D40:AG40" si="68">SUM(D38:D39)</f>
        <v>0</v>
      </c>
      <c r="E40" s="13">
        <f t="shared" si="68"/>
        <v>0</v>
      </c>
      <c r="F40" s="13">
        <f t="shared" si="68"/>
        <v>0</v>
      </c>
      <c r="G40" s="13">
        <f t="shared" si="68"/>
        <v>0</v>
      </c>
      <c r="H40" s="13">
        <f t="shared" si="68"/>
        <v>-2504340.6408900027</v>
      </c>
      <c r="I40" s="13">
        <f t="shared" si="68"/>
        <v>-29128681.281780001</v>
      </c>
      <c r="J40" s="13">
        <f t="shared" si="68"/>
        <v>-30863905.142039999</v>
      </c>
      <c r="K40" s="13">
        <f t="shared" si="68"/>
        <v>-6743905.1420400012</v>
      </c>
      <c r="L40" s="13">
        <f t="shared" si="68"/>
        <v>-6743905.1420400012</v>
      </c>
      <c r="M40" s="13">
        <f t="shared" si="68"/>
        <v>-6743905.1420400012</v>
      </c>
      <c r="N40" s="13">
        <f t="shared" si="68"/>
        <v>-6743905.1420400012</v>
      </c>
      <c r="O40" s="13">
        <f t="shared" si="68"/>
        <v>-6743905.1420400012</v>
      </c>
      <c r="P40" s="13">
        <f t="shared" si="68"/>
        <v>-6743905.1420400012</v>
      </c>
      <c r="Q40" s="13">
        <f t="shared" si="68"/>
        <v>-6743905.1420400012</v>
      </c>
      <c r="R40" s="13">
        <f t="shared" si="68"/>
        <v>-6743905.1420400012</v>
      </c>
      <c r="S40" s="13">
        <f t="shared" si="68"/>
        <v>-54983905.142039999</v>
      </c>
      <c r="T40" s="13">
        <f t="shared" si="68"/>
        <v>-54983905.142039999</v>
      </c>
      <c r="U40" s="13">
        <f t="shared" si="68"/>
        <v>-6743905.1420400012</v>
      </c>
      <c r="V40" s="13">
        <f t="shared" si="68"/>
        <v>-6743905.1420400012</v>
      </c>
      <c r="W40" s="13">
        <f t="shared" si="68"/>
        <v>-6743905.1420400012</v>
      </c>
      <c r="X40" s="13">
        <f t="shared" si="68"/>
        <v>-6743905.1420400012</v>
      </c>
      <c r="Y40" s="13">
        <f t="shared" si="68"/>
        <v>-6743905.1420400012</v>
      </c>
      <c r="Z40" s="13">
        <f t="shared" si="68"/>
        <v>-6743905.1420400012</v>
      </c>
      <c r="AA40" s="13">
        <f t="shared" si="68"/>
        <v>-6743905.1420400012</v>
      </c>
      <c r="AB40" s="13">
        <f t="shared" si="68"/>
        <v>-6743905.1420400012</v>
      </c>
      <c r="AC40" s="13">
        <f t="shared" si="68"/>
        <v>-9631015.1420400012</v>
      </c>
      <c r="AD40" s="13">
        <f t="shared" si="68"/>
        <v>-30863905.142039999</v>
      </c>
      <c r="AE40" s="13">
        <f t="shared" si="68"/>
        <v>-6743905.1420400012</v>
      </c>
      <c r="AF40" s="13">
        <f t="shared" si="68"/>
        <v>-6743905.1420400012</v>
      </c>
      <c r="AG40" s="13">
        <f t="shared" si="68"/>
        <v>-6743905.1420400012</v>
      </c>
      <c r="AH40" s="13">
        <f>SUM(AH38:AH39)</f>
        <v>-6743905.1420400012</v>
      </c>
      <c r="AI40" s="13">
        <f t="shared" ref="AI40:AN40" si="69">SUM(AI38:AI39)</f>
        <v>-6743905.1420400012</v>
      </c>
      <c r="AJ40" s="13">
        <f t="shared" si="69"/>
        <v>-6743905.1420400012</v>
      </c>
      <c r="AK40" s="13">
        <f t="shared" si="69"/>
        <v>-6743905.1420400012</v>
      </c>
      <c r="AL40" s="13">
        <f t="shared" si="69"/>
        <v>-6743905.1420400012</v>
      </c>
      <c r="AM40" s="13">
        <f t="shared" si="69"/>
        <v>-12518125.142040001</v>
      </c>
      <c r="AN40" s="13">
        <f t="shared" si="69"/>
        <v>-54983905.142039999</v>
      </c>
      <c r="AO40" s="13">
        <f t="shared" ref="AO40:AQ40" si="70">SUM(AO38:AO39)</f>
        <v>-6743905.1420400012</v>
      </c>
      <c r="AP40" s="13">
        <f t="shared" si="70"/>
        <v>-6743905.1420400012</v>
      </c>
      <c r="AQ40" s="13">
        <f t="shared" si="70"/>
        <v>-54983905.142039999</v>
      </c>
    </row>
    <row r="41" spans="2:43" x14ac:dyDescent="0.2">
      <c r="B41" s="3" t="s">
        <v>177</v>
      </c>
      <c r="C41" s="8">
        <f t="shared" si="67"/>
        <v>46858105.397879951</v>
      </c>
      <c r="D41" s="8">
        <f>D30*Parametre!$C$47</f>
        <v>0</v>
      </c>
      <c r="E41" s="8">
        <f>E30*Parametre!$C$47</f>
        <v>0</v>
      </c>
      <c r="F41" s="8">
        <f>F30*Parametre!$C$47</f>
        <v>0</v>
      </c>
      <c r="G41" s="8">
        <f>G30*Parametre!$C$47</f>
        <v>0</v>
      </c>
      <c r="H41" s="8">
        <f>H30*Parametre!$C$47</f>
        <v>500264.47043999936</v>
      </c>
      <c r="I41" s="8">
        <f>I30*Parametre!$C$47</f>
        <v>1000528.9408799995</v>
      </c>
      <c r="J41" s="8">
        <f>J30*Parametre!$C$47</f>
        <v>1334038.5878399992</v>
      </c>
      <c r="K41" s="8">
        <f>K30*Parametre!$C$47</f>
        <v>1334038.5878399992</v>
      </c>
      <c r="L41" s="8">
        <f>L30*Parametre!$C$47</f>
        <v>1334038.5878399992</v>
      </c>
      <c r="M41" s="8">
        <f>M30*Parametre!$C$47</f>
        <v>1334038.5878399992</v>
      </c>
      <c r="N41" s="8">
        <f>N30*Parametre!$C$47</f>
        <v>1334038.5878399992</v>
      </c>
      <c r="O41" s="8">
        <f>O30*Parametre!$C$47</f>
        <v>1334038.5878399992</v>
      </c>
      <c r="P41" s="8">
        <f>P30*Parametre!$C$47</f>
        <v>1334038.5878399992</v>
      </c>
      <c r="Q41" s="8">
        <f>Q30*Parametre!$C$47</f>
        <v>1334038.5878399992</v>
      </c>
      <c r="R41" s="8">
        <f>R30*Parametre!$C$47</f>
        <v>1334038.5878399992</v>
      </c>
      <c r="S41" s="8">
        <f>S30*Parametre!$C$47</f>
        <v>1334038.5878399992</v>
      </c>
      <c r="T41" s="8">
        <f>T30*Parametre!$C$47</f>
        <v>1334038.5878399992</v>
      </c>
      <c r="U41" s="8">
        <f>U30*Parametre!$C$47</f>
        <v>1334038.5878399992</v>
      </c>
      <c r="V41" s="8">
        <f>V30*Parametre!$C$47</f>
        <v>1334038.5878399992</v>
      </c>
      <c r="W41" s="8">
        <f>W30*Parametre!$C$47</f>
        <v>1334038.5878399992</v>
      </c>
      <c r="X41" s="8">
        <f>X30*Parametre!$C$47</f>
        <v>1334038.5878399992</v>
      </c>
      <c r="Y41" s="8">
        <f>Y30*Parametre!$C$47</f>
        <v>1334038.5878399992</v>
      </c>
      <c r="Z41" s="8">
        <f>Z30*Parametre!$C$47</f>
        <v>1334038.5878399992</v>
      </c>
      <c r="AA41" s="8">
        <f>AA30*Parametre!$C$47</f>
        <v>1334038.5878399992</v>
      </c>
      <c r="AB41" s="8">
        <f>AB30*Parametre!$C$47</f>
        <v>1334038.5878399992</v>
      </c>
      <c r="AC41" s="8">
        <f>AC30*Parametre!$C$47</f>
        <v>1334038.5878399992</v>
      </c>
      <c r="AD41" s="8">
        <f>AD30*Parametre!$C$47</f>
        <v>1334038.5878399992</v>
      </c>
      <c r="AE41" s="8">
        <f>AE30*Parametre!$C$47</f>
        <v>1334038.5878399992</v>
      </c>
      <c r="AF41" s="8">
        <f>AF30*Parametre!$C$47</f>
        <v>1334038.5878399992</v>
      </c>
      <c r="AG41" s="8">
        <f>AG30*Parametre!$C$47</f>
        <v>1334038.5878399992</v>
      </c>
      <c r="AH41" s="8">
        <f>AH30*Parametre!$C$47</f>
        <v>1334038.5878399992</v>
      </c>
      <c r="AI41" s="8">
        <f>AI30*Parametre!$C$47</f>
        <v>1334038.5878399992</v>
      </c>
      <c r="AJ41" s="8">
        <f>AJ30*Parametre!$C$47</f>
        <v>1334038.5878399992</v>
      </c>
      <c r="AK41" s="8">
        <f>AK30*Parametre!$C$47</f>
        <v>1334038.5878399992</v>
      </c>
      <c r="AL41" s="8">
        <f>AL30*Parametre!$C$47</f>
        <v>1334038.5878399992</v>
      </c>
      <c r="AM41" s="8">
        <f>AM30*Parametre!$C$47</f>
        <v>1334038.5878399992</v>
      </c>
      <c r="AN41" s="8">
        <f>AN30*Parametre!$C$47</f>
        <v>1334038.5878399992</v>
      </c>
      <c r="AO41" s="8">
        <f>AO30*Parametre!$C$47</f>
        <v>1334038.5878399992</v>
      </c>
      <c r="AP41" s="8">
        <f>AP30*Parametre!$C$47</f>
        <v>1334038.5878399992</v>
      </c>
      <c r="AQ41" s="8">
        <f>AQ30*Parametre!$C$47</f>
        <v>1334038.5878399992</v>
      </c>
    </row>
    <row r="42" spans="2:43" ht="12" thickBot="1" x14ac:dyDescent="0.25">
      <c r="B42" s="20" t="s">
        <v>178</v>
      </c>
      <c r="C42" s="21">
        <f t="shared" si="67"/>
        <v>46858105.397879951</v>
      </c>
      <c r="D42" s="21">
        <f t="shared" ref="D42:AG42" si="71">SUM(D41:D41)</f>
        <v>0</v>
      </c>
      <c r="E42" s="21">
        <f t="shared" si="71"/>
        <v>0</v>
      </c>
      <c r="F42" s="21">
        <f t="shared" si="71"/>
        <v>0</v>
      </c>
      <c r="G42" s="21">
        <f t="shared" si="71"/>
        <v>0</v>
      </c>
      <c r="H42" s="21">
        <f t="shared" si="71"/>
        <v>500264.47043999936</v>
      </c>
      <c r="I42" s="21">
        <f t="shared" si="71"/>
        <v>1000528.9408799995</v>
      </c>
      <c r="J42" s="21">
        <f t="shared" si="71"/>
        <v>1334038.5878399992</v>
      </c>
      <c r="K42" s="21">
        <f t="shared" si="71"/>
        <v>1334038.5878399992</v>
      </c>
      <c r="L42" s="21">
        <f t="shared" si="71"/>
        <v>1334038.5878399992</v>
      </c>
      <c r="M42" s="21">
        <f t="shared" si="71"/>
        <v>1334038.5878399992</v>
      </c>
      <c r="N42" s="21">
        <f t="shared" si="71"/>
        <v>1334038.5878399992</v>
      </c>
      <c r="O42" s="21">
        <f t="shared" si="71"/>
        <v>1334038.5878399992</v>
      </c>
      <c r="P42" s="21">
        <f t="shared" si="71"/>
        <v>1334038.5878399992</v>
      </c>
      <c r="Q42" s="21">
        <f t="shared" si="71"/>
        <v>1334038.5878399992</v>
      </c>
      <c r="R42" s="21">
        <f t="shared" si="71"/>
        <v>1334038.5878399992</v>
      </c>
      <c r="S42" s="21">
        <f t="shared" si="71"/>
        <v>1334038.5878399992</v>
      </c>
      <c r="T42" s="21">
        <f t="shared" si="71"/>
        <v>1334038.5878399992</v>
      </c>
      <c r="U42" s="21">
        <f t="shared" si="71"/>
        <v>1334038.5878399992</v>
      </c>
      <c r="V42" s="21">
        <f t="shared" si="71"/>
        <v>1334038.5878399992</v>
      </c>
      <c r="W42" s="21">
        <f t="shared" si="71"/>
        <v>1334038.5878399992</v>
      </c>
      <c r="X42" s="21">
        <f t="shared" si="71"/>
        <v>1334038.5878399992</v>
      </c>
      <c r="Y42" s="21">
        <f t="shared" si="71"/>
        <v>1334038.5878399992</v>
      </c>
      <c r="Z42" s="21">
        <f t="shared" si="71"/>
        <v>1334038.5878399992</v>
      </c>
      <c r="AA42" s="21">
        <f t="shared" si="71"/>
        <v>1334038.5878399992</v>
      </c>
      <c r="AB42" s="21">
        <f t="shared" si="71"/>
        <v>1334038.5878399992</v>
      </c>
      <c r="AC42" s="21">
        <f t="shared" si="71"/>
        <v>1334038.5878399992</v>
      </c>
      <c r="AD42" s="21">
        <f t="shared" si="71"/>
        <v>1334038.5878399992</v>
      </c>
      <c r="AE42" s="21">
        <f t="shared" si="71"/>
        <v>1334038.5878399992</v>
      </c>
      <c r="AF42" s="21">
        <f t="shared" si="71"/>
        <v>1334038.5878399992</v>
      </c>
      <c r="AG42" s="21">
        <f t="shared" si="71"/>
        <v>1334038.5878399992</v>
      </c>
      <c r="AH42" s="21">
        <f t="shared" ref="AH42:AN42" si="72">SUM(AH41:AH41)</f>
        <v>1334038.5878399992</v>
      </c>
      <c r="AI42" s="21">
        <f t="shared" si="72"/>
        <v>1334038.5878399992</v>
      </c>
      <c r="AJ42" s="21">
        <f t="shared" si="72"/>
        <v>1334038.5878399992</v>
      </c>
      <c r="AK42" s="21">
        <f t="shared" si="72"/>
        <v>1334038.5878399992</v>
      </c>
      <c r="AL42" s="21">
        <f t="shared" si="72"/>
        <v>1334038.5878399992</v>
      </c>
      <c r="AM42" s="21">
        <f t="shared" si="72"/>
        <v>1334038.5878399992</v>
      </c>
      <c r="AN42" s="21">
        <f t="shared" si="72"/>
        <v>1334038.5878399992</v>
      </c>
      <c r="AO42" s="21">
        <f t="shared" ref="AO42:AQ42" si="73">SUM(AO41:AO41)</f>
        <v>1334038.5878399992</v>
      </c>
      <c r="AP42" s="21">
        <f t="shared" si="73"/>
        <v>1334038.5878399992</v>
      </c>
      <c r="AQ42" s="21">
        <f t="shared" si="73"/>
        <v>1334038.5878399992</v>
      </c>
    </row>
    <row r="43" spans="2:43" ht="12" thickTop="1" x14ac:dyDescent="0.2">
      <c r="B43" s="22" t="s">
        <v>179</v>
      </c>
      <c r="C43" s="23">
        <f t="shared" si="67"/>
        <v>-463929021.35414994</v>
      </c>
      <c r="D43" s="23">
        <f t="shared" ref="D43:AG43" si="74">SUM(D40,D42)</f>
        <v>0</v>
      </c>
      <c r="E43" s="23">
        <f t="shared" si="74"/>
        <v>0</v>
      </c>
      <c r="F43" s="23">
        <f t="shared" si="74"/>
        <v>0</v>
      </c>
      <c r="G43" s="23">
        <f t="shared" si="74"/>
        <v>0</v>
      </c>
      <c r="H43" s="23">
        <f t="shared" si="74"/>
        <v>-2004076.1704500034</v>
      </c>
      <c r="I43" s="23">
        <f t="shared" si="74"/>
        <v>-28128152.3409</v>
      </c>
      <c r="J43" s="23">
        <f t="shared" si="74"/>
        <v>-29529866.554200001</v>
      </c>
      <c r="K43" s="23">
        <f t="shared" si="74"/>
        <v>-5409866.554200002</v>
      </c>
      <c r="L43" s="23">
        <f t="shared" si="74"/>
        <v>-5409866.554200002</v>
      </c>
      <c r="M43" s="23">
        <f t="shared" si="74"/>
        <v>-5409866.554200002</v>
      </c>
      <c r="N43" s="23">
        <f t="shared" si="74"/>
        <v>-5409866.554200002</v>
      </c>
      <c r="O43" s="23">
        <f t="shared" si="74"/>
        <v>-5409866.554200002</v>
      </c>
      <c r="P43" s="23">
        <f t="shared" si="74"/>
        <v>-5409866.554200002</v>
      </c>
      <c r="Q43" s="23">
        <f t="shared" si="74"/>
        <v>-5409866.554200002</v>
      </c>
      <c r="R43" s="23">
        <f t="shared" si="74"/>
        <v>-5409866.554200002</v>
      </c>
      <c r="S43" s="23">
        <f t="shared" si="74"/>
        <v>-53649866.554200001</v>
      </c>
      <c r="T43" s="23">
        <f t="shared" si="74"/>
        <v>-53649866.554200001</v>
      </c>
      <c r="U43" s="23">
        <f t="shared" si="74"/>
        <v>-5409866.554200002</v>
      </c>
      <c r="V43" s="23">
        <f t="shared" si="74"/>
        <v>-5409866.554200002</v>
      </c>
      <c r="W43" s="23">
        <f t="shared" si="74"/>
        <v>-5409866.554200002</v>
      </c>
      <c r="X43" s="23">
        <f t="shared" si="74"/>
        <v>-5409866.554200002</v>
      </c>
      <c r="Y43" s="23">
        <f t="shared" si="74"/>
        <v>-5409866.554200002</v>
      </c>
      <c r="Z43" s="23">
        <f t="shared" si="74"/>
        <v>-5409866.554200002</v>
      </c>
      <c r="AA43" s="23">
        <f t="shared" si="74"/>
        <v>-5409866.554200002</v>
      </c>
      <c r="AB43" s="23">
        <f t="shared" si="74"/>
        <v>-5409866.554200002</v>
      </c>
      <c r="AC43" s="23">
        <f t="shared" si="74"/>
        <v>-8296976.554200002</v>
      </c>
      <c r="AD43" s="23">
        <f t="shared" si="74"/>
        <v>-29529866.554200001</v>
      </c>
      <c r="AE43" s="23">
        <f t="shared" si="74"/>
        <v>-5409866.554200002</v>
      </c>
      <c r="AF43" s="23">
        <f t="shared" si="74"/>
        <v>-5409866.554200002</v>
      </c>
      <c r="AG43" s="23">
        <f t="shared" si="74"/>
        <v>-5409866.554200002</v>
      </c>
      <c r="AH43" s="23">
        <f t="shared" ref="AH43:AN43" si="75">SUM(AH40,AH42)</f>
        <v>-5409866.554200002</v>
      </c>
      <c r="AI43" s="23">
        <f t="shared" si="75"/>
        <v>-5409866.554200002</v>
      </c>
      <c r="AJ43" s="23">
        <f t="shared" si="75"/>
        <v>-5409866.554200002</v>
      </c>
      <c r="AK43" s="23">
        <f t="shared" si="75"/>
        <v>-5409866.554200002</v>
      </c>
      <c r="AL43" s="23">
        <f t="shared" si="75"/>
        <v>-5409866.554200002</v>
      </c>
      <c r="AM43" s="23">
        <f t="shared" si="75"/>
        <v>-11184086.554200001</v>
      </c>
      <c r="AN43" s="23">
        <f t="shared" si="75"/>
        <v>-53649866.554200001</v>
      </c>
      <c r="AO43" s="23">
        <f t="shared" ref="AO43:AQ43" si="76">SUM(AO40,AO42)</f>
        <v>-5409866.554200002</v>
      </c>
      <c r="AP43" s="23">
        <f t="shared" si="76"/>
        <v>-5409866.554200002</v>
      </c>
      <c r="AQ43" s="23">
        <f t="shared" si="76"/>
        <v>-53649866.554200001</v>
      </c>
    </row>
    <row r="45" spans="2:43" x14ac:dyDescent="0.2">
      <c r="B45" s="2" t="s">
        <v>165</v>
      </c>
    </row>
    <row r="46" spans="2:43" x14ac:dyDescent="0.2">
      <c r="B46" s="2" t="s">
        <v>166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 AH40:AN40 AH29:AN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7C77-99B5-424D-BF95-E5F9B2BCF4B5}">
  <sheetPr>
    <tabColor theme="0" tint="-0.14999847407452621"/>
  </sheetPr>
  <dimension ref="A1:BV58"/>
  <sheetViews>
    <sheetView workbookViewId="0"/>
  </sheetViews>
  <sheetFormatPr defaultColWidth="8.85546875" defaultRowHeight="12.75" x14ac:dyDescent="0.2"/>
  <cols>
    <col min="1" max="1" width="1.42578125" style="409" customWidth="1"/>
    <col min="2" max="2" width="38.140625" style="409" bestFit="1" customWidth="1"/>
    <col min="3" max="3" width="14.42578125" style="409" bestFit="1" customWidth="1"/>
    <col min="4" max="4" width="16.140625" style="409" bestFit="1" customWidth="1"/>
    <col min="5" max="5" width="12.5703125" style="409" bestFit="1" customWidth="1"/>
    <col min="6" max="6" width="18.85546875" style="409" bestFit="1" customWidth="1"/>
    <col min="7" max="47" width="12.5703125" style="409" bestFit="1" customWidth="1"/>
    <col min="48" max="16384" width="8.85546875" style="409"/>
  </cols>
  <sheetData>
    <row r="1" spans="1:57" x14ac:dyDescent="0.2">
      <c r="B1" s="667"/>
      <c r="C1" s="667"/>
      <c r="D1" s="667"/>
      <c r="E1" s="667"/>
      <c r="F1" s="667"/>
      <c r="G1" s="667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</row>
    <row r="2" spans="1:57" x14ac:dyDescent="0.2">
      <c r="A2" s="410"/>
      <c r="B2" s="669" t="s">
        <v>647</v>
      </c>
      <c r="C2" s="669"/>
      <c r="D2" s="669"/>
      <c r="E2" s="669"/>
      <c r="F2" s="669"/>
      <c r="G2" s="67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</row>
    <row r="3" spans="1:57" x14ac:dyDescent="0.2">
      <c r="A3" s="410"/>
      <c r="B3" s="669"/>
      <c r="C3" s="669"/>
      <c r="D3" s="669"/>
      <c r="E3" s="669"/>
      <c r="F3" s="669"/>
      <c r="G3" s="67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410"/>
      <c r="AS3" s="410"/>
      <c r="AT3" s="410"/>
    </row>
    <row r="4" spans="1:57" s="412" customFormat="1" x14ac:dyDescent="0.2">
      <c r="A4" s="411"/>
      <c r="B4" s="669"/>
      <c r="C4" s="669"/>
      <c r="D4" s="669"/>
      <c r="E4" s="669"/>
      <c r="F4" s="669"/>
      <c r="G4" s="670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</row>
    <row r="5" spans="1:57" x14ac:dyDescent="0.2">
      <c r="A5" s="410"/>
      <c r="B5" s="671" t="s">
        <v>662</v>
      </c>
      <c r="C5" s="672"/>
      <c r="D5" s="672"/>
      <c r="E5" s="672"/>
      <c r="F5" s="672"/>
      <c r="G5" s="673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</row>
    <row r="6" spans="1:57" x14ac:dyDescent="0.2">
      <c r="A6" s="410"/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</row>
    <row r="7" spans="1:57" ht="13.5" thickBot="1" x14ac:dyDescent="0.25">
      <c r="A7" s="410"/>
      <c r="B7" s="410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</row>
    <row r="8" spans="1:57" x14ac:dyDescent="0.2">
      <c r="A8" s="410"/>
      <c r="B8" s="674" t="s">
        <v>658</v>
      </c>
      <c r="C8" s="413" t="s">
        <v>678</v>
      </c>
      <c r="D8" s="676" t="s">
        <v>723</v>
      </c>
      <c r="E8" s="676" t="s">
        <v>724</v>
      </c>
      <c r="F8" s="679" t="s">
        <v>648</v>
      </c>
      <c r="G8" s="297" t="s">
        <v>649</v>
      </c>
      <c r="H8" s="414">
        <v>2026</v>
      </c>
      <c r="I8" s="296">
        <v>2027</v>
      </c>
      <c r="J8" s="296">
        <v>2028</v>
      </c>
      <c r="K8" s="296">
        <f t="shared" ref="K8:AI8" si="0">J8+1</f>
        <v>2029</v>
      </c>
      <c r="L8" s="296">
        <f t="shared" si="0"/>
        <v>2030</v>
      </c>
      <c r="M8" s="296">
        <f t="shared" si="0"/>
        <v>2031</v>
      </c>
      <c r="N8" s="296">
        <f t="shared" si="0"/>
        <v>2032</v>
      </c>
      <c r="O8" s="296">
        <f t="shared" si="0"/>
        <v>2033</v>
      </c>
      <c r="P8" s="296">
        <f t="shared" si="0"/>
        <v>2034</v>
      </c>
      <c r="Q8" s="296">
        <f t="shared" si="0"/>
        <v>2035</v>
      </c>
      <c r="R8" s="296">
        <f t="shared" si="0"/>
        <v>2036</v>
      </c>
      <c r="S8" s="296">
        <f t="shared" si="0"/>
        <v>2037</v>
      </c>
      <c r="T8" s="296">
        <f t="shared" si="0"/>
        <v>2038</v>
      </c>
      <c r="U8" s="296">
        <f t="shared" si="0"/>
        <v>2039</v>
      </c>
      <c r="V8" s="296">
        <f t="shared" si="0"/>
        <v>2040</v>
      </c>
      <c r="W8" s="296">
        <f t="shared" si="0"/>
        <v>2041</v>
      </c>
      <c r="X8" s="296">
        <f t="shared" si="0"/>
        <v>2042</v>
      </c>
      <c r="Y8" s="296">
        <f t="shared" si="0"/>
        <v>2043</v>
      </c>
      <c r="Z8" s="296">
        <f t="shared" si="0"/>
        <v>2044</v>
      </c>
      <c r="AA8" s="296">
        <f t="shared" si="0"/>
        <v>2045</v>
      </c>
      <c r="AB8" s="296">
        <f t="shared" si="0"/>
        <v>2046</v>
      </c>
      <c r="AC8" s="296">
        <f t="shared" si="0"/>
        <v>2047</v>
      </c>
      <c r="AD8" s="296">
        <f t="shared" si="0"/>
        <v>2048</v>
      </c>
      <c r="AE8" s="296">
        <f t="shared" si="0"/>
        <v>2049</v>
      </c>
      <c r="AF8" s="296">
        <f t="shared" si="0"/>
        <v>2050</v>
      </c>
      <c r="AG8" s="296">
        <f t="shared" si="0"/>
        <v>2051</v>
      </c>
      <c r="AH8" s="296">
        <f t="shared" si="0"/>
        <v>2052</v>
      </c>
      <c r="AI8" s="296">
        <f t="shared" si="0"/>
        <v>2053</v>
      </c>
      <c r="AJ8" s="296">
        <f>AI8+1</f>
        <v>2054</v>
      </c>
      <c r="AK8" s="296">
        <f>AJ8+1</f>
        <v>2055</v>
      </c>
      <c r="AL8" s="296">
        <f t="shared" ref="AL8:AU8" si="1">AK8+1</f>
        <v>2056</v>
      </c>
      <c r="AM8" s="296">
        <f t="shared" si="1"/>
        <v>2057</v>
      </c>
      <c r="AN8" s="296">
        <f t="shared" si="1"/>
        <v>2058</v>
      </c>
      <c r="AO8" s="296">
        <f t="shared" si="1"/>
        <v>2059</v>
      </c>
      <c r="AP8" s="296">
        <f t="shared" si="1"/>
        <v>2060</v>
      </c>
      <c r="AQ8" s="296">
        <f t="shared" si="1"/>
        <v>2061</v>
      </c>
      <c r="AR8" s="296">
        <f t="shared" si="1"/>
        <v>2062</v>
      </c>
      <c r="AS8" s="296">
        <f t="shared" si="1"/>
        <v>2063</v>
      </c>
      <c r="AT8" s="296">
        <f t="shared" si="1"/>
        <v>2064</v>
      </c>
      <c r="AU8" s="296">
        <f t="shared" si="1"/>
        <v>2065</v>
      </c>
    </row>
    <row r="9" spans="1:57" x14ac:dyDescent="0.2">
      <c r="A9" s="410"/>
      <c r="B9" s="675"/>
      <c r="C9" s="415" t="s">
        <v>730</v>
      </c>
      <c r="D9" s="677"/>
      <c r="E9" s="677"/>
      <c r="F9" s="680"/>
      <c r="G9" s="448" t="s">
        <v>500</v>
      </c>
      <c r="H9" s="416">
        <v>8</v>
      </c>
      <c r="I9" s="416">
        <v>8</v>
      </c>
      <c r="J9" s="416">
        <v>8</v>
      </c>
      <c r="K9" s="416">
        <v>8</v>
      </c>
      <c r="L9" s="416">
        <v>8</v>
      </c>
      <c r="M9" s="416">
        <v>8</v>
      </c>
      <c r="N9" s="416">
        <v>8</v>
      </c>
      <c r="O9" s="416">
        <v>8</v>
      </c>
      <c r="P9" s="416">
        <v>8</v>
      </c>
      <c r="Q9" s="416">
        <v>8</v>
      </c>
      <c r="R9" s="416">
        <v>8</v>
      </c>
      <c r="S9" s="416">
        <v>8</v>
      </c>
      <c r="T9" s="416">
        <v>8</v>
      </c>
      <c r="U9" s="416">
        <v>8</v>
      </c>
      <c r="V9" s="416">
        <v>8</v>
      </c>
      <c r="W9" s="416">
        <v>8</v>
      </c>
      <c r="X9" s="416">
        <v>8</v>
      </c>
      <c r="Y9" s="416">
        <v>8</v>
      </c>
      <c r="Z9" s="416">
        <v>8</v>
      </c>
      <c r="AA9" s="416">
        <v>8</v>
      </c>
      <c r="AB9" s="416">
        <v>8</v>
      </c>
      <c r="AC9" s="416">
        <v>8</v>
      </c>
      <c r="AD9" s="416">
        <v>8</v>
      </c>
      <c r="AE9" s="416">
        <v>8</v>
      </c>
      <c r="AF9" s="416">
        <v>8</v>
      </c>
      <c r="AG9" s="416">
        <v>8</v>
      </c>
      <c r="AH9" s="416">
        <v>8</v>
      </c>
      <c r="AI9" s="416">
        <v>8</v>
      </c>
      <c r="AJ9" s="416">
        <v>8</v>
      </c>
      <c r="AK9" s="416">
        <v>8</v>
      </c>
      <c r="AL9" s="416">
        <v>8</v>
      </c>
      <c r="AM9" s="416">
        <v>8</v>
      </c>
      <c r="AN9" s="416">
        <v>8</v>
      </c>
      <c r="AO9" s="416">
        <v>8</v>
      </c>
      <c r="AP9" s="416">
        <v>8</v>
      </c>
      <c r="AQ9" s="416">
        <v>8</v>
      </c>
      <c r="AR9" s="416">
        <v>8</v>
      </c>
      <c r="AS9" s="416">
        <v>8</v>
      </c>
      <c r="AT9" s="416">
        <v>8</v>
      </c>
      <c r="AU9" s="416">
        <v>8</v>
      </c>
    </row>
    <row r="10" spans="1:57" ht="13.5" thickBot="1" x14ac:dyDescent="0.25">
      <c r="A10" s="410"/>
      <c r="B10" s="563" t="s">
        <v>650</v>
      </c>
      <c r="C10" s="564">
        <f>363*1010</f>
        <v>366630</v>
      </c>
      <c r="D10" s="678"/>
      <c r="E10" s="678"/>
      <c r="F10" s="680"/>
      <c r="G10" s="449" t="s">
        <v>499</v>
      </c>
      <c r="H10" s="558">
        <v>7</v>
      </c>
      <c r="I10" s="558">
        <v>7</v>
      </c>
      <c r="J10" s="558">
        <v>7</v>
      </c>
      <c r="K10" s="558">
        <v>7</v>
      </c>
      <c r="L10" s="558">
        <v>7</v>
      </c>
      <c r="M10" s="558">
        <v>7</v>
      </c>
      <c r="N10" s="558">
        <v>7</v>
      </c>
      <c r="O10" s="558">
        <v>7</v>
      </c>
      <c r="P10" s="558">
        <v>7</v>
      </c>
      <c r="Q10" s="558">
        <v>7</v>
      </c>
      <c r="R10" s="558">
        <v>7</v>
      </c>
      <c r="S10" s="558">
        <v>7</v>
      </c>
      <c r="T10" s="558">
        <v>7</v>
      </c>
      <c r="U10" s="558">
        <v>7</v>
      </c>
      <c r="V10" s="558">
        <v>7</v>
      </c>
      <c r="W10" s="558">
        <v>7</v>
      </c>
      <c r="X10" s="558">
        <v>7</v>
      </c>
      <c r="Y10" s="558">
        <v>7</v>
      </c>
      <c r="Z10" s="558">
        <v>7</v>
      </c>
      <c r="AA10" s="558">
        <v>7</v>
      </c>
      <c r="AB10" s="558">
        <v>7</v>
      </c>
      <c r="AC10" s="558">
        <v>7</v>
      </c>
      <c r="AD10" s="558">
        <v>7</v>
      </c>
      <c r="AE10" s="558">
        <v>7</v>
      </c>
      <c r="AF10" s="558">
        <v>7</v>
      </c>
      <c r="AG10" s="558">
        <v>7</v>
      </c>
      <c r="AH10" s="558">
        <v>7</v>
      </c>
      <c r="AI10" s="558">
        <v>7</v>
      </c>
      <c r="AJ10" s="558">
        <v>7</v>
      </c>
      <c r="AK10" s="558">
        <v>7</v>
      </c>
      <c r="AL10" s="558">
        <v>7</v>
      </c>
      <c r="AM10" s="558">
        <v>7</v>
      </c>
      <c r="AN10" s="558">
        <v>7</v>
      </c>
      <c r="AO10" s="558">
        <v>7</v>
      </c>
      <c r="AP10" s="558">
        <v>7</v>
      </c>
      <c r="AQ10" s="558">
        <v>7</v>
      </c>
      <c r="AR10" s="558">
        <v>7</v>
      </c>
      <c r="AS10" s="558">
        <v>7</v>
      </c>
      <c r="AT10" s="558">
        <v>7</v>
      </c>
      <c r="AU10" s="558">
        <v>7</v>
      </c>
    </row>
    <row r="11" spans="1:57" x14ac:dyDescent="0.2">
      <c r="A11" s="410"/>
      <c r="B11" s="420" t="s">
        <v>651</v>
      </c>
      <c r="C11" s="421" t="s">
        <v>226</v>
      </c>
      <c r="D11" s="422">
        <f>2.66*1.123</f>
        <v>2.9871799999999999</v>
      </c>
      <c r="E11" s="423">
        <f>C10</f>
        <v>366630</v>
      </c>
      <c r="F11" s="424">
        <f>D11*E11</f>
        <v>1095189.8034000001</v>
      </c>
      <c r="G11" s="681"/>
      <c r="H11" s="559">
        <f>$F$11*H9</f>
        <v>8761518.4272000007</v>
      </c>
      <c r="I11" s="550">
        <f t="shared" ref="I11:AU11" si="2">$F$11*I9</f>
        <v>8761518.4272000007</v>
      </c>
      <c r="J11" s="550">
        <f t="shared" si="2"/>
        <v>8761518.4272000007</v>
      </c>
      <c r="K11" s="550">
        <f t="shared" si="2"/>
        <v>8761518.4272000007</v>
      </c>
      <c r="L11" s="550">
        <f t="shared" si="2"/>
        <v>8761518.4272000007</v>
      </c>
      <c r="M11" s="550">
        <f t="shared" si="2"/>
        <v>8761518.4272000007</v>
      </c>
      <c r="N11" s="550">
        <f t="shared" si="2"/>
        <v>8761518.4272000007</v>
      </c>
      <c r="O11" s="550">
        <f t="shared" si="2"/>
        <v>8761518.4272000007</v>
      </c>
      <c r="P11" s="550">
        <f t="shared" si="2"/>
        <v>8761518.4272000007</v>
      </c>
      <c r="Q11" s="550">
        <f t="shared" si="2"/>
        <v>8761518.4272000007</v>
      </c>
      <c r="R11" s="550">
        <f t="shared" si="2"/>
        <v>8761518.4272000007</v>
      </c>
      <c r="S11" s="550">
        <f t="shared" si="2"/>
        <v>8761518.4272000007</v>
      </c>
      <c r="T11" s="550">
        <f t="shared" si="2"/>
        <v>8761518.4272000007</v>
      </c>
      <c r="U11" s="550">
        <f t="shared" si="2"/>
        <v>8761518.4272000007</v>
      </c>
      <c r="V11" s="550">
        <f t="shared" si="2"/>
        <v>8761518.4272000007</v>
      </c>
      <c r="W11" s="550">
        <f t="shared" si="2"/>
        <v>8761518.4272000007</v>
      </c>
      <c r="X11" s="550">
        <f t="shared" si="2"/>
        <v>8761518.4272000007</v>
      </c>
      <c r="Y11" s="550">
        <f t="shared" si="2"/>
        <v>8761518.4272000007</v>
      </c>
      <c r="Z11" s="550">
        <f t="shared" si="2"/>
        <v>8761518.4272000007</v>
      </c>
      <c r="AA11" s="550">
        <f t="shared" si="2"/>
        <v>8761518.4272000007</v>
      </c>
      <c r="AB11" s="550">
        <f t="shared" si="2"/>
        <v>8761518.4272000007</v>
      </c>
      <c r="AC11" s="550">
        <f t="shared" si="2"/>
        <v>8761518.4272000007</v>
      </c>
      <c r="AD11" s="550">
        <f t="shared" si="2"/>
        <v>8761518.4272000007</v>
      </c>
      <c r="AE11" s="550">
        <f t="shared" si="2"/>
        <v>8761518.4272000007</v>
      </c>
      <c r="AF11" s="550">
        <f t="shared" si="2"/>
        <v>8761518.4272000007</v>
      </c>
      <c r="AG11" s="550">
        <f t="shared" si="2"/>
        <v>8761518.4272000007</v>
      </c>
      <c r="AH11" s="550">
        <f t="shared" si="2"/>
        <v>8761518.4272000007</v>
      </c>
      <c r="AI11" s="550">
        <f t="shared" si="2"/>
        <v>8761518.4272000007</v>
      </c>
      <c r="AJ11" s="550">
        <f t="shared" si="2"/>
        <v>8761518.4272000007</v>
      </c>
      <c r="AK11" s="550">
        <f t="shared" si="2"/>
        <v>8761518.4272000007</v>
      </c>
      <c r="AL11" s="550">
        <f t="shared" si="2"/>
        <v>8761518.4272000007</v>
      </c>
      <c r="AM11" s="550">
        <f t="shared" si="2"/>
        <v>8761518.4272000007</v>
      </c>
      <c r="AN11" s="550">
        <f t="shared" si="2"/>
        <v>8761518.4272000007</v>
      </c>
      <c r="AO11" s="550">
        <f t="shared" si="2"/>
        <v>8761518.4272000007</v>
      </c>
      <c r="AP11" s="550">
        <f t="shared" si="2"/>
        <v>8761518.4272000007</v>
      </c>
      <c r="AQ11" s="550">
        <f t="shared" si="2"/>
        <v>8761518.4272000007</v>
      </c>
      <c r="AR11" s="550">
        <f t="shared" si="2"/>
        <v>8761518.4272000007</v>
      </c>
      <c r="AS11" s="550">
        <f t="shared" si="2"/>
        <v>8761518.4272000007</v>
      </c>
      <c r="AT11" s="550">
        <f t="shared" si="2"/>
        <v>8761518.4272000007</v>
      </c>
      <c r="AU11" s="551">
        <f t="shared" si="2"/>
        <v>8761518.4272000007</v>
      </c>
    </row>
    <row r="12" spans="1:57" x14ac:dyDescent="0.2">
      <c r="A12" s="410"/>
      <c r="B12" s="425" t="s">
        <v>652</v>
      </c>
      <c r="C12" s="426" t="s">
        <v>226</v>
      </c>
      <c r="D12" s="497"/>
      <c r="E12" s="457"/>
      <c r="F12" s="458"/>
      <c r="G12" s="681"/>
      <c r="H12" s="450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2"/>
    </row>
    <row r="13" spans="1:57" x14ac:dyDescent="0.2">
      <c r="A13" s="411"/>
      <c r="B13" s="425" t="s">
        <v>653</v>
      </c>
      <c r="C13" s="426" t="s">
        <v>226</v>
      </c>
      <c r="D13" s="427">
        <f>0.64*1.123</f>
        <v>0.71872000000000003</v>
      </c>
      <c r="E13" s="428">
        <f>C10</f>
        <v>366630</v>
      </c>
      <c r="F13" s="429">
        <f>D13*E13</f>
        <v>263504.31359999999</v>
      </c>
      <c r="G13" s="681"/>
      <c r="H13" s="430">
        <f>$F$13*H9</f>
        <v>2108034.5088</v>
      </c>
      <c r="I13" s="431">
        <f t="shared" ref="I13:AU13" si="3">$F$13*I9</f>
        <v>2108034.5088</v>
      </c>
      <c r="J13" s="431">
        <f t="shared" si="3"/>
        <v>2108034.5088</v>
      </c>
      <c r="K13" s="431">
        <f t="shared" si="3"/>
        <v>2108034.5088</v>
      </c>
      <c r="L13" s="431">
        <f t="shared" si="3"/>
        <v>2108034.5088</v>
      </c>
      <c r="M13" s="431">
        <f t="shared" si="3"/>
        <v>2108034.5088</v>
      </c>
      <c r="N13" s="431">
        <f t="shared" si="3"/>
        <v>2108034.5088</v>
      </c>
      <c r="O13" s="431">
        <f t="shared" si="3"/>
        <v>2108034.5088</v>
      </c>
      <c r="P13" s="431">
        <f t="shared" si="3"/>
        <v>2108034.5088</v>
      </c>
      <c r="Q13" s="431">
        <f t="shared" si="3"/>
        <v>2108034.5088</v>
      </c>
      <c r="R13" s="431">
        <f t="shared" si="3"/>
        <v>2108034.5088</v>
      </c>
      <c r="S13" s="431">
        <f t="shared" si="3"/>
        <v>2108034.5088</v>
      </c>
      <c r="T13" s="431">
        <f t="shared" si="3"/>
        <v>2108034.5088</v>
      </c>
      <c r="U13" s="431">
        <f t="shared" si="3"/>
        <v>2108034.5088</v>
      </c>
      <c r="V13" s="431">
        <f t="shared" si="3"/>
        <v>2108034.5088</v>
      </c>
      <c r="W13" s="431">
        <f t="shared" si="3"/>
        <v>2108034.5088</v>
      </c>
      <c r="X13" s="431">
        <f t="shared" si="3"/>
        <v>2108034.5088</v>
      </c>
      <c r="Y13" s="431">
        <f t="shared" si="3"/>
        <v>2108034.5088</v>
      </c>
      <c r="Z13" s="431">
        <f t="shared" si="3"/>
        <v>2108034.5088</v>
      </c>
      <c r="AA13" s="431">
        <f t="shared" si="3"/>
        <v>2108034.5088</v>
      </c>
      <c r="AB13" s="431">
        <f t="shared" si="3"/>
        <v>2108034.5088</v>
      </c>
      <c r="AC13" s="431">
        <f t="shared" si="3"/>
        <v>2108034.5088</v>
      </c>
      <c r="AD13" s="431">
        <f t="shared" si="3"/>
        <v>2108034.5088</v>
      </c>
      <c r="AE13" s="431">
        <f t="shared" si="3"/>
        <v>2108034.5088</v>
      </c>
      <c r="AF13" s="431">
        <f t="shared" si="3"/>
        <v>2108034.5088</v>
      </c>
      <c r="AG13" s="431">
        <f t="shared" si="3"/>
        <v>2108034.5088</v>
      </c>
      <c r="AH13" s="431">
        <f t="shared" si="3"/>
        <v>2108034.5088</v>
      </c>
      <c r="AI13" s="431">
        <f t="shared" si="3"/>
        <v>2108034.5088</v>
      </c>
      <c r="AJ13" s="431">
        <f t="shared" si="3"/>
        <v>2108034.5088</v>
      </c>
      <c r="AK13" s="431">
        <f t="shared" si="3"/>
        <v>2108034.5088</v>
      </c>
      <c r="AL13" s="431">
        <f t="shared" si="3"/>
        <v>2108034.5088</v>
      </c>
      <c r="AM13" s="431">
        <f t="shared" si="3"/>
        <v>2108034.5088</v>
      </c>
      <c r="AN13" s="431">
        <f t="shared" si="3"/>
        <v>2108034.5088</v>
      </c>
      <c r="AO13" s="431">
        <f t="shared" si="3"/>
        <v>2108034.5088</v>
      </c>
      <c r="AP13" s="431">
        <f t="shared" si="3"/>
        <v>2108034.5088</v>
      </c>
      <c r="AQ13" s="431">
        <f t="shared" si="3"/>
        <v>2108034.5088</v>
      </c>
      <c r="AR13" s="431">
        <f t="shared" si="3"/>
        <v>2108034.5088</v>
      </c>
      <c r="AS13" s="431">
        <f t="shared" si="3"/>
        <v>2108034.5088</v>
      </c>
      <c r="AT13" s="431">
        <f t="shared" si="3"/>
        <v>2108034.5088</v>
      </c>
      <c r="AU13" s="432">
        <f t="shared" si="3"/>
        <v>2108034.5088</v>
      </c>
    </row>
    <row r="14" spans="1:57" x14ac:dyDescent="0.2">
      <c r="A14" s="410"/>
      <c r="B14" s="425" t="s">
        <v>234</v>
      </c>
      <c r="C14" s="426" t="s">
        <v>226</v>
      </c>
      <c r="D14" s="433"/>
      <c r="E14" s="459"/>
      <c r="F14" s="460"/>
      <c r="G14" s="681"/>
      <c r="H14" s="450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2"/>
    </row>
    <row r="15" spans="1:57" x14ac:dyDescent="0.2">
      <c r="A15" s="410"/>
      <c r="B15" s="425" t="s">
        <v>237</v>
      </c>
      <c r="C15" s="426" t="s">
        <v>226</v>
      </c>
      <c r="D15" s="434">
        <f>Vstupy!C16*0.1</f>
        <v>1.3029999999999999</v>
      </c>
      <c r="E15" s="483">
        <f>C10</f>
        <v>366630</v>
      </c>
      <c r="F15" s="549">
        <f>D15*E15</f>
        <v>477718.88999999996</v>
      </c>
      <c r="G15" s="681"/>
      <c r="H15" s="430">
        <f>$F$15*H10</f>
        <v>3344032.2299999995</v>
      </c>
      <c r="I15" s="431">
        <f t="shared" ref="I15:AU15" si="4">$F$15*I10</f>
        <v>3344032.2299999995</v>
      </c>
      <c r="J15" s="431">
        <f t="shared" si="4"/>
        <v>3344032.2299999995</v>
      </c>
      <c r="K15" s="431">
        <f t="shared" si="4"/>
        <v>3344032.2299999995</v>
      </c>
      <c r="L15" s="431">
        <f t="shared" si="4"/>
        <v>3344032.2299999995</v>
      </c>
      <c r="M15" s="431">
        <f t="shared" si="4"/>
        <v>3344032.2299999995</v>
      </c>
      <c r="N15" s="431">
        <f t="shared" si="4"/>
        <v>3344032.2299999995</v>
      </c>
      <c r="O15" s="431">
        <f t="shared" si="4"/>
        <v>3344032.2299999995</v>
      </c>
      <c r="P15" s="431">
        <f t="shared" si="4"/>
        <v>3344032.2299999995</v>
      </c>
      <c r="Q15" s="431">
        <f t="shared" si="4"/>
        <v>3344032.2299999995</v>
      </c>
      <c r="R15" s="431">
        <f t="shared" si="4"/>
        <v>3344032.2299999995</v>
      </c>
      <c r="S15" s="431">
        <f t="shared" si="4"/>
        <v>3344032.2299999995</v>
      </c>
      <c r="T15" s="431">
        <f t="shared" si="4"/>
        <v>3344032.2299999995</v>
      </c>
      <c r="U15" s="431">
        <f t="shared" si="4"/>
        <v>3344032.2299999995</v>
      </c>
      <c r="V15" s="431">
        <f t="shared" si="4"/>
        <v>3344032.2299999995</v>
      </c>
      <c r="W15" s="431">
        <f t="shared" si="4"/>
        <v>3344032.2299999995</v>
      </c>
      <c r="X15" s="431">
        <f t="shared" si="4"/>
        <v>3344032.2299999995</v>
      </c>
      <c r="Y15" s="431">
        <f t="shared" si="4"/>
        <v>3344032.2299999995</v>
      </c>
      <c r="Z15" s="431">
        <f t="shared" si="4"/>
        <v>3344032.2299999995</v>
      </c>
      <c r="AA15" s="431">
        <f t="shared" si="4"/>
        <v>3344032.2299999995</v>
      </c>
      <c r="AB15" s="431">
        <f t="shared" si="4"/>
        <v>3344032.2299999995</v>
      </c>
      <c r="AC15" s="431">
        <f t="shared" si="4"/>
        <v>3344032.2299999995</v>
      </c>
      <c r="AD15" s="431">
        <f t="shared" si="4"/>
        <v>3344032.2299999995</v>
      </c>
      <c r="AE15" s="431">
        <f t="shared" si="4"/>
        <v>3344032.2299999995</v>
      </c>
      <c r="AF15" s="431">
        <f t="shared" si="4"/>
        <v>3344032.2299999995</v>
      </c>
      <c r="AG15" s="431">
        <f t="shared" si="4"/>
        <v>3344032.2299999995</v>
      </c>
      <c r="AH15" s="431">
        <f t="shared" si="4"/>
        <v>3344032.2299999995</v>
      </c>
      <c r="AI15" s="431">
        <f t="shared" si="4"/>
        <v>3344032.2299999995</v>
      </c>
      <c r="AJ15" s="431">
        <f t="shared" si="4"/>
        <v>3344032.2299999995</v>
      </c>
      <c r="AK15" s="431">
        <f t="shared" si="4"/>
        <v>3344032.2299999995</v>
      </c>
      <c r="AL15" s="431">
        <f t="shared" si="4"/>
        <v>3344032.2299999995</v>
      </c>
      <c r="AM15" s="431">
        <f t="shared" si="4"/>
        <v>3344032.2299999995</v>
      </c>
      <c r="AN15" s="431">
        <f t="shared" si="4"/>
        <v>3344032.2299999995</v>
      </c>
      <c r="AO15" s="431">
        <f t="shared" si="4"/>
        <v>3344032.2299999995</v>
      </c>
      <c r="AP15" s="431">
        <f t="shared" si="4"/>
        <v>3344032.2299999995</v>
      </c>
      <c r="AQ15" s="431">
        <f t="shared" si="4"/>
        <v>3344032.2299999995</v>
      </c>
      <c r="AR15" s="431">
        <f t="shared" si="4"/>
        <v>3344032.2299999995</v>
      </c>
      <c r="AS15" s="431">
        <f t="shared" si="4"/>
        <v>3344032.2299999995</v>
      </c>
      <c r="AT15" s="431">
        <f t="shared" si="4"/>
        <v>3344032.2299999995</v>
      </c>
      <c r="AU15" s="432">
        <f t="shared" si="4"/>
        <v>3344032.2299999995</v>
      </c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</row>
    <row r="16" spans="1:57" s="412" customFormat="1" x14ac:dyDescent="0.2">
      <c r="A16" s="410"/>
      <c r="B16" s="425" t="s">
        <v>654</v>
      </c>
      <c r="C16" s="426" t="s">
        <v>226</v>
      </c>
      <c r="D16" s="427">
        <f>0.36*1.123</f>
        <v>0.40427999999999997</v>
      </c>
      <c r="E16" s="428">
        <f>C10</f>
        <v>366630</v>
      </c>
      <c r="F16" s="429">
        <f>D16*E16</f>
        <v>148221.1764</v>
      </c>
      <c r="G16" s="681"/>
      <c r="H16" s="430">
        <f>$F$16*H9</f>
        <v>1185769.4112</v>
      </c>
      <c r="I16" s="431">
        <f t="shared" ref="I16:AU16" si="5">$F$16*I9</f>
        <v>1185769.4112</v>
      </c>
      <c r="J16" s="431">
        <f t="shared" si="5"/>
        <v>1185769.4112</v>
      </c>
      <c r="K16" s="431">
        <f t="shared" si="5"/>
        <v>1185769.4112</v>
      </c>
      <c r="L16" s="431">
        <f t="shared" si="5"/>
        <v>1185769.4112</v>
      </c>
      <c r="M16" s="431">
        <f t="shared" si="5"/>
        <v>1185769.4112</v>
      </c>
      <c r="N16" s="431">
        <f t="shared" si="5"/>
        <v>1185769.4112</v>
      </c>
      <c r="O16" s="431">
        <f t="shared" si="5"/>
        <v>1185769.4112</v>
      </c>
      <c r="P16" s="431">
        <f t="shared" si="5"/>
        <v>1185769.4112</v>
      </c>
      <c r="Q16" s="431">
        <f t="shared" si="5"/>
        <v>1185769.4112</v>
      </c>
      <c r="R16" s="431">
        <f t="shared" si="5"/>
        <v>1185769.4112</v>
      </c>
      <c r="S16" s="431">
        <f t="shared" si="5"/>
        <v>1185769.4112</v>
      </c>
      <c r="T16" s="431">
        <f t="shared" si="5"/>
        <v>1185769.4112</v>
      </c>
      <c r="U16" s="431">
        <f t="shared" si="5"/>
        <v>1185769.4112</v>
      </c>
      <c r="V16" s="431">
        <f t="shared" si="5"/>
        <v>1185769.4112</v>
      </c>
      <c r="W16" s="431">
        <f t="shared" si="5"/>
        <v>1185769.4112</v>
      </c>
      <c r="X16" s="431">
        <f t="shared" si="5"/>
        <v>1185769.4112</v>
      </c>
      <c r="Y16" s="431">
        <f t="shared" si="5"/>
        <v>1185769.4112</v>
      </c>
      <c r="Z16" s="431">
        <f t="shared" si="5"/>
        <v>1185769.4112</v>
      </c>
      <c r="AA16" s="431">
        <f t="shared" si="5"/>
        <v>1185769.4112</v>
      </c>
      <c r="AB16" s="431">
        <f t="shared" si="5"/>
        <v>1185769.4112</v>
      </c>
      <c r="AC16" s="431">
        <f t="shared" si="5"/>
        <v>1185769.4112</v>
      </c>
      <c r="AD16" s="431">
        <f t="shared" si="5"/>
        <v>1185769.4112</v>
      </c>
      <c r="AE16" s="431">
        <f t="shared" si="5"/>
        <v>1185769.4112</v>
      </c>
      <c r="AF16" s="431">
        <f t="shared" si="5"/>
        <v>1185769.4112</v>
      </c>
      <c r="AG16" s="431">
        <f t="shared" si="5"/>
        <v>1185769.4112</v>
      </c>
      <c r="AH16" s="431">
        <f t="shared" si="5"/>
        <v>1185769.4112</v>
      </c>
      <c r="AI16" s="431">
        <f t="shared" si="5"/>
        <v>1185769.4112</v>
      </c>
      <c r="AJ16" s="431">
        <f t="shared" si="5"/>
        <v>1185769.4112</v>
      </c>
      <c r="AK16" s="431">
        <f t="shared" si="5"/>
        <v>1185769.4112</v>
      </c>
      <c r="AL16" s="431">
        <f t="shared" si="5"/>
        <v>1185769.4112</v>
      </c>
      <c r="AM16" s="431">
        <f t="shared" si="5"/>
        <v>1185769.4112</v>
      </c>
      <c r="AN16" s="431">
        <f t="shared" si="5"/>
        <v>1185769.4112</v>
      </c>
      <c r="AO16" s="431">
        <f t="shared" si="5"/>
        <v>1185769.4112</v>
      </c>
      <c r="AP16" s="431">
        <f t="shared" si="5"/>
        <v>1185769.4112</v>
      </c>
      <c r="AQ16" s="431">
        <f t="shared" si="5"/>
        <v>1185769.4112</v>
      </c>
      <c r="AR16" s="431">
        <f t="shared" si="5"/>
        <v>1185769.4112</v>
      </c>
      <c r="AS16" s="431">
        <f t="shared" si="5"/>
        <v>1185769.4112</v>
      </c>
      <c r="AT16" s="431">
        <f t="shared" si="5"/>
        <v>1185769.4112</v>
      </c>
      <c r="AU16" s="432">
        <f t="shared" si="5"/>
        <v>1185769.4112</v>
      </c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</row>
    <row r="17" spans="1:47" x14ac:dyDescent="0.2">
      <c r="A17" s="410"/>
      <c r="B17" s="425" t="s">
        <v>509</v>
      </c>
      <c r="C17" s="426" t="s">
        <v>226</v>
      </c>
      <c r="D17" s="427">
        <f>1.84*1.123</f>
        <v>2.0663200000000002</v>
      </c>
      <c r="E17" s="428">
        <f>C10</f>
        <v>366630</v>
      </c>
      <c r="F17" s="429">
        <f t="shared" ref="F17:F18" si="6">D17*E17</f>
        <v>757574.9016000001</v>
      </c>
      <c r="G17" s="681"/>
      <c r="H17" s="430">
        <f>$F$17*H9</f>
        <v>6060599.2128000008</v>
      </c>
      <c r="I17" s="431">
        <f t="shared" ref="I17:AU17" si="7">$F$17*I9</f>
        <v>6060599.2128000008</v>
      </c>
      <c r="J17" s="431">
        <f t="shared" si="7"/>
        <v>6060599.2128000008</v>
      </c>
      <c r="K17" s="431">
        <f t="shared" si="7"/>
        <v>6060599.2128000008</v>
      </c>
      <c r="L17" s="431">
        <f t="shared" si="7"/>
        <v>6060599.2128000008</v>
      </c>
      <c r="M17" s="431">
        <f t="shared" si="7"/>
        <v>6060599.2128000008</v>
      </c>
      <c r="N17" s="431">
        <f t="shared" si="7"/>
        <v>6060599.2128000008</v>
      </c>
      <c r="O17" s="431">
        <f t="shared" si="7"/>
        <v>6060599.2128000008</v>
      </c>
      <c r="P17" s="431">
        <f t="shared" si="7"/>
        <v>6060599.2128000008</v>
      </c>
      <c r="Q17" s="431">
        <f t="shared" si="7"/>
        <v>6060599.2128000008</v>
      </c>
      <c r="R17" s="431">
        <f t="shared" si="7"/>
        <v>6060599.2128000008</v>
      </c>
      <c r="S17" s="431">
        <f t="shared" si="7"/>
        <v>6060599.2128000008</v>
      </c>
      <c r="T17" s="431">
        <f t="shared" si="7"/>
        <v>6060599.2128000008</v>
      </c>
      <c r="U17" s="431">
        <f t="shared" si="7"/>
        <v>6060599.2128000008</v>
      </c>
      <c r="V17" s="431">
        <f t="shared" si="7"/>
        <v>6060599.2128000008</v>
      </c>
      <c r="W17" s="431">
        <f t="shared" si="7"/>
        <v>6060599.2128000008</v>
      </c>
      <c r="X17" s="431">
        <f t="shared" si="7"/>
        <v>6060599.2128000008</v>
      </c>
      <c r="Y17" s="431">
        <f t="shared" si="7"/>
        <v>6060599.2128000008</v>
      </c>
      <c r="Z17" s="431">
        <f t="shared" si="7"/>
        <v>6060599.2128000008</v>
      </c>
      <c r="AA17" s="431">
        <f t="shared" si="7"/>
        <v>6060599.2128000008</v>
      </c>
      <c r="AB17" s="431">
        <f t="shared" si="7"/>
        <v>6060599.2128000008</v>
      </c>
      <c r="AC17" s="431">
        <f t="shared" si="7"/>
        <v>6060599.2128000008</v>
      </c>
      <c r="AD17" s="431">
        <f t="shared" si="7"/>
        <v>6060599.2128000008</v>
      </c>
      <c r="AE17" s="431">
        <f t="shared" si="7"/>
        <v>6060599.2128000008</v>
      </c>
      <c r="AF17" s="431">
        <f t="shared" si="7"/>
        <v>6060599.2128000008</v>
      </c>
      <c r="AG17" s="431">
        <f t="shared" si="7"/>
        <v>6060599.2128000008</v>
      </c>
      <c r="AH17" s="431">
        <f t="shared" si="7"/>
        <v>6060599.2128000008</v>
      </c>
      <c r="AI17" s="431">
        <f t="shared" si="7"/>
        <v>6060599.2128000008</v>
      </c>
      <c r="AJ17" s="431">
        <f t="shared" si="7"/>
        <v>6060599.2128000008</v>
      </c>
      <c r="AK17" s="431">
        <f t="shared" si="7"/>
        <v>6060599.2128000008</v>
      </c>
      <c r="AL17" s="431">
        <f t="shared" si="7"/>
        <v>6060599.2128000008</v>
      </c>
      <c r="AM17" s="431">
        <f t="shared" si="7"/>
        <v>6060599.2128000008</v>
      </c>
      <c r="AN17" s="431">
        <f t="shared" si="7"/>
        <v>6060599.2128000008</v>
      </c>
      <c r="AO17" s="431">
        <f t="shared" si="7"/>
        <v>6060599.2128000008</v>
      </c>
      <c r="AP17" s="431">
        <f t="shared" si="7"/>
        <v>6060599.2128000008</v>
      </c>
      <c r="AQ17" s="431">
        <f t="shared" si="7"/>
        <v>6060599.2128000008</v>
      </c>
      <c r="AR17" s="431">
        <f t="shared" si="7"/>
        <v>6060599.2128000008</v>
      </c>
      <c r="AS17" s="431">
        <f t="shared" si="7"/>
        <v>6060599.2128000008</v>
      </c>
      <c r="AT17" s="431">
        <f t="shared" si="7"/>
        <v>6060599.2128000008</v>
      </c>
      <c r="AU17" s="432">
        <f t="shared" si="7"/>
        <v>6060599.2128000008</v>
      </c>
    </row>
    <row r="18" spans="1:47" x14ac:dyDescent="0.2">
      <c r="A18" s="410"/>
      <c r="B18" s="425" t="s">
        <v>267</v>
      </c>
      <c r="C18" s="426" t="s">
        <v>226</v>
      </c>
      <c r="D18" s="427">
        <f>1.93*1.123</f>
        <v>2.1673899999999997</v>
      </c>
      <c r="E18" s="428">
        <f>C10</f>
        <v>366630</v>
      </c>
      <c r="F18" s="429">
        <f t="shared" si="6"/>
        <v>794630.19569999992</v>
      </c>
      <c r="G18" s="681"/>
      <c r="H18" s="430">
        <f>$F$18*H9</f>
        <v>6357041.5655999994</v>
      </c>
      <c r="I18" s="431">
        <f t="shared" ref="I18:AU18" si="8">$F$18*I9</f>
        <v>6357041.5655999994</v>
      </c>
      <c r="J18" s="431">
        <f t="shared" si="8"/>
        <v>6357041.5655999994</v>
      </c>
      <c r="K18" s="431">
        <f t="shared" si="8"/>
        <v>6357041.5655999994</v>
      </c>
      <c r="L18" s="431">
        <f t="shared" si="8"/>
        <v>6357041.5655999994</v>
      </c>
      <c r="M18" s="431">
        <f t="shared" si="8"/>
        <v>6357041.5655999994</v>
      </c>
      <c r="N18" s="431">
        <f t="shared" si="8"/>
        <v>6357041.5655999994</v>
      </c>
      <c r="O18" s="431">
        <f t="shared" si="8"/>
        <v>6357041.5655999994</v>
      </c>
      <c r="P18" s="431">
        <f t="shared" si="8"/>
        <v>6357041.5655999994</v>
      </c>
      <c r="Q18" s="431">
        <f t="shared" si="8"/>
        <v>6357041.5655999994</v>
      </c>
      <c r="R18" s="431">
        <f t="shared" si="8"/>
        <v>6357041.5655999994</v>
      </c>
      <c r="S18" s="431">
        <f t="shared" si="8"/>
        <v>6357041.5655999994</v>
      </c>
      <c r="T18" s="431">
        <f t="shared" si="8"/>
        <v>6357041.5655999994</v>
      </c>
      <c r="U18" s="431">
        <f t="shared" si="8"/>
        <v>6357041.5655999994</v>
      </c>
      <c r="V18" s="431">
        <f t="shared" si="8"/>
        <v>6357041.5655999994</v>
      </c>
      <c r="W18" s="431">
        <f t="shared" si="8"/>
        <v>6357041.5655999994</v>
      </c>
      <c r="X18" s="431">
        <f t="shared" si="8"/>
        <v>6357041.5655999994</v>
      </c>
      <c r="Y18" s="431">
        <f t="shared" si="8"/>
        <v>6357041.5655999994</v>
      </c>
      <c r="Z18" s="431">
        <f t="shared" si="8"/>
        <v>6357041.5655999994</v>
      </c>
      <c r="AA18" s="431">
        <f t="shared" si="8"/>
        <v>6357041.5655999994</v>
      </c>
      <c r="AB18" s="431">
        <f t="shared" si="8"/>
        <v>6357041.5655999994</v>
      </c>
      <c r="AC18" s="431">
        <f t="shared" si="8"/>
        <v>6357041.5655999994</v>
      </c>
      <c r="AD18" s="431">
        <f t="shared" si="8"/>
        <v>6357041.5655999994</v>
      </c>
      <c r="AE18" s="431">
        <f t="shared" si="8"/>
        <v>6357041.5655999994</v>
      </c>
      <c r="AF18" s="431">
        <f t="shared" si="8"/>
        <v>6357041.5655999994</v>
      </c>
      <c r="AG18" s="431">
        <f t="shared" si="8"/>
        <v>6357041.5655999994</v>
      </c>
      <c r="AH18" s="431">
        <f t="shared" si="8"/>
        <v>6357041.5655999994</v>
      </c>
      <c r="AI18" s="431">
        <f t="shared" si="8"/>
        <v>6357041.5655999994</v>
      </c>
      <c r="AJ18" s="431">
        <f t="shared" si="8"/>
        <v>6357041.5655999994</v>
      </c>
      <c r="AK18" s="431">
        <f t="shared" si="8"/>
        <v>6357041.5655999994</v>
      </c>
      <c r="AL18" s="431">
        <f t="shared" si="8"/>
        <v>6357041.5655999994</v>
      </c>
      <c r="AM18" s="431">
        <f t="shared" si="8"/>
        <v>6357041.5655999994</v>
      </c>
      <c r="AN18" s="431">
        <f t="shared" si="8"/>
        <v>6357041.5655999994</v>
      </c>
      <c r="AO18" s="431">
        <f t="shared" si="8"/>
        <v>6357041.5655999994</v>
      </c>
      <c r="AP18" s="431">
        <f t="shared" si="8"/>
        <v>6357041.5655999994</v>
      </c>
      <c r="AQ18" s="431">
        <f t="shared" si="8"/>
        <v>6357041.5655999994</v>
      </c>
      <c r="AR18" s="431">
        <f t="shared" si="8"/>
        <v>6357041.5655999994</v>
      </c>
      <c r="AS18" s="431">
        <f t="shared" si="8"/>
        <v>6357041.5655999994</v>
      </c>
      <c r="AT18" s="431">
        <f t="shared" si="8"/>
        <v>6357041.5655999994</v>
      </c>
      <c r="AU18" s="432">
        <f t="shared" si="8"/>
        <v>6357041.5655999994</v>
      </c>
    </row>
    <row r="19" spans="1:47" ht="13.5" thickBot="1" x14ac:dyDescent="0.25">
      <c r="A19" s="410"/>
      <c r="B19" s="435" t="s">
        <v>657</v>
      </c>
      <c r="C19" s="436" t="s">
        <v>226</v>
      </c>
      <c r="D19" s="437"/>
      <c r="E19" s="461"/>
      <c r="F19" s="462"/>
      <c r="G19" s="681"/>
      <c r="H19" s="438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40"/>
    </row>
    <row r="20" spans="1:47" ht="13.5" thickTop="1" x14ac:dyDescent="0.2">
      <c r="A20" s="410"/>
      <c r="B20" s="441" t="s">
        <v>655</v>
      </c>
      <c r="C20" s="442" t="s">
        <v>226</v>
      </c>
      <c r="D20" s="443">
        <f>1.12*1.123</f>
        <v>1.2577600000000002</v>
      </c>
      <c r="E20" s="444">
        <f>C10</f>
        <v>366630</v>
      </c>
      <c r="F20" s="445">
        <f t="shared" ref="F20" si="9">D20*E20</f>
        <v>461132.54880000011</v>
      </c>
      <c r="G20" s="681"/>
      <c r="H20" s="560">
        <f>$F$20*H9</f>
        <v>3689060.3904000008</v>
      </c>
      <c r="I20" s="552">
        <f t="shared" ref="I20:AU20" si="10">$F$20*I9</f>
        <v>3689060.3904000008</v>
      </c>
      <c r="J20" s="552">
        <f t="shared" si="10"/>
        <v>3689060.3904000008</v>
      </c>
      <c r="K20" s="552">
        <f t="shared" si="10"/>
        <v>3689060.3904000008</v>
      </c>
      <c r="L20" s="552">
        <f t="shared" si="10"/>
        <v>3689060.3904000008</v>
      </c>
      <c r="M20" s="552">
        <f t="shared" si="10"/>
        <v>3689060.3904000008</v>
      </c>
      <c r="N20" s="552">
        <f t="shared" si="10"/>
        <v>3689060.3904000008</v>
      </c>
      <c r="O20" s="552">
        <f t="shared" si="10"/>
        <v>3689060.3904000008</v>
      </c>
      <c r="P20" s="552">
        <f t="shared" si="10"/>
        <v>3689060.3904000008</v>
      </c>
      <c r="Q20" s="552">
        <f t="shared" si="10"/>
        <v>3689060.3904000008</v>
      </c>
      <c r="R20" s="552">
        <f t="shared" si="10"/>
        <v>3689060.3904000008</v>
      </c>
      <c r="S20" s="552">
        <f t="shared" si="10"/>
        <v>3689060.3904000008</v>
      </c>
      <c r="T20" s="552">
        <f t="shared" si="10"/>
        <v>3689060.3904000008</v>
      </c>
      <c r="U20" s="552">
        <f t="shared" si="10"/>
        <v>3689060.3904000008</v>
      </c>
      <c r="V20" s="552">
        <f t="shared" si="10"/>
        <v>3689060.3904000008</v>
      </c>
      <c r="W20" s="552">
        <f t="shared" si="10"/>
        <v>3689060.3904000008</v>
      </c>
      <c r="X20" s="552">
        <f t="shared" si="10"/>
        <v>3689060.3904000008</v>
      </c>
      <c r="Y20" s="552">
        <f t="shared" si="10"/>
        <v>3689060.3904000008</v>
      </c>
      <c r="Z20" s="552">
        <f t="shared" si="10"/>
        <v>3689060.3904000008</v>
      </c>
      <c r="AA20" s="552">
        <f t="shared" si="10"/>
        <v>3689060.3904000008</v>
      </c>
      <c r="AB20" s="552">
        <f t="shared" si="10"/>
        <v>3689060.3904000008</v>
      </c>
      <c r="AC20" s="552">
        <f t="shared" si="10"/>
        <v>3689060.3904000008</v>
      </c>
      <c r="AD20" s="552">
        <f t="shared" si="10"/>
        <v>3689060.3904000008</v>
      </c>
      <c r="AE20" s="552">
        <f t="shared" si="10"/>
        <v>3689060.3904000008</v>
      </c>
      <c r="AF20" s="552">
        <f t="shared" si="10"/>
        <v>3689060.3904000008</v>
      </c>
      <c r="AG20" s="552">
        <f t="shared" si="10"/>
        <v>3689060.3904000008</v>
      </c>
      <c r="AH20" s="552">
        <f t="shared" si="10"/>
        <v>3689060.3904000008</v>
      </c>
      <c r="AI20" s="552">
        <f t="shared" si="10"/>
        <v>3689060.3904000008</v>
      </c>
      <c r="AJ20" s="552">
        <f t="shared" si="10"/>
        <v>3689060.3904000008</v>
      </c>
      <c r="AK20" s="552">
        <f t="shared" si="10"/>
        <v>3689060.3904000008</v>
      </c>
      <c r="AL20" s="552">
        <f t="shared" si="10"/>
        <v>3689060.3904000008</v>
      </c>
      <c r="AM20" s="552">
        <f t="shared" si="10"/>
        <v>3689060.3904000008</v>
      </c>
      <c r="AN20" s="552">
        <f t="shared" si="10"/>
        <v>3689060.3904000008</v>
      </c>
      <c r="AO20" s="552">
        <f t="shared" si="10"/>
        <v>3689060.3904000008</v>
      </c>
      <c r="AP20" s="552">
        <f t="shared" si="10"/>
        <v>3689060.3904000008</v>
      </c>
      <c r="AQ20" s="552">
        <f t="shared" si="10"/>
        <v>3689060.3904000008</v>
      </c>
      <c r="AR20" s="552">
        <f t="shared" si="10"/>
        <v>3689060.3904000008</v>
      </c>
      <c r="AS20" s="552">
        <f t="shared" si="10"/>
        <v>3689060.3904000008</v>
      </c>
      <c r="AT20" s="552">
        <f t="shared" si="10"/>
        <v>3689060.3904000008</v>
      </c>
      <c r="AU20" s="553">
        <f t="shared" si="10"/>
        <v>3689060.3904000008</v>
      </c>
    </row>
    <row r="21" spans="1:47" ht="13.5" thickBot="1" x14ac:dyDescent="0.25">
      <c r="A21" s="410"/>
      <c r="B21" s="463" t="s">
        <v>656</v>
      </c>
      <c r="C21" s="565" t="s">
        <v>226</v>
      </c>
      <c r="D21" s="474">
        <v>30000</v>
      </c>
      <c r="E21" s="588">
        <v>1</v>
      </c>
      <c r="F21" s="471">
        <f>D21*E21</f>
        <v>30000</v>
      </c>
      <c r="G21" s="682"/>
      <c r="H21" s="453">
        <f>$F$21*H9</f>
        <v>240000</v>
      </c>
      <c r="I21" s="454">
        <f t="shared" ref="I21:AU21" si="11">$F$21*I9</f>
        <v>240000</v>
      </c>
      <c r="J21" s="454">
        <f t="shared" si="11"/>
        <v>240000</v>
      </c>
      <c r="K21" s="454">
        <f t="shared" si="11"/>
        <v>240000</v>
      </c>
      <c r="L21" s="454">
        <f t="shared" si="11"/>
        <v>240000</v>
      </c>
      <c r="M21" s="454">
        <f t="shared" si="11"/>
        <v>240000</v>
      </c>
      <c r="N21" s="454">
        <f t="shared" si="11"/>
        <v>240000</v>
      </c>
      <c r="O21" s="454">
        <f t="shared" si="11"/>
        <v>240000</v>
      </c>
      <c r="P21" s="454">
        <f t="shared" si="11"/>
        <v>240000</v>
      </c>
      <c r="Q21" s="454">
        <f t="shared" si="11"/>
        <v>240000</v>
      </c>
      <c r="R21" s="454">
        <f t="shared" si="11"/>
        <v>240000</v>
      </c>
      <c r="S21" s="454">
        <f t="shared" si="11"/>
        <v>240000</v>
      </c>
      <c r="T21" s="454">
        <f t="shared" si="11"/>
        <v>240000</v>
      </c>
      <c r="U21" s="454">
        <f t="shared" si="11"/>
        <v>240000</v>
      </c>
      <c r="V21" s="454">
        <f t="shared" si="11"/>
        <v>240000</v>
      </c>
      <c r="W21" s="454">
        <f t="shared" si="11"/>
        <v>240000</v>
      </c>
      <c r="X21" s="454">
        <f t="shared" si="11"/>
        <v>240000</v>
      </c>
      <c r="Y21" s="454">
        <f t="shared" si="11"/>
        <v>240000</v>
      </c>
      <c r="Z21" s="454">
        <f t="shared" si="11"/>
        <v>240000</v>
      </c>
      <c r="AA21" s="454">
        <f t="shared" si="11"/>
        <v>240000</v>
      </c>
      <c r="AB21" s="454">
        <f t="shared" si="11"/>
        <v>240000</v>
      </c>
      <c r="AC21" s="454">
        <f t="shared" si="11"/>
        <v>240000</v>
      </c>
      <c r="AD21" s="454">
        <f t="shared" si="11"/>
        <v>240000</v>
      </c>
      <c r="AE21" s="454">
        <f t="shared" si="11"/>
        <v>240000</v>
      </c>
      <c r="AF21" s="454">
        <f t="shared" si="11"/>
        <v>240000</v>
      </c>
      <c r="AG21" s="454">
        <f t="shared" si="11"/>
        <v>240000</v>
      </c>
      <c r="AH21" s="454">
        <f t="shared" si="11"/>
        <v>240000</v>
      </c>
      <c r="AI21" s="454">
        <f t="shared" si="11"/>
        <v>240000</v>
      </c>
      <c r="AJ21" s="454">
        <f t="shared" si="11"/>
        <v>240000</v>
      </c>
      <c r="AK21" s="454">
        <f t="shared" si="11"/>
        <v>240000</v>
      </c>
      <c r="AL21" s="454">
        <f t="shared" si="11"/>
        <v>240000</v>
      </c>
      <c r="AM21" s="454">
        <f t="shared" si="11"/>
        <v>240000</v>
      </c>
      <c r="AN21" s="454">
        <f t="shared" si="11"/>
        <v>240000</v>
      </c>
      <c r="AO21" s="454">
        <f t="shared" si="11"/>
        <v>240000</v>
      </c>
      <c r="AP21" s="454">
        <f t="shared" si="11"/>
        <v>240000</v>
      </c>
      <c r="AQ21" s="454">
        <f t="shared" si="11"/>
        <v>240000</v>
      </c>
      <c r="AR21" s="454">
        <f t="shared" si="11"/>
        <v>240000</v>
      </c>
      <c r="AS21" s="454">
        <f t="shared" si="11"/>
        <v>240000</v>
      </c>
      <c r="AT21" s="454">
        <f t="shared" si="11"/>
        <v>240000</v>
      </c>
      <c r="AU21" s="455">
        <f t="shared" si="11"/>
        <v>240000</v>
      </c>
    </row>
    <row r="22" spans="1:47" x14ac:dyDescent="0.2">
      <c r="B22" s="410" t="s">
        <v>663</v>
      </c>
      <c r="H22" s="464"/>
    </row>
    <row r="23" spans="1:47" x14ac:dyDescent="0.2">
      <c r="B23" s="410" t="s">
        <v>725</v>
      </c>
      <c r="H23" s="464"/>
    </row>
    <row r="24" spans="1:47" x14ac:dyDescent="0.2">
      <c r="H24" s="464"/>
      <c r="I24" s="464"/>
    </row>
    <row r="25" spans="1:47" x14ac:dyDescent="0.2">
      <c r="A25" s="231"/>
      <c r="B25" s="231"/>
      <c r="C25" s="230"/>
      <c r="D25" s="230" t="s">
        <v>10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</row>
    <row r="26" spans="1:47" x14ac:dyDescent="0.2">
      <c r="A26" s="231"/>
      <c r="B26" s="232" t="s">
        <v>55</v>
      </c>
      <c r="C26" s="232"/>
      <c r="D26" s="237">
        <v>1</v>
      </c>
      <c r="E26" s="237">
        <v>2</v>
      </c>
      <c r="F26" s="237">
        <v>3</v>
      </c>
      <c r="G26" s="237">
        <v>4</v>
      </c>
      <c r="H26" s="237">
        <v>5</v>
      </c>
      <c r="I26" s="237">
        <v>6</v>
      </c>
      <c r="J26" s="237">
        <v>7</v>
      </c>
      <c r="K26" s="237">
        <v>8</v>
      </c>
      <c r="L26" s="237">
        <v>9</v>
      </c>
      <c r="M26" s="237">
        <v>10</v>
      </c>
      <c r="N26" s="237">
        <v>11</v>
      </c>
      <c r="O26" s="237">
        <v>12</v>
      </c>
      <c r="P26" s="237">
        <v>13</v>
      </c>
      <c r="Q26" s="237">
        <v>14</v>
      </c>
      <c r="R26" s="237">
        <v>15</v>
      </c>
      <c r="S26" s="237">
        <v>16</v>
      </c>
      <c r="T26" s="237">
        <v>17</v>
      </c>
      <c r="U26" s="237">
        <v>18</v>
      </c>
      <c r="V26" s="237">
        <v>19</v>
      </c>
      <c r="W26" s="237">
        <v>20</v>
      </c>
      <c r="X26" s="237">
        <v>21</v>
      </c>
      <c r="Y26" s="237">
        <v>22</v>
      </c>
      <c r="Z26" s="237">
        <v>23</v>
      </c>
      <c r="AA26" s="237">
        <v>24</v>
      </c>
      <c r="AB26" s="237">
        <v>25</v>
      </c>
      <c r="AC26" s="237">
        <v>26</v>
      </c>
      <c r="AD26" s="237">
        <v>27</v>
      </c>
      <c r="AE26" s="237">
        <v>28</v>
      </c>
      <c r="AF26" s="237">
        <v>29</v>
      </c>
      <c r="AG26" s="237">
        <v>30</v>
      </c>
      <c r="AH26" s="237">
        <v>31</v>
      </c>
      <c r="AI26" s="237">
        <v>32</v>
      </c>
      <c r="AJ26" s="237">
        <v>33</v>
      </c>
      <c r="AK26" s="237">
        <v>34</v>
      </c>
      <c r="AL26" s="237">
        <v>35</v>
      </c>
      <c r="AM26" s="237">
        <v>36</v>
      </c>
      <c r="AN26" s="237">
        <v>37</v>
      </c>
      <c r="AO26" s="237">
        <v>38</v>
      </c>
      <c r="AP26" s="237">
        <v>39</v>
      </c>
      <c r="AQ26" s="237">
        <v>40</v>
      </c>
    </row>
    <row r="27" spans="1:47" x14ac:dyDescent="0.2">
      <c r="A27" s="231"/>
      <c r="B27" s="233" t="s">
        <v>33</v>
      </c>
      <c r="C27" s="233" t="s">
        <v>9</v>
      </c>
      <c r="D27" s="238">
        <v>2026</v>
      </c>
      <c r="E27" s="238">
        <f>$D$27+D26</f>
        <v>2027</v>
      </c>
      <c r="F27" s="238">
        <f t="shared" ref="F27:AQ27" si="12">$D$27+E26</f>
        <v>2028</v>
      </c>
      <c r="G27" s="238">
        <f t="shared" si="12"/>
        <v>2029</v>
      </c>
      <c r="H27" s="238">
        <f t="shared" si="12"/>
        <v>2030</v>
      </c>
      <c r="I27" s="238">
        <f t="shared" si="12"/>
        <v>2031</v>
      </c>
      <c r="J27" s="238">
        <f t="shared" si="12"/>
        <v>2032</v>
      </c>
      <c r="K27" s="238">
        <f t="shared" si="12"/>
        <v>2033</v>
      </c>
      <c r="L27" s="238">
        <f t="shared" si="12"/>
        <v>2034</v>
      </c>
      <c r="M27" s="238">
        <f t="shared" si="12"/>
        <v>2035</v>
      </c>
      <c r="N27" s="238">
        <f t="shared" si="12"/>
        <v>2036</v>
      </c>
      <c r="O27" s="238">
        <f t="shared" si="12"/>
        <v>2037</v>
      </c>
      <c r="P27" s="238">
        <f t="shared" si="12"/>
        <v>2038</v>
      </c>
      <c r="Q27" s="238">
        <f t="shared" si="12"/>
        <v>2039</v>
      </c>
      <c r="R27" s="238">
        <f t="shared" si="12"/>
        <v>2040</v>
      </c>
      <c r="S27" s="238">
        <f t="shared" si="12"/>
        <v>2041</v>
      </c>
      <c r="T27" s="238">
        <f t="shared" si="12"/>
        <v>2042</v>
      </c>
      <c r="U27" s="238">
        <f t="shared" si="12"/>
        <v>2043</v>
      </c>
      <c r="V27" s="238">
        <f t="shared" si="12"/>
        <v>2044</v>
      </c>
      <c r="W27" s="238">
        <f t="shared" si="12"/>
        <v>2045</v>
      </c>
      <c r="X27" s="238">
        <f t="shared" si="12"/>
        <v>2046</v>
      </c>
      <c r="Y27" s="238">
        <f t="shared" si="12"/>
        <v>2047</v>
      </c>
      <c r="Z27" s="238">
        <f t="shared" si="12"/>
        <v>2048</v>
      </c>
      <c r="AA27" s="238">
        <f t="shared" si="12"/>
        <v>2049</v>
      </c>
      <c r="AB27" s="238">
        <f t="shared" si="12"/>
        <v>2050</v>
      </c>
      <c r="AC27" s="238">
        <f t="shared" si="12"/>
        <v>2051</v>
      </c>
      <c r="AD27" s="238">
        <f t="shared" si="12"/>
        <v>2052</v>
      </c>
      <c r="AE27" s="238">
        <f t="shared" si="12"/>
        <v>2053</v>
      </c>
      <c r="AF27" s="238">
        <f t="shared" si="12"/>
        <v>2054</v>
      </c>
      <c r="AG27" s="238">
        <f t="shared" si="12"/>
        <v>2055</v>
      </c>
      <c r="AH27" s="238">
        <f t="shared" si="12"/>
        <v>2056</v>
      </c>
      <c r="AI27" s="238">
        <f t="shared" si="12"/>
        <v>2057</v>
      </c>
      <c r="AJ27" s="238">
        <f t="shared" si="12"/>
        <v>2058</v>
      </c>
      <c r="AK27" s="238">
        <f t="shared" si="12"/>
        <v>2059</v>
      </c>
      <c r="AL27" s="238">
        <f t="shared" si="12"/>
        <v>2060</v>
      </c>
      <c r="AM27" s="238">
        <f t="shared" si="12"/>
        <v>2061</v>
      </c>
      <c r="AN27" s="238">
        <f t="shared" si="12"/>
        <v>2062</v>
      </c>
      <c r="AO27" s="238">
        <f t="shared" si="12"/>
        <v>2063</v>
      </c>
      <c r="AP27" s="238">
        <f t="shared" si="12"/>
        <v>2064</v>
      </c>
      <c r="AQ27" s="238">
        <f t="shared" si="12"/>
        <v>2065</v>
      </c>
    </row>
    <row r="28" spans="1:47" x14ac:dyDescent="0.2">
      <c r="A28" s="231"/>
      <c r="B28" s="230" t="s">
        <v>281</v>
      </c>
      <c r="C28" s="245">
        <f>SUM(D28:AQ28)</f>
        <v>1112679814.2240002</v>
      </c>
      <c r="D28" s="417">
        <f>H11+H13+H15+H16+H17+H18</f>
        <v>27816995.355600003</v>
      </c>
      <c r="E28" s="417">
        <f t="shared" ref="E28:AQ28" si="13">I11+I13+I15+I16+I17+I18</f>
        <v>27816995.355600003</v>
      </c>
      <c r="F28" s="417">
        <f t="shared" si="13"/>
        <v>27816995.355600003</v>
      </c>
      <c r="G28" s="417">
        <f t="shared" si="13"/>
        <v>27816995.355600003</v>
      </c>
      <c r="H28" s="417">
        <f t="shared" si="13"/>
        <v>27816995.355600003</v>
      </c>
      <c r="I28" s="417">
        <f t="shared" si="13"/>
        <v>27816995.355600003</v>
      </c>
      <c r="J28" s="417">
        <f t="shared" si="13"/>
        <v>27816995.355600003</v>
      </c>
      <c r="K28" s="417">
        <f t="shared" si="13"/>
        <v>27816995.355600003</v>
      </c>
      <c r="L28" s="417">
        <f t="shared" si="13"/>
        <v>27816995.355600003</v>
      </c>
      <c r="M28" s="417">
        <f t="shared" si="13"/>
        <v>27816995.355600003</v>
      </c>
      <c r="N28" s="417">
        <f t="shared" si="13"/>
        <v>27816995.355600003</v>
      </c>
      <c r="O28" s="417">
        <f t="shared" si="13"/>
        <v>27816995.355600003</v>
      </c>
      <c r="P28" s="417">
        <f t="shared" si="13"/>
        <v>27816995.355600003</v>
      </c>
      <c r="Q28" s="417">
        <f t="shared" si="13"/>
        <v>27816995.355600003</v>
      </c>
      <c r="R28" s="417">
        <f t="shared" si="13"/>
        <v>27816995.355600003</v>
      </c>
      <c r="S28" s="417">
        <f t="shared" si="13"/>
        <v>27816995.355600003</v>
      </c>
      <c r="T28" s="417">
        <f t="shared" si="13"/>
        <v>27816995.355600003</v>
      </c>
      <c r="U28" s="417">
        <f t="shared" si="13"/>
        <v>27816995.355600003</v>
      </c>
      <c r="V28" s="417">
        <f t="shared" si="13"/>
        <v>27816995.355600003</v>
      </c>
      <c r="W28" s="417">
        <f t="shared" si="13"/>
        <v>27816995.355600003</v>
      </c>
      <c r="X28" s="417">
        <f t="shared" si="13"/>
        <v>27816995.355600003</v>
      </c>
      <c r="Y28" s="417">
        <f t="shared" si="13"/>
        <v>27816995.355600003</v>
      </c>
      <c r="Z28" s="417">
        <f t="shared" si="13"/>
        <v>27816995.355600003</v>
      </c>
      <c r="AA28" s="417">
        <f t="shared" si="13"/>
        <v>27816995.355600003</v>
      </c>
      <c r="AB28" s="417">
        <f t="shared" si="13"/>
        <v>27816995.355600003</v>
      </c>
      <c r="AC28" s="417">
        <f t="shared" si="13"/>
        <v>27816995.355600003</v>
      </c>
      <c r="AD28" s="417">
        <f t="shared" si="13"/>
        <v>27816995.355600003</v>
      </c>
      <c r="AE28" s="417">
        <f t="shared" si="13"/>
        <v>27816995.355600003</v>
      </c>
      <c r="AF28" s="417">
        <f t="shared" si="13"/>
        <v>27816995.355600003</v>
      </c>
      <c r="AG28" s="417">
        <f t="shared" si="13"/>
        <v>27816995.355600003</v>
      </c>
      <c r="AH28" s="417">
        <f t="shared" si="13"/>
        <v>27816995.355600003</v>
      </c>
      <c r="AI28" s="417">
        <f t="shared" si="13"/>
        <v>27816995.355600003</v>
      </c>
      <c r="AJ28" s="417">
        <f t="shared" si="13"/>
        <v>27816995.355600003</v>
      </c>
      <c r="AK28" s="417">
        <f t="shared" si="13"/>
        <v>27816995.355600003</v>
      </c>
      <c r="AL28" s="417">
        <f t="shared" si="13"/>
        <v>27816995.355600003</v>
      </c>
      <c r="AM28" s="417">
        <f t="shared" si="13"/>
        <v>27816995.355600003</v>
      </c>
      <c r="AN28" s="417">
        <f t="shared" si="13"/>
        <v>27816995.355600003</v>
      </c>
      <c r="AO28" s="417">
        <f t="shared" si="13"/>
        <v>27816995.355600003</v>
      </c>
      <c r="AP28" s="417">
        <f t="shared" si="13"/>
        <v>27816995.355600003</v>
      </c>
      <c r="AQ28" s="417">
        <f t="shared" si="13"/>
        <v>27816995.355600003</v>
      </c>
    </row>
    <row r="29" spans="1:47" x14ac:dyDescent="0.2">
      <c r="A29" s="231"/>
      <c r="B29" s="230" t="s">
        <v>279</v>
      </c>
      <c r="C29" s="245">
        <f>SUM(D29:AQ29)</f>
        <v>375200000</v>
      </c>
      <c r="D29" s="417">
        <v>0</v>
      </c>
      <c r="E29" s="417">
        <v>0</v>
      </c>
      <c r="F29" s="417">
        <v>0</v>
      </c>
      <c r="G29" s="417">
        <v>0</v>
      </c>
      <c r="H29" s="417">
        <v>0</v>
      </c>
      <c r="I29" s="417">
        <f>$C$39*8*$C$38</f>
        <v>26800000</v>
      </c>
      <c r="J29" s="417">
        <f>$C$39*8*$C$38</f>
        <v>26800000</v>
      </c>
      <c r="K29" s="417">
        <v>0</v>
      </c>
      <c r="L29" s="417">
        <v>0</v>
      </c>
      <c r="M29" s="417">
        <v>0</v>
      </c>
      <c r="N29" s="417">
        <v>0</v>
      </c>
      <c r="O29" s="417">
        <v>0</v>
      </c>
      <c r="P29" s="417">
        <v>0</v>
      </c>
      <c r="Q29" s="417">
        <v>0</v>
      </c>
      <c r="R29" s="417">
        <v>0</v>
      </c>
      <c r="S29" s="417">
        <f>$C$39*8*$E$38</f>
        <v>53600000</v>
      </c>
      <c r="T29" s="417">
        <f>$C$39*8*$E$38</f>
        <v>53600000</v>
      </c>
      <c r="U29" s="417">
        <v>0</v>
      </c>
      <c r="V29" s="417">
        <v>0</v>
      </c>
      <c r="W29" s="417"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0</v>
      </c>
      <c r="AC29" s="417">
        <f>$C$39*8*$C$38</f>
        <v>26800000</v>
      </c>
      <c r="AD29" s="417">
        <f>$C$39*8*$C$38</f>
        <v>26800000</v>
      </c>
      <c r="AE29" s="417">
        <v>0</v>
      </c>
      <c r="AF29" s="417">
        <v>0</v>
      </c>
      <c r="AG29" s="417">
        <v>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>$C$39*8*$E$38</f>
        <v>53600000</v>
      </c>
      <c r="AN29" s="417">
        <f>$C$39*8*$E$38</f>
        <v>53600000</v>
      </c>
      <c r="AO29" s="417">
        <v>0</v>
      </c>
      <c r="AP29" s="417">
        <v>0</v>
      </c>
      <c r="AQ29" s="417">
        <f>$C$39*8*$E$38</f>
        <v>53600000</v>
      </c>
    </row>
    <row r="30" spans="1:47" x14ac:dyDescent="0.2">
      <c r="A30" s="231"/>
      <c r="B30" s="232" t="s">
        <v>278</v>
      </c>
      <c r="C30" s="465">
        <f t="shared" ref="C30:C33" si="14">SUM(D30:AQ30)</f>
        <v>1487879814.2240005</v>
      </c>
      <c r="D30" s="465">
        <f t="shared" ref="D30:AQ30" si="15">SUM(D28:D29)</f>
        <v>27816995.355600003</v>
      </c>
      <c r="E30" s="465">
        <f t="shared" si="15"/>
        <v>27816995.355600003</v>
      </c>
      <c r="F30" s="465">
        <f t="shared" si="15"/>
        <v>27816995.355600003</v>
      </c>
      <c r="G30" s="465">
        <f t="shared" si="15"/>
        <v>27816995.355600003</v>
      </c>
      <c r="H30" s="465">
        <f t="shared" si="15"/>
        <v>27816995.355600003</v>
      </c>
      <c r="I30" s="465">
        <f t="shared" si="15"/>
        <v>54616995.355599999</v>
      </c>
      <c r="J30" s="465">
        <f t="shared" si="15"/>
        <v>54616995.355599999</v>
      </c>
      <c r="K30" s="465">
        <f t="shared" si="15"/>
        <v>27816995.355600003</v>
      </c>
      <c r="L30" s="465">
        <f t="shared" si="15"/>
        <v>27816995.355600003</v>
      </c>
      <c r="M30" s="465">
        <f t="shared" si="15"/>
        <v>27816995.355600003</v>
      </c>
      <c r="N30" s="465">
        <f t="shared" si="15"/>
        <v>27816995.355600003</v>
      </c>
      <c r="O30" s="465">
        <f t="shared" si="15"/>
        <v>27816995.355600003</v>
      </c>
      <c r="P30" s="465">
        <f t="shared" si="15"/>
        <v>27816995.355600003</v>
      </c>
      <c r="Q30" s="465">
        <f t="shared" si="15"/>
        <v>27816995.355600003</v>
      </c>
      <c r="R30" s="465">
        <f t="shared" si="15"/>
        <v>27816995.355600003</v>
      </c>
      <c r="S30" s="465">
        <f t="shared" si="15"/>
        <v>81416995.355599999</v>
      </c>
      <c r="T30" s="465">
        <f t="shared" si="15"/>
        <v>81416995.355599999</v>
      </c>
      <c r="U30" s="465">
        <f t="shared" si="15"/>
        <v>27816995.355600003</v>
      </c>
      <c r="V30" s="465">
        <f t="shared" si="15"/>
        <v>27816995.355600003</v>
      </c>
      <c r="W30" s="465">
        <f t="shared" si="15"/>
        <v>27816995.355600003</v>
      </c>
      <c r="X30" s="465">
        <f t="shared" si="15"/>
        <v>27816995.355600003</v>
      </c>
      <c r="Y30" s="465">
        <f t="shared" si="15"/>
        <v>27816995.355600003</v>
      </c>
      <c r="Z30" s="465">
        <f t="shared" si="15"/>
        <v>27816995.355600003</v>
      </c>
      <c r="AA30" s="465">
        <f t="shared" si="15"/>
        <v>27816995.355600003</v>
      </c>
      <c r="AB30" s="465">
        <f t="shared" si="15"/>
        <v>27816995.355600003</v>
      </c>
      <c r="AC30" s="465">
        <f t="shared" si="15"/>
        <v>54616995.355599999</v>
      </c>
      <c r="AD30" s="465">
        <f t="shared" si="15"/>
        <v>54616995.355599999</v>
      </c>
      <c r="AE30" s="465">
        <f t="shared" si="15"/>
        <v>27816995.355600003</v>
      </c>
      <c r="AF30" s="465">
        <f t="shared" si="15"/>
        <v>27816995.355600003</v>
      </c>
      <c r="AG30" s="465">
        <f t="shared" si="15"/>
        <v>27816995.355600003</v>
      </c>
      <c r="AH30" s="465">
        <f t="shared" si="15"/>
        <v>27816995.355600003</v>
      </c>
      <c r="AI30" s="465">
        <f t="shared" si="15"/>
        <v>27816995.355600003</v>
      </c>
      <c r="AJ30" s="465">
        <f t="shared" si="15"/>
        <v>27816995.355600003</v>
      </c>
      <c r="AK30" s="465">
        <f t="shared" si="15"/>
        <v>27816995.355600003</v>
      </c>
      <c r="AL30" s="465">
        <f t="shared" si="15"/>
        <v>27816995.355600003</v>
      </c>
      <c r="AM30" s="465">
        <f t="shared" si="15"/>
        <v>81416995.355599999</v>
      </c>
      <c r="AN30" s="465">
        <f t="shared" si="15"/>
        <v>81416995.355599999</v>
      </c>
      <c r="AO30" s="465">
        <f t="shared" si="15"/>
        <v>27816995.355600003</v>
      </c>
      <c r="AP30" s="465">
        <f t="shared" si="15"/>
        <v>27816995.355600003</v>
      </c>
      <c r="AQ30" s="465">
        <f t="shared" si="15"/>
        <v>81416995.355599999</v>
      </c>
    </row>
    <row r="31" spans="1:47" x14ac:dyDescent="0.2">
      <c r="A31" s="231"/>
      <c r="B31" s="230" t="s">
        <v>54</v>
      </c>
      <c r="C31" s="245">
        <f t="shared" si="14"/>
        <v>157162415.61600009</v>
      </c>
      <c r="D31" s="417">
        <f>H20+H21</f>
        <v>3929060.3904000008</v>
      </c>
      <c r="E31" s="417">
        <f t="shared" ref="E31:AQ31" si="16">I20+I21</f>
        <v>3929060.3904000008</v>
      </c>
      <c r="F31" s="417">
        <f t="shared" si="16"/>
        <v>3929060.3904000008</v>
      </c>
      <c r="G31" s="417">
        <f t="shared" si="16"/>
        <v>3929060.3904000008</v>
      </c>
      <c r="H31" s="417">
        <f t="shared" si="16"/>
        <v>3929060.3904000008</v>
      </c>
      <c r="I31" s="417">
        <f t="shared" si="16"/>
        <v>3929060.3904000008</v>
      </c>
      <c r="J31" s="417">
        <f t="shared" si="16"/>
        <v>3929060.3904000008</v>
      </c>
      <c r="K31" s="417">
        <f t="shared" si="16"/>
        <v>3929060.3904000008</v>
      </c>
      <c r="L31" s="417">
        <f t="shared" si="16"/>
        <v>3929060.3904000008</v>
      </c>
      <c r="M31" s="417">
        <f t="shared" si="16"/>
        <v>3929060.3904000008</v>
      </c>
      <c r="N31" s="417">
        <f t="shared" si="16"/>
        <v>3929060.3904000008</v>
      </c>
      <c r="O31" s="417">
        <f t="shared" si="16"/>
        <v>3929060.3904000008</v>
      </c>
      <c r="P31" s="417">
        <f t="shared" si="16"/>
        <v>3929060.3904000008</v>
      </c>
      <c r="Q31" s="417">
        <f t="shared" si="16"/>
        <v>3929060.3904000008</v>
      </c>
      <c r="R31" s="417">
        <f t="shared" si="16"/>
        <v>3929060.3904000008</v>
      </c>
      <c r="S31" s="417">
        <f t="shared" si="16"/>
        <v>3929060.3904000008</v>
      </c>
      <c r="T31" s="417">
        <f t="shared" si="16"/>
        <v>3929060.3904000008</v>
      </c>
      <c r="U31" s="417">
        <f t="shared" si="16"/>
        <v>3929060.3904000008</v>
      </c>
      <c r="V31" s="417">
        <f t="shared" si="16"/>
        <v>3929060.3904000008</v>
      </c>
      <c r="W31" s="417">
        <f t="shared" si="16"/>
        <v>3929060.3904000008</v>
      </c>
      <c r="X31" s="417">
        <f t="shared" si="16"/>
        <v>3929060.3904000008</v>
      </c>
      <c r="Y31" s="417">
        <f t="shared" si="16"/>
        <v>3929060.3904000008</v>
      </c>
      <c r="Z31" s="417">
        <f t="shared" si="16"/>
        <v>3929060.3904000008</v>
      </c>
      <c r="AA31" s="417">
        <f t="shared" si="16"/>
        <v>3929060.3904000008</v>
      </c>
      <c r="AB31" s="417">
        <f t="shared" si="16"/>
        <v>3929060.3904000008</v>
      </c>
      <c r="AC31" s="417">
        <f t="shared" si="16"/>
        <v>3929060.3904000008</v>
      </c>
      <c r="AD31" s="417">
        <f t="shared" si="16"/>
        <v>3929060.3904000008</v>
      </c>
      <c r="AE31" s="417">
        <f t="shared" si="16"/>
        <v>3929060.3904000008</v>
      </c>
      <c r="AF31" s="417">
        <f t="shared" si="16"/>
        <v>3929060.3904000008</v>
      </c>
      <c r="AG31" s="417">
        <f t="shared" si="16"/>
        <v>3929060.3904000008</v>
      </c>
      <c r="AH31" s="417">
        <f t="shared" si="16"/>
        <v>3929060.3904000008</v>
      </c>
      <c r="AI31" s="417">
        <f t="shared" si="16"/>
        <v>3929060.3904000008</v>
      </c>
      <c r="AJ31" s="417">
        <f t="shared" si="16"/>
        <v>3929060.3904000008</v>
      </c>
      <c r="AK31" s="417">
        <f t="shared" si="16"/>
        <v>3929060.3904000008</v>
      </c>
      <c r="AL31" s="417">
        <f t="shared" si="16"/>
        <v>3929060.3904000008</v>
      </c>
      <c r="AM31" s="417">
        <f t="shared" si="16"/>
        <v>3929060.3904000008</v>
      </c>
      <c r="AN31" s="417">
        <f t="shared" si="16"/>
        <v>3929060.3904000008</v>
      </c>
      <c r="AO31" s="417">
        <f t="shared" si="16"/>
        <v>3929060.3904000008</v>
      </c>
      <c r="AP31" s="417">
        <f t="shared" si="16"/>
        <v>3929060.3904000008</v>
      </c>
      <c r="AQ31" s="417">
        <f t="shared" si="16"/>
        <v>3929060.3904000008</v>
      </c>
    </row>
    <row r="32" spans="1:47" ht="13.5" thickBot="1" x14ac:dyDescent="0.25">
      <c r="A32" s="231"/>
      <c r="B32" s="466" t="s">
        <v>52</v>
      </c>
      <c r="C32" s="467">
        <f t="shared" si="14"/>
        <v>157162415.61600009</v>
      </c>
      <c r="D32" s="467">
        <f t="shared" ref="D32:AQ32" si="17">SUM(D31:D31)</f>
        <v>3929060.3904000008</v>
      </c>
      <c r="E32" s="467">
        <f t="shared" si="17"/>
        <v>3929060.3904000008</v>
      </c>
      <c r="F32" s="467">
        <f t="shared" si="17"/>
        <v>3929060.3904000008</v>
      </c>
      <c r="G32" s="467">
        <f t="shared" si="17"/>
        <v>3929060.3904000008</v>
      </c>
      <c r="H32" s="467">
        <f t="shared" si="17"/>
        <v>3929060.3904000008</v>
      </c>
      <c r="I32" s="467">
        <f t="shared" si="17"/>
        <v>3929060.3904000008</v>
      </c>
      <c r="J32" s="467">
        <f t="shared" si="17"/>
        <v>3929060.3904000008</v>
      </c>
      <c r="K32" s="467">
        <f t="shared" si="17"/>
        <v>3929060.3904000008</v>
      </c>
      <c r="L32" s="467">
        <f t="shared" si="17"/>
        <v>3929060.3904000008</v>
      </c>
      <c r="M32" s="467">
        <f t="shared" si="17"/>
        <v>3929060.3904000008</v>
      </c>
      <c r="N32" s="467">
        <f t="shared" si="17"/>
        <v>3929060.3904000008</v>
      </c>
      <c r="O32" s="467">
        <f t="shared" si="17"/>
        <v>3929060.3904000008</v>
      </c>
      <c r="P32" s="467">
        <f t="shared" si="17"/>
        <v>3929060.3904000008</v>
      </c>
      <c r="Q32" s="467">
        <f t="shared" si="17"/>
        <v>3929060.3904000008</v>
      </c>
      <c r="R32" s="467">
        <f t="shared" si="17"/>
        <v>3929060.3904000008</v>
      </c>
      <c r="S32" s="467">
        <f t="shared" si="17"/>
        <v>3929060.3904000008</v>
      </c>
      <c r="T32" s="467">
        <f t="shared" si="17"/>
        <v>3929060.3904000008</v>
      </c>
      <c r="U32" s="467">
        <f t="shared" si="17"/>
        <v>3929060.3904000008</v>
      </c>
      <c r="V32" s="467">
        <f t="shared" si="17"/>
        <v>3929060.3904000008</v>
      </c>
      <c r="W32" s="467">
        <f t="shared" si="17"/>
        <v>3929060.3904000008</v>
      </c>
      <c r="X32" s="467">
        <f t="shared" si="17"/>
        <v>3929060.3904000008</v>
      </c>
      <c r="Y32" s="467">
        <f t="shared" si="17"/>
        <v>3929060.3904000008</v>
      </c>
      <c r="Z32" s="467">
        <f t="shared" si="17"/>
        <v>3929060.3904000008</v>
      </c>
      <c r="AA32" s="467">
        <f t="shared" si="17"/>
        <v>3929060.3904000008</v>
      </c>
      <c r="AB32" s="467">
        <f t="shared" si="17"/>
        <v>3929060.3904000008</v>
      </c>
      <c r="AC32" s="467">
        <f t="shared" si="17"/>
        <v>3929060.3904000008</v>
      </c>
      <c r="AD32" s="467">
        <f t="shared" si="17"/>
        <v>3929060.3904000008</v>
      </c>
      <c r="AE32" s="467">
        <f t="shared" si="17"/>
        <v>3929060.3904000008</v>
      </c>
      <c r="AF32" s="467">
        <f t="shared" si="17"/>
        <v>3929060.3904000008</v>
      </c>
      <c r="AG32" s="467">
        <f t="shared" si="17"/>
        <v>3929060.3904000008</v>
      </c>
      <c r="AH32" s="467">
        <f t="shared" si="17"/>
        <v>3929060.3904000008</v>
      </c>
      <c r="AI32" s="467">
        <f t="shared" si="17"/>
        <v>3929060.3904000008</v>
      </c>
      <c r="AJ32" s="467">
        <f t="shared" si="17"/>
        <v>3929060.3904000008</v>
      </c>
      <c r="AK32" s="467">
        <f t="shared" si="17"/>
        <v>3929060.3904000008</v>
      </c>
      <c r="AL32" s="467">
        <f t="shared" si="17"/>
        <v>3929060.3904000008</v>
      </c>
      <c r="AM32" s="467">
        <f t="shared" si="17"/>
        <v>3929060.3904000008</v>
      </c>
      <c r="AN32" s="467">
        <f t="shared" si="17"/>
        <v>3929060.3904000008</v>
      </c>
      <c r="AO32" s="467">
        <f t="shared" si="17"/>
        <v>3929060.3904000008</v>
      </c>
      <c r="AP32" s="467">
        <f t="shared" si="17"/>
        <v>3929060.3904000008</v>
      </c>
      <c r="AQ32" s="467">
        <f t="shared" si="17"/>
        <v>3929060.3904000008</v>
      </c>
    </row>
    <row r="33" spans="1:74" ht="13.5" thickTop="1" x14ac:dyDescent="0.2">
      <c r="A33" s="231"/>
      <c r="B33" s="468" t="s">
        <v>51</v>
      </c>
      <c r="C33" s="469">
        <f t="shared" si="14"/>
        <v>1645042229.8400011</v>
      </c>
      <c r="D33" s="469">
        <f t="shared" ref="D33:AQ33" si="18">SUM(D30,D32)</f>
        <v>31746055.746000003</v>
      </c>
      <c r="E33" s="469">
        <f t="shared" si="18"/>
        <v>31746055.746000003</v>
      </c>
      <c r="F33" s="469">
        <f t="shared" si="18"/>
        <v>31746055.746000003</v>
      </c>
      <c r="G33" s="469">
        <f t="shared" si="18"/>
        <v>31746055.746000003</v>
      </c>
      <c r="H33" s="469">
        <f t="shared" si="18"/>
        <v>31746055.746000003</v>
      </c>
      <c r="I33" s="469">
        <f t="shared" si="18"/>
        <v>58546055.745999999</v>
      </c>
      <c r="J33" s="469">
        <f t="shared" si="18"/>
        <v>58546055.745999999</v>
      </c>
      <c r="K33" s="469">
        <f t="shared" si="18"/>
        <v>31746055.746000003</v>
      </c>
      <c r="L33" s="469">
        <f t="shared" si="18"/>
        <v>31746055.746000003</v>
      </c>
      <c r="M33" s="469">
        <f t="shared" si="18"/>
        <v>31746055.746000003</v>
      </c>
      <c r="N33" s="469">
        <f t="shared" si="18"/>
        <v>31746055.746000003</v>
      </c>
      <c r="O33" s="469">
        <f t="shared" si="18"/>
        <v>31746055.746000003</v>
      </c>
      <c r="P33" s="469">
        <f t="shared" si="18"/>
        <v>31746055.746000003</v>
      </c>
      <c r="Q33" s="469">
        <f t="shared" si="18"/>
        <v>31746055.746000003</v>
      </c>
      <c r="R33" s="469">
        <f t="shared" si="18"/>
        <v>31746055.746000003</v>
      </c>
      <c r="S33" s="469">
        <f t="shared" si="18"/>
        <v>85346055.746000007</v>
      </c>
      <c r="T33" s="469">
        <f t="shared" si="18"/>
        <v>85346055.746000007</v>
      </c>
      <c r="U33" s="469">
        <f t="shared" si="18"/>
        <v>31746055.746000003</v>
      </c>
      <c r="V33" s="469">
        <f t="shared" si="18"/>
        <v>31746055.746000003</v>
      </c>
      <c r="W33" s="469">
        <f t="shared" si="18"/>
        <v>31746055.746000003</v>
      </c>
      <c r="X33" s="469">
        <f t="shared" si="18"/>
        <v>31746055.746000003</v>
      </c>
      <c r="Y33" s="469">
        <f t="shared" si="18"/>
        <v>31746055.746000003</v>
      </c>
      <c r="Z33" s="469">
        <f t="shared" si="18"/>
        <v>31746055.746000003</v>
      </c>
      <c r="AA33" s="469">
        <f t="shared" si="18"/>
        <v>31746055.746000003</v>
      </c>
      <c r="AB33" s="469">
        <f t="shared" si="18"/>
        <v>31746055.746000003</v>
      </c>
      <c r="AC33" s="469">
        <f t="shared" si="18"/>
        <v>58546055.745999999</v>
      </c>
      <c r="AD33" s="469">
        <f t="shared" si="18"/>
        <v>58546055.745999999</v>
      </c>
      <c r="AE33" s="469">
        <f t="shared" si="18"/>
        <v>31746055.746000003</v>
      </c>
      <c r="AF33" s="469">
        <f t="shared" si="18"/>
        <v>31746055.746000003</v>
      </c>
      <c r="AG33" s="469">
        <f t="shared" si="18"/>
        <v>31746055.746000003</v>
      </c>
      <c r="AH33" s="469">
        <f t="shared" si="18"/>
        <v>31746055.746000003</v>
      </c>
      <c r="AI33" s="469">
        <f t="shared" si="18"/>
        <v>31746055.746000003</v>
      </c>
      <c r="AJ33" s="469">
        <f t="shared" si="18"/>
        <v>31746055.746000003</v>
      </c>
      <c r="AK33" s="469">
        <f t="shared" si="18"/>
        <v>31746055.746000003</v>
      </c>
      <c r="AL33" s="469">
        <f t="shared" si="18"/>
        <v>31746055.746000003</v>
      </c>
      <c r="AM33" s="469">
        <f t="shared" si="18"/>
        <v>85346055.746000007</v>
      </c>
      <c r="AN33" s="469">
        <f t="shared" si="18"/>
        <v>85346055.746000007</v>
      </c>
      <c r="AO33" s="469">
        <f t="shared" si="18"/>
        <v>31746055.746000003</v>
      </c>
      <c r="AP33" s="469">
        <f t="shared" si="18"/>
        <v>31746055.746000003</v>
      </c>
      <c r="AQ33" s="469">
        <f t="shared" si="18"/>
        <v>85346055.746000007</v>
      </c>
    </row>
    <row r="35" spans="1:74" s="412" customFormat="1" ht="13.5" thickBot="1" x14ac:dyDescent="0.25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409"/>
      <c r="BB35" s="409"/>
      <c r="BC35" s="409"/>
      <c r="BD35" s="409"/>
      <c r="BE35" s="409"/>
      <c r="BF35" s="409"/>
      <c r="BG35" s="409"/>
      <c r="BH35" s="409"/>
      <c r="BI35" s="409"/>
      <c r="BJ35" s="409"/>
      <c r="BK35" s="409"/>
      <c r="BL35" s="409"/>
      <c r="BM35" s="409"/>
      <c r="BN35" s="409"/>
      <c r="BO35" s="409"/>
      <c r="BP35" s="409"/>
      <c r="BQ35" s="409"/>
      <c r="BR35" s="409"/>
      <c r="BS35" s="409"/>
      <c r="BT35" s="409"/>
      <c r="BU35" s="409"/>
      <c r="BV35" s="409"/>
    </row>
    <row r="36" spans="1:74" ht="15" customHeight="1" x14ac:dyDescent="0.2">
      <c r="B36" s="78"/>
      <c r="C36" s="683" t="s">
        <v>664</v>
      </c>
      <c r="D36" s="684"/>
      <c r="E36" s="685"/>
    </row>
    <row r="37" spans="1:74" ht="41.45" customHeight="1" thickBot="1" x14ac:dyDescent="0.25">
      <c r="B37" s="78"/>
      <c r="C37" s="686" t="s">
        <v>515</v>
      </c>
      <c r="D37" s="687"/>
      <c r="E37" s="295" t="s">
        <v>520</v>
      </c>
    </row>
    <row r="38" spans="1:74" ht="13.5" thickBot="1" x14ac:dyDescent="0.25">
      <c r="B38" s="408" t="s">
        <v>665</v>
      </c>
      <c r="C38" s="688">
        <v>0.1</v>
      </c>
      <c r="D38" s="689"/>
      <c r="E38" s="498">
        <v>0.2</v>
      </c>
    </row>
    <row r="39" spans="1:74" ht="22.7" customHeight="1" thickBot="1" x14ac:dyDescent="0.25">
      <c r="B39" s="516" t="s">
        <v>679</v>
      </c>
      <c r="C39" s="690">
        <v>33500000</v>
      </c>
      <c r="D39" s="691"/>
      <c r="E39" s="692"/>
    </row>
    <row r="42" spans="1:74" s="412" customFormat="1" x14ac:dyDescent="0.2">
      <c r="A42" s="409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/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</row>
    <row r="57" spans="1:58" x14ac:dyDescent="0.2">
      <c r="AU57" s="412"/>
      <c r="AV57" s="412"/>
      <c r="AW57" s="412"/>
      <c r="AX57" s="412"/>
      <c r="AY57" s="412"/>
      <c r="AZ57" s="412"/>
      <c r="BA57" s="412"/>
      <c r="BB57" s="412"/>
      <c r="BC57" s="412"/>
      <c r="BD57" s="412"/>
      <c r="BE57" s="412"/>
      <c r="BF57" s="412"/>
    </row>
    <row r="58" spans="1:58" s="412" customFormat="1" x14ac:dyDescent="0.2">
      <c r="A58" s="409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AZ58" s="409"/>
      <c r="BA58" s="409"/>
      <c r="BB58" s="409"/>
      <c r="BC58" s="409"/>
      <c r="BD58" s="409"/>
      <c r="BE58" s="409"/>
      <c r="BF58" s="409"/>
    </row>
  </sheetData>
  <mergeCells count="12">
    <mergeCell ref="G11:G21"/>
    <mergeCell ref="C36:E36"/>
    <mergeCell ref="C37:D37"/>
    <mergeCell ref="C38:D38"/>
    <mergeCell ref="C39:E39"/>
    <mergeCell ref="B1:AK1"/>
    <mergeCell ref="B2:G4"/>
    <mergeCell ref="B5:G5"/>
    <mergeCell ref="B8:B9"/>
    <mergeCell ref="D8:D10"/>
    <mergeCell ref="E8:E10"/>
    <mergeCell ref="F8:F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CD41-BAE9-421D-B292-DC03CCCC3633}">
  <sheetPr>
    <tabColor theme="0" tint="-0.14999847407452621"/>
  </sheetPr>
  <dimension ref="A1:BY96"/>
  <sheetViews>
    <sheetView workbookViewId="0"/>
  </sheetViews>
  <sheetFormatPr defaultColWidth="8.85546875" defaultRowHeight="12.75" x14ac:dyDescent="0.2"/>
  <cols>
    <col min="1" max="1" width="1.42578125" style="409" customWidth="1"/>
    <col min="2" max="2" width="32.140625" style="409" bestFit="1" customWidth="1"/>
    <col min="3" max="3" width="11.42578125" style="409" bestFit="1" customWidth="1"/>
    <col min="4" max="6" width="11.140625" style="409" customWidth="1"/>
    <col min="7" max="7" width="10" style="409" customWidth="1"/>
    <col min="8" max="8" width="10.140625" style="409" bestFit="1" customWidth="1"/>
    <col min="9" max="11" width="9.85546875" style="409" bestFit="1" customWidth="1"/>
    <col min="12" max="12" width="10.140625" style="409" bestFit="1" customWidth="1"/>
    <col min="13" max="37" width="9.85546875" style="409" bestFit="1" customWidth="1"/>
    <col min="38" max="16384" width="8.85546875" style="409"/>
  </cols>
  <sheetData>
    <row r="1" spans="1:47" x14ac:dyDescent="0.2">
      <c r="B1" s="667"/>
      <c r="C1" s="667"/>
      <c r="D1" s="667"/>
      <c r="E1" s="667"/>
      <c r="F1" s="667"/>
      <c r="G1" s="667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</row>
    <row r="2" spans="1:47" x14ac:dyDescent="0.2">
      <c r="A2" s="410"/>
      <c r="B2" s="669" t="s">
        <v>666</v>
      </c>
      <c r="C2" s="669"/>
      <c r="D2" s="669"/>
      <c r="E2" s="669"/>
      <c r="F2" s="669"/>
      <c r="G2" s="67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</row>
    <row r="3" spans="1:47" x14ac:dyDescent="0.2">
      <c r="A3" s="410"/>
      <c r="B3" s="669"/>
      <c r="C3" s="669"/>
      <c r="D3" s="669"/>
      <c r="E3" s="669"/>
      <c r="F3" s="669"/>
      <c r="G3" s="67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</row>
    <row r="4" spans="1:47" s="412" customFormat="1" x14ac:dyDescent="0.2">
      <c r="A4" s="411"/>
      <c r="B4" s="669"/>
      <c r="C4" s="669"/>
      <c r="D4" s="669"/>
      <c r="E4" s="669"/>
      <c r="F4" s="669"/>
      <c r="G4" s="670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</row>
    <row r="5" spans="1:47" x14ac:dyDescent="0.2">
      <c r="A5" s="410"/>
      <c r="B5" s="671" t="s">
        <v>680</v>
      </c>
      <c r="C5" s="672"/>
      <c r="D5" s="672"/>
      <c r="E5" s="672"/>
      <c r="F5" s="672"/>
      <c r="G5" s="673"/>
      <c r="H5" s="410"/>
      <c r="I5" s="244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</row>
    <row r="6" spans="1:47" x14ac:dyDescent="0.2">
      <c r="A6" s="410"/>
      <c r="B6" s="470"/>
      <c r="C6" s="470"/>
      <c r="D6" s="470"/>
      <c r="E6" s="470"/>
      <c r="F6" s="470"/>
      <c r="G6" s="470"/>
      <c r="H6" s="410"/>
      <c r="I6" s="244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</row>
    <row r="7" spans="1:47" x14ac:dyDescent="0.2">
      <c r="A7" s="410"/>
      <c r="B7" s="470"/>
      <c r="C7" s="470"/>
      <c r="D7" s="470"/>
      <c r="E7" s="470"/>
      <c r="F7" s="470"/>
      <c r="G7" s="470"/>
      <c r="H7" s="410"/>
      <c r="I7" s="244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</row>
    <row r="8" spans="1:47" ht="13.5" thickBot="1" x14ac:dyDescent="0.25">
      <c r="A8" s="410"/>
      <c r="B8" s="410"/>
      <c r="C8" s="410"/>
      <c r="D8" s="410"/>
      <c r="E8" s="410"/>
      <c r="F8" s="410"/>
      <c r="G8" s="410"/>
      <c r="H8" s="447"/>
      <c r="I8" s="447"/>
      <c r="J8" s="410"/>
      <c r="K8" s="410"/>
      <c r="L8" s="410"/>
      <c r="M8" s="447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</row>
    <row r="9" spans="1:47" ht="13.35" customHeight="1" x14ac:dyDescent="0.2">
      <c r="A9" s="410"/>
      <c r="B9" s="674" t="s">
        <v>658</v>
      </c>
      <c r="C9" s="413" t="s">
        <v>678</v>
      </c>
      <c r="D9" s="676" t="s">
        <v>723</v>
      </c>
      <c r="E9" s="676" t="s">
        <v>724</v>
      </c>
      <c r="F9" s="679" t="s">
        <v>648</v>
      </c>
      <c r="G9" s="297" t="s">
        <v>649</v>
      </c>
      <c r="H9" s="414">
        <v>2026</v>
      </c>
      <c r="I9" s="296">
        <f>H9+1</f>
        <v>2027</v>
      </c>
      <c r="J9" s="296">
        <f t="shared" ref="J9:AU9" si="0">I9+1</f>
        <v>2028</v>
      </c>
      <c r="K9" s="296">
        <f t="shared" si="0"/>
        <v>2029</v>
      </c>
      <c r="L9" s="296">
        <f t="shared" si="0"/>
        <v>2030</v>
      </c>
      <c r="M9" s="296">
        <f t="shared" si="0"/>
        <v>2031</v>
      </c>
      <c r="N9" s="296">
        <f t="shared" si="0"/>
        <v>2032</v>
      </c>
      <c r="O9" s="296">
        <f t="shared" si="0"/>
        <v>2033</v>
      </c>
      <c r="P9" s="296">
        <f t="shared" si="0"/>
        <v>2034</v>
      </c>
      <c r="Q9" s="296">
        <f t="shared" si="0"/>
        <v>2035</v>
      </c>
      <c r="R9" s="296">
        <f t="shared" si="0"/>
        <v>2036</v>
      </c>
      <c r="S9" s="296">
        <f t="shared" si="0"/>
        <v>2037</v>
      </c>
      <c r="T9" s="296">
        <f t="shared" si="0"/>
        <v>2038</v>
      </c>
      <c r="U9" s="296">
        <f t="shared" si="0"/>
        <v>2039</v>
      </c>
      <c r="V9" s="296">
        <f t="shared" si="0"/>
        <v>2040</v>
      </c>
      <c r="W9" s="296">
        <f t="shared" si="0"/>
        <v>2041</v>
      </c>
      <c r="X9" s="296">
        <f t="shared" si="0"/>
        <v>2042</v>
      </c>
      <c r="Y9" s="296">
        <f t="shared" si="0"/>
        <v>2043</v>
      </c>
      <c r="Z9" s="296">
        <f t="shared" si="0"/>
        <v>2044</v>
      </c>
      <c r="AA9" s="296">
        <f t="shared" si="0"/>
        <v>2045</v>
      </c>
      <c r="AB9" s="296">
        <f t="shared" si="0"/>
        <v>2046</v>
      </c>
      <c r="AC9" s="296">
        <f t="shared" si="0"/>
        <v>2047</v>
      </c>
      <c r="AD9" s="296">
        <f t="shared" si="0"/>
        <v>2048</v>
      </c>
      <c r="AE9" s="296">
        <f t="shared" si="0"/>
        <v>2049</v>
      </c>
      <c r="AF9" s="296">
        <f t="shared" si="0"/>
        <v>2050</v>
      </c>
      <c r="AG9" s="296">
        <f t="shared" si="0"/>
        <v>2051</v>
      </c>
      <c r="AH9" s="296">
        <f t="shared" si="0"/>
        <v>2052</v>
      </c>
      <c r="AI9" s="296">
        <f t="shared" si="0"/>
        <v>2053</v>
      </c>
      <c r="AJ9" s="296">
        <f t="shared" si="0"/>
        <v>2054</v>
      </c>
      <c r="AK9" s="296">
        <f t="shared" si="0"/>
        <v>2055</v>
      </c>
      <c r="AL9" s="296">
        <f t="shared" si="0"/>
        <v>2056</v>
      </c>
      <c r="AM9" s="296">
        <f t="shared" si="0"/>
        <v>2057</v>
      </c>
      <c r="AN9" s="296">
        <f t="shared" si="0"/>
        <v>2058</v>
      </c>
      <c r="AO9" s="296">
        <f t="shared" si="0"/>
        <v>2059</v>
      </c>
      <c r="AP9" s="296">
        <f t="shared" si="0"/>
        <v>2060</v>
      </c>
      <c r="AQ9" s="296">
        <f t="shared" si="0"/>
        <v>2061</v>
      </c>
      <c r="AR9" s="296">
        <f t="shared" si="0"/>
        <v>2062</v>
      </c>
      <c r="AS9" s="296">
        <f t="shared" si="0"/>
        <v>2063</v>
      </c>
      <c r="AT9" s="296">
        <f t="shared" si="0"/>
        <v>2064</v>
      </c>
      <c r="AU9" s="296">
        <f t="shared" si="0"/>
        <v>2065</v>
      </c>
    </row>
    <row r="10" spans="1:47" ht="22.5" x14ac:dyDescent="0.2">
      <c r="A10" s="410"/>
      <c r="B10" s="675"/>
      <c r="C10" s="415" t="s">
        <v>730</v>
      </c>
      <c r="D10" s="677"/>
      <c r="E10" s="677"/>
      <c r="F10" s="680"/>
      <c r="G10" s="448" t="s">
        <v>500</v>
      </c>
      <c r="H10" s="416">
        <v>8</v>
      </c>
      <c r="I10" s="416">
        <v>8</v>
      </c>
      <c r="J10" s="416">
        <v>8</v>
      </c>
      <c r="K10" s="416">
        <v>8</v>
      </c>
      <c r="L10" s="416">
        <v>5</v>
      </c>
      <c r="M10" s="416">
        <v>2</v>
      </c>
      <c r="N10" s="416">
        <v>0</v>
      </c>
      <c r="O10" s="416">
        <v>0</v>
      </c>
      <c r="P10" s="416">
        <v>0</v>
      </c>
      <c r="Q10" s="416">
        <v>0</v>
      </c>
      <c r="R10" s="416">
        <v>0</v>
      </c>
      <c r="S10" s="416">
        <v>0</v>
      </c>
      <c r="T10" s="416">
        <v>0</v>
      </c>
      <c r="U10" s="416">
        <v>0</v>
      </c>
      <c r="V10" s="416">
        <v>0</v>
      </c>
      <c r="W10" s="416">
        <v>0</v>
      </c>
      <c r="X10" s="416">
        <v>0</v>
      </c>
      <c r="Y10" s="416">
        <v>0</v>
      </c>
      <c r="Z10" s="416">
        <v>0</v>
      </c>
      <c r="AA10" s="416">
        <v>0</v>
      </c>
      <c r="AB10" s="416">
        <v>0</v>
      </c>
      <c r="AC10" s="416">
        <v>0</v>
      </c>
      <c r="AD10" s="416">
        <v>0</v>
      </c>
      <c r="AE10" s="416">
        <v>0</v>
      </c>
      <c r="AF10" s="416">
        <v>0</v>
      </c>
      <c r="AG10" s="416">
        <v>0</v>
      </c>
      <c r="AH10" s="416">
        <v>0</v>
      </c>
      <c r="AI10" s="416">
        <v>0</v>
      </c>
      <c r="AJ10" s="416">
        <v>0</v>
      </c>
      <c r="AK10" s="416">
        <v>0</v>
      </c>
      <c r="AL10" s="416">
        <v>0</v>
      </c>
      <c r="AM10" s="416">
        <v>0</v>
      </c>
      <c r="AN10" s="416">
        <v>0</v>
      </c>
      <c r="AO10" s="416">
        <v>0</v>
      </c>
      <c r="AP10" s="416">
        <v>0</v>
      </c>
      <c r="AQ10" s="416">
        <v>0</v>
      </c>
      <c r="AR10" s="416">
        <v>0</v>
      </c>
      <c r="AS10" s="416">
        <v>0</v>
      </c>
      <c r="AT10" s="416">
        <v>0</v>
      </c>
      <c r="AU10" s="416">
        <v>0</v>
      </c>
    </row>
    <row r="11" spans="1:47" ht="12.95" customHeight="1" thickBot="1" x14ac:dyDescent="0.25">
      <c r="A11" s="410"/>
      <c r="B11" s="418" t="s">
        <v>650</v>
      </c>
      <c r="C11" s="419">
        <f>363*1010</f>
        <v>366630</v>
      </c>
      <c r="D11" s="678"/>
      <c r="E11" s="678"/>
      <c r="F11" s="693"/>
      <c r="G11" s="449" t="s">
        <v>499</v>
      </c>
      <c r="H11" s="558">
        <v>7</v>
      </c>
      <c r="I11" s="558">
        <v>7</v>
      </c>
      <c r="J11" s="558">
        <v>7</v>
      </c>
      <c r="K11" s="558">
        <v>7</v>
      </c>
      <c r="L11" s="558">
        <v>4</v>
      </c>
      <c r="M11" s="558">
        <v>1</v>
      </c>
      <c r="N11" s="558">
        <v>0</v>
      </c>
      <c r="O11" s="558">
        <v>0</v>
      </c>
      <c r="P11" s="558">
        <v>0</v>
      </c>
      <c r="Q11" s="558">
        <v>0</v>
      </c>
      <c r="R11" s="558">
        <v>0</v>
      </c>
      <c r="S11" s="558">
        <v>0</v>
      </c>
      <c r="T11" s="558">
        <v>0</v>
      </c>
      <c r="U11" s="558">
        <v>0</v>
      </c>
      <c r="V11" s="558">
        <v>0</v>
      </c>
      <c r="W11" s="558">
        <v>0</v>
      </c>
      <c r="X11" s="558">
        <v>0</v>
      </c>
      <c r="Y11" s="558">
        <v>0</v>
      </c>
      <c r="Z11" s="558">
        <v>0</v>
      </c>
      <c r="AA11" s="558">
        <v>0</v>
      </c>
      <c r="AB11" s="558">
        <v>0</v>
      </c>
      <c r="AC11" s="558">
        <v>0</v>
      </c>
      <c r="AD11" s="558">
        <v>0</v>
      </c>
      <c r="AE11" s="558">
        <v>0</v>
      </c>
      <c r="AF11" s="558">
        <v>0</v>
      </c>
      <c r="AG11" s="558">
        <v>0</v>
      </c>
      <c r="AH11" s="558">
        <v>0</v>
      </c>
      <c r="AI11" s="558">
        <v>0</v>
      </c>
      <c r="AJ11" s="558">
        <v>0</v>
      </c>
      <c r="AK11" s="558">
        <v>0</v>
      </c>
      <c r="AL11" s="558">
        <v>0</v>
      </c>
      <c r="AM11" s="558">
        <v>0</v>
      </c>
      <c r="AN11" s="558">
        <v>0</v>
      </c>
      <c r="AO11" s="558">
        <v>0</v>
      </c>
      <c r="AP11" s="558">
        <v>0</v>
      </c>
      <c r="AQ11" s="558">
        <v>0</v>
      </c>
      <c r="AR11" s="558">
        <v>0</v>
      </c>
      <c r="AS11" s="558">
        <v>0</v>
      </c>
      <c r="AT11" s="558">
        <v>0</v>
      </c>
      <c r="AU11" s="558">
        <v>0</v>
      </c>
    </row>
    <row r="12" spans="1:47" ht="12.6" customHeight="1" x14ac:dyDescent="0.2">
      <c r="A12" s="410"/>
      <c r="B12" s="420" t="s">
        <v>651</v>
      </c>
      <c r="C12" s="421" t="s">
        <v>226</v>
      </c>
      <c r="D12" s="422">
        <f>2.66*1.123</f>
        <v>2.9871799999999999</v>
      </c>
      <c r="E12" s="423">
        <f>C11</f>
        <v>366630</v>
      </c>
      <c r="F12" s="424">
        <f>D12*E12</f>
        <v>1095189.8034000001</v>
      </c>
      <c r="G12" s="697"/>
      <c r="H12" s="559">
        <f>$F$12*H10</f>
        <v>8761518.4272000007</v>
      </c>
      <c r="I12" s="550">
        <f t="shared" ref="I12:AU12" si="1">$F$12*I10</f>
        <v>8761518.4272000007</v>
      </c>
      <c r="J12" s="550">
        <f t="shared" si="1"/>
        <v>8761518.4272000007</v>
      </c>
      <c r="K12" s="550">
        <f t="shared" si="1"/>
        <v>8761518.4272000007</v>
      </c>
      <c r="L12" s="550">
        <f t="shared" si="1"/>
        <v>5475949.0170000009</v>
      </c>
      <c r="M12" s="550">
        <f t="shared" si="1"/>
        <v>2190379.6068000002</v>
      </c>
      <c r="N12" s="550">
        <f t="shared" si="1"/>
        <v>0</v>
      </c>
      <c r="O12" s="550">
        <f t="shared" si="1"/>
        <v>0</v>
      </c>
      <c r="P12" s="550">
        <f t="shared" si="1"/>
        <v>0</v>
      </c>
      <c r="Q12" s="550">
        <f t="shared" si="1"/>
        <v>0</v>
      </c>
      <c r="R12" s="550">
        <f t="shared" si="1"/>
        <v>0</v>
      </c>
      <c r="S12" s="550">
        <f t="shared" si="1"/>
        <v>0</v>
      </c>
      <c r="T12" s="550">
        <f t="shared" si="1"/>
        <v>0</v>
      </c>
      <c r="U12" s="550">
        <f t="shared" si="1"/>
        <v>0</v>
      </c>
      <c r="V12" s="550">
        <f t="shared" si="1"/>
        <v>0</v>
      </c>
      <c r="W12" s="550">
        <f t="shared" si="1"/>
        <v>0</v>
      </c>
      <c r="X12" s="550">
        <f t="shared" si="1"/>
        <v>0</v>
      </c>
      <c r="Y12" s="550">
        <f t="shared" si="1"/>
        <v>0</v>
      </c>
      <c r="Z12" s="550">
        <f t="shared" si="1"/>
        <v>0</v>
      </c>
      <c r="AA12" s="550">
        <f t="shared" si="1"/>
        <v>0</v>
      </c>
      <c r="AB12" s="550">
        <f t="shared" si="1"/>
        <v>0</v>
      </c>
      <c r="AC12" s="550">
        <f t="shared" si="1"/>
        <v>0</v>
      </c>
      <c r="AD12" s="550">
        <f t="shared" si="1"/>
        <v>0</v>
      </c>
      <c r="AE12" s="550">
        <f t="shared" si="1"/>
        <v>0</v>
      </c>
      <c r="AF12" s="550">
        <f t="shared" si="1"/>
        <v>0</v>
      </c>
      <c r="AG12" s="550">
        <f t="shared" si="1"/>
        <v>0</v>
      </c>
      <c r="AH12" s="550">
        <f t="shared" si="1"/>
        <v>0</v>
      </c>
      <c r="AI12" s="550">
        <f t="shared" si="1"/>
        <v>0</v>
      </c>
      <c r="AJ12" s="550">
        <f t="shared" si="1"/>
        <v>0</v>
      </c>
      <c r="AK12" s="550">
        <f t="shared" si="1"/>
        <v>0</v>
      </c>
      <c r="AL12" s="550">
        <f t="shared" si="1"/>
        <v>0</v>
      </c>
      <c r="AM12" s="550">
        <f t="shared" si="1"/>
        <v>0</v>
      </c>
      <c r="AN12" s="550">
        <f t="shared" si="1"/>
        <v>0</v>
      </c>
      <c r="AO12" s="550">
        <f t="shared" si="1"/>
        <v>0</v>
      </c>
      <c r="AP12" s="550">
        <f t="shared" si="1"/>
        <v>0</v>
      </c>
      <c r="AQ12" s="550">
        <f t="shared" si="1"/>
        <v>0</v>
      </c>
      <c r="AR12" s="550">
        <f t="shared" si="1"/>
        <v>0</v>
      </c>
      <c r="AS12" s="550">
        <f t="shared" si="1"/>
        <v>0</v>
      </c>
      <c r="AT12" s="550">
        <f t="shared" si="1"/>
        <v>0</v>
      </c>
      <c r="AU12" s="551">
        <f t="shared" si="1"/>
        <v>0</v>
      </c>
    </row>
    <row r="13" spans="1:47" x14ac:dyDescent="0.2">
      <c r="A13" s="410"/>
      <c r="B13" s="425" t="s">
        <v>652</v>
      </c>
      <c r="C13" s="426" t="s">
        <v>226</v>
      </c>
      <c r="D13" s="497"/>
      <c r="E13" s="457"/>
      <c r="F13" s="458"/>
      <c r="G13" s="698"/>
      <c r="H13" s="450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2"/>
    </row>
    <row r="14" spans="1:47" x14ac:dyDescent="0.2">
      <c r="A14" s="410"/>
      <c r="B14" s="425" t="s">
        <v>653</v>
      </c>
      <c r="C14" s="426" t="s">
        <v>226</v>
      </c>
      <c r="D14" s="427">
        <f>0.64*1.123</f>
        <v>0.71872000000000003</v>
      </c>
      <c r="E14" s="428">
        <f>C11</f>
        <v>366630</v>
      </c>
      <c r="F14" s="429">
        <f>D14*E14</f>
        <v>263504.31359999999</v>
      </c>
      <c r="G14" s="698"/>
      <c r="H14" s="430">
        <f>$F$14*H10</f>
        <v>2108034.5088</v>
      </c>
      <c r="I14" s="431">
        <f t="shared" ref="I14:AU14" si="2">$F$14*I10</f>
        <v>2108034.5088</v>
      </c>
      <c r="J14" s="431">
        <f t="shared" si="2"/>
        <v>2108034.5088</v>
      </c>
      <c r="K14" s="431">
        <f t="shared" si="2"/>
        <v>2108034.5088</v>
      </c>
      <c r="L14" s="431">
        <f t="shared" si="2"/>
        <v>1317521.568</v>
      </c>
      <c r="M14" s="431">
        <f t="shared" si="2"/>
        <v>527008.62719999999</v>
      </c>
      <c r="N14" s="431">
        <f t="shared" si="2"/>
        <v>0</v>
      </c>
      <c r="O14" s="431">
        <f t="shared" si="2"/>
        <v>0</v>
      </c>
      <c r="P14" s="431">
        <f t="shared" si="2"/>
        <v>0</v>
      </c>
      <c r="Q14" s="431">
        <f t="shared" si="2"/>
        <v>0</v>
      </c>
      <c r="R14" s="431">
        <f t="shared" si="2"/>
        <v>0</v>
      </c>
      <c r="S14" s="431">
        <f t="shared" si="2"/>
        <v>0</v>
      </c>
      <c r="T14" s="431">
        <f t="shared" si="2"/>
        <v>0</v>
      </c>
      <c r="U14" s="431">
        <f t="shared" si="2"/>
        <v>0</v>
      </c>
      <c r="V14" s="431">
        <f t="shared" si="2"/>
        <v>0</v>
      </c>
      <c r="W14" s="431">
        <f t="shared" si="2"/>
        <v>0</v>
      </c>
      <c r="X14" s="431">
        <f t="shared" si="2"/>
        <v>0</v>
      </c>
      <c r="Y14" s="431">
        <f t="shared" si="2"/>
        <v>0</v>
      </c>
      <c r="Z14" s="431">
        <f t="shared" si="2"/>
        <v>0</v>
      </c>
      <c r="AA14" s="431">
        <f t="shared" si="2"/>
        <v>0</v>
      </c>
      <c r="AB14" s="431">
        <f t="shared" si="2"/>
        <v>0</v>
      </c>
      <c r="AC14" s="431">
        <f t="shared" si="2"/>
        <v>0</v>
      </c>
      <c r="AD14" s="431">
        <f t="shared" si="2"/>
        <v>0</v>
      </c>
      <c r="AE14" s="431">
        <f t="shared" si="2"/>
        <v>0</v>
      </c>
      <c r="AF14" s="431">
        <f t="shared" si="2"/>
        <v>0</v>
      </c>
      <c r="AG14" s="431">
        <f t="shared" si="2"/>
        <v>0</v>
      </c>
      <c r="AH14" s="431">
        <f t="shared" si="2"/>
        <v>0</v>
      </c>
      <c r="AI14" s="431">
        <f t="shared" si="2"/>
        <v>0</v>
      </c>
      <c r="AJ14" s="431">
        <f t="shared" si="2"/>
        <v>0</v>
      </c>
      <c r="AK14" s="431">
        <f t="shared" si="2"/>
        <v>0</v>
      </c>
      <c r="AL14" s="431">
        <f t="shared" si="2"/>
        <v>0</v>
      </c>
      <c r="AM14" s="431">
        <f t="shared" si="2"/>
        <v>0</v>
      </c>
      <c r="AN14" s="431">
        <f t="shared" si="2"/>
        <v>0</v>
      </c>
      <c r="AO14" s="431">
        <f t="shared" si="2"/>
        <v>0</v>
      </c>
      <c r="AP14" s="431">
        <f t="shared" si="2"/>
        <v>0</v>
      </c>
      <c r="AQ14" s="431">
        <f t="shared" si="2"/>
        <v>0</v>
      </c>
      <c r="AR14" s="431">
        <f t="shared" si="2"/>
        <v>0</v>
      </c>
      <c r="AS14" s="431">
        <f t="shared" si="2"/>
        <v>0</v>
      </c>
      <c r="AT14" s="431">
        <f t="shared" si="2"/>
        <v>0</v>
      </c>
      <c r="AU14" s="432">
        <f t="shared" si="2"/>
        <v>0</v>
      </c>
    </row>
    <row r="15" spans="1:47" x14ac:dyDescent="0.2">
      <c r="A15" s="410"/>
      <c r="B15" s="425" t="s">
        <v>234</v>
      </c>
      <c r="C15" s="426" t="s">
        <v>226</v>
      </c>
      <c r="D15" s="433"/>
      <c r="E15" s="459"/>
      <c r="F15" s="460"/>
      <c r="G15" s="698"/>
      <c r="H15" s="561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60"/>
    </row>
    <row r="16" spans="1:47" x14ac:dyDescent="0.2">
      <c r="A16" s="410"/>
      <c r="B16" s="425" t="s">
        <v>237</v>
      </c>
      <c r="C16" s="426" t="s">
        <v>226</v>
      </c>
      <c r="D16" s="434">
        <f>Vstupy!C16*0.1</f>
        <v>1.3029999999999999</v>
      </c>
      <c r="E16" s="483">
        <f>C11</f>
        <v>366630</v>
      </c>
      <c r="F16" s="484">
        <f>D16*E16</f>
        <v>477718.88999999996</v>
      </c>
      <c r="G16" s="698"/>
      <c r="H16" s="430">
        <f>$F$16*H11</f>
        <v>3344032.2299999995</v>
      </c>
      <c r="I16" s="431">
        <f t="shared" ref="I16:AU16" si="3">$F$16*I11</f>
        <v>3344032.2299999995</v>
      </c>
      <c r="J16" s="431">
        <f t="shared" si="3"/>
        <v>3344032.2299999995</v>
      </c>
      <c r="K16" s="431">
        <f t="shared" si="3"/>
        <v>3344032.2299999995</v>
      </c>
      <c r="L16" s="431">
        <f t="shared" si="3"/>
        <v>1910875.5599999998</v>
      </c>
      <c r="M16" s="431">
        <f t="shared" si="3"/>
        <v>477718.88999999996</v>
      </c>
      <c r="N16" s="431">
        <f t="shared" si="3"/>
        <v>0</v>
      </c>
      <c r="O16" s="431">
        <f t="shared" si="3"/>
        <v>0</v>
      </c>
      <c r="P16" s="431">
        <f t="shared" si="3"/>
        <v>0</v>
      </c>
      <c r="Q16" s="431">
        <f t="shared" si="3"/>
        <v>0</v>
      </c>
      <c r="R16" s="431">
        <f t="shared" si="3"/>
        <v>0</v>
      </c>
      <c r="S16" s="431">
        <f t="shared" si="3"/>
        <v>0</v>
      </c>
      <c r="T16" s="431">
        <f t="shared" si="3"/>
        <v>0</v>
      </c>
      <c r="U16" s="431">
        <f t="shared" si="3"/>
        <v>0</v>
      </c>
      <c r="V16" s="431">
        <f t="shared" si="3"/>
        <v>0</v>
      </c>
      <c r="W16" s="431">
        <f t="shared" si="3"/>
        <v>0</v>
      </c>
      <c r="X16" s="431">
        <f t="shared" si="3"/>
        <v>0</v>
      </c>
      <c r="Y16" s="431">
        <f t="shared" si="3"/>
        <v>0</v>
      </c>
      <c r="Z16" s="431">
        <f t="shared" si="3"/>
        <v>0</v>
      </c>
      <c r="AA16" s="431">
        <f t="shared" si="3"/>
        <v>0</v>
      </c>
      <c r="AB16" s="431">
        <f t="shared" si="3"/>
        <v>0</v>
      </c>
      <c r="AC16" s="431">
        <f t="shared" si="3"/>
        <v>0</v>
      </c>
      <c r="AD16" s="431">
        <f t="shared" si="3"/>
        <v>0</v>
      </c>
      <c r="AE16" s="431">
        <f t="shared" si="3"/>
        <v>0</v>
      </c>
      <c r="AF16" s="431">
        <f t="shared" si="3"/>
        <v>0</v>
      </c>
      <c r="AG16" s="431">
        <f t="shared" si="3"/>
        <v>0</v>
      </c>
      <c r="AH16" s="431">
        <f t="shared" si="3"/>
        <v>0</v>
      </c>
      <c r="AI16" s="431">
        <f t="shared" si="3"/>
        <v>0</v>
      </c>
      <c r="AJ16" s="431">
        <f t="shared" si="3"/>
        <v>0</v>
      </c>
      <c r="AK16" s="431">
        <f t="shared" si="3"/>
        <v>0</v>
      </c>
      <c r="AL16" s="431">
        <f t="shared" si="3"/>
        <v>0</v>
      </c>
      <c r="AM16" s="431">
        <f t="shared" si="3"/>
        <v>0</v>
      </c>
      <c r="AN16" s="431">
        <f t="shared" si="3"/>
        <v>0</v>
      </c>
      <c r="AO16" s="431">
        <f t="shared" si="3"/>
        <v>0</v>
      </c>
      <c r="AP16" s="431">
        <f t="shared" si="3"/>
        <v>0</v>
      </c>
      <c r="AQ16" s="431">
        <f t="shared" si="3"/>
        <v>0</v>
      </c>
      <c r="AR16" s="431">
        <f t="shared" si="3"/>
        <v>0</v>
      </c>
      <c r="AS16" s="431">
        <f t="shared" si="3"/>
        <v>0</v>
      </c>
      <c r="AT16" s="431">
        <f t="shared" si="3"/>
        <v>0</v>
      </c>
      <c r="AU16" s="432">
        <f t="shared" si="3"/>
        <v>0</v>
      </c>
    </row>
    <row r="17" spans="1:47" x14ac:dyDescent="0.2">
      <c r="A17" s="410"/>
      <c r="B17" s="425" t="s">
        <v>654</v>
      </c>
      <c r="C17" s="426" t="s">
        <v>226</v>
      </c>
      <c r="D17" s="427">
        <f>0.36*1.123</f>
        <v>0.40427999999999997</v>
      </c>
      <c r="E17" s="428">
        <f>C11</f>
        <v>366630</v>
      </c>
      <c r="F17" s="429">
        <f>D17*E17</f>
        <v>148221.1764</v>
      </c>
      <c r="G17" s="698"/>
      <c r="H17" s="430">
        <f>$F$17*H10</f>
        <v>1185769.4112</v>
      </c>
      <c r="I17" s="431">
        <f t="shared" ref="I17:AU17" si="4">$F$17*I10</f>
        <v>1185769.4112</v>
      </c>
      <c r="J17" s="431">
        <f t="shared" si="4"/>
        <v>1185769.4112</v>
      </c>
      <c r="K17" s="431">
        <f t="shared" si="4"/>
        <v>1185769.4112</v>
      </c>
      <c r="L17" s="431">
        <f t="shared" si="4"/>
        <v>741105.88199999998</v>
      </c>
      <c r="M17" s="431">
        <f t="shared" si="4"/>
        <v>296442.35279999999</v>
      </c>
      <c r="N17" s="431">
        <f t="shared" si="4"/>
        <v>0</v>
      </c>
      <c r="O17" s="431">
        <f t="shared" si="4"/>
        <v>0</v>
      </c>
      <c r="P17" s="431">
        <f t="shared" si="4"/>
        <v>0</v>
      </c>
      <c r="Q17" s="431">
        <f t="shared" si="4"/>
        <v>0</v>
      </c>
      <c r="R17" s="431">
        <f t="shared" si="4"/>
        <v>0</v>
      </c>
      <c r="S17" s="431">
        <f t="shared" si="4"/>
        <v>0</v>
      </c>
      <c r="T17" s="431">
        <f t="shared" si="4"/>
        <v>0</v>
      </c>
      <c r="U17" s="431">
        <f t="shared" si="4"/>
        <v>0</v>
      </c>
      <c r="V17" s="431">
        <f t="shared" si="4"/>
        <v>0</v>
      </c>
      <c r="W17" s="431">
        <f t="shared" si="4"/>
        <v>0</v>
      </c>
      <c r="X17" s="431">
        <f t="shared" si="4"/>
        <v>0</v>
      </c>
      <c r="Y17" s="431">
        <f t="shared" si="4"/>
        <v>0</v>
      </c>
      <c r="Z17" s="431">
        <f t="shared" si="4"/>
        <v>0</v>
      </c>
      <c r="AA17" s="431">
        <f t="shared" si="4"/>
        <v>0</v>
      </c>
      <c r="AB17" s="431">
        <f t="shared" si="4"/>
        <v>0</v>
      </c>
      <c r="AC17" s="431">
        <f t="shared" si="4"/>
        <v>0</v>
      </c>
      <c r="AD17" s="431">
        <f t="shared" si="4"/>
        <v>0</v>
      </c>
      <c r="AE17" s="431">
        <f t="shared" si="4"/>
        <v>0</v>
      </c>
      <c r="AF17" s="431">
        <f t="shared" si="4"/>
        <v>0</v>
      </c>
      <c r="AG17" s="431">
        <f t="shared" si="4"/>
        <v>0</v>
      </c>
      <c r="AH17" s="431">
        <f t="shared" si="4"/>
        <v>0</v>
      </c>
      <c r="AI17" s="431">
        <f t="shared" si="4"/>
        <v>0</v>
      </c>
      <c r="AJ17" s="431">
        <f t="shared" si="4"/>
        <v>0</v>
      </c>
      <c r="AK17" s="431">
        <f t="shared" si="4"/>
        <v>0</v>
      </c>
      <c r="AL17" s="431">
        <f t="shared" si="4"/>
        <v>0</v>
      </c>
      <c r="AM17" s="431">
        <f t="shared" si="4"/>
        <v>0</v>
      </c>
      <c r="AN17" s="431">
        <f t="shared" si="4"/>
        <v>0</v>
      </c>
      <c r="AO17" s="431">
        <f t="shared" si="4"/>
        <v>0</v>
      </c>
      <c r="AP17" s="431">
        <f t="shared" si="4"/>
        <v>0</v>
      </c>
      <c r="AQ17" s="431">
        <f t="shared" si="4"/>
        <v>0</v>
      </c>
      <c r="AR17" s="431">
        <f t="shared" si="4"/>
        <v>0</v>
      </c>
      <c r="AS17" s="431">
        <f t="shared" si="4"/>
        <v>0</v>
      </c>
      <c r="AT17" s="431">
        <f t="shared" si="4"/>
        <v>0</v>
      </c>
      <c r="AU17" s="432">
        <f t="shared" si="4"/>
        <v>0</v>
      </c>
    </row>
    <row r="18" spans="1:47" x14ac:dyDescent="0.2">
      <c r="A18" s="410"/>
      <c r="B18" s="425" t="s">
        <v>509</v>
      </c>
      <c r="C18" s="426" t="s">
        <v>226</v>
      </c>
      <c r="D18" s="427">
        <f>1.84*1.123</f>
        <v>2.0663200000000002</v>
      </c>
      <c r="E18" s="428">
        <f>C11</f>
        <v>366630</v>
      </c>
      <c r="F18" s="429">
        <f t="shared" ref="F18:F19" si="5">D18*E18</f>
        <v>757574.9016000001</v>
      </c>
      <c r="G18" s="698"/>
      <c r="H18" s="430">
        <f>$F$18*H10</f>
        <v>6060599.2128000008</v>
      </c>
      <c r="I18" s="431">
        <f t="shared" ref="I18:AU18" si="6">$F$18*I10</f>
        <v>6060599.2128000008</v>
      </c>
      <c r="J18" s="431">
        <f t="shared" si="6"/>
        <v>6060599.2128000008</v>
      </c>
      <c r="K18" s="431">
        <f t="shared" si="6"/>
        <v>6060599.2128000008</v>
      </c>
      <c r="L18" s="431">
        <f t="shared" si="6"/>
        <v>3787874.5080000004</v>
      </c>
      <c r="M18" s="431">
        <f t="shared" si="6"/>
        <v>1515149.8032000002</v>
      </c>
      <c r="N18" s="431">
        <f t="shared" si="6"/>
        <v>0</v>
      </c>
      <c r="O18" s="431">
        <f t="shared" si="6"/>
        <v>0</v>
      </c>
      <c r="P18" s="431">
        <f t="shared" si="6"/>
        <v>0</v>
      </c>
      <c r="Q18" s="431">
        <f t="shared" si="6"/>
        <v>0</v>
      </c>
      <c r="R18" s="431">
        <f t="shared" si="6"/>
        <v>0</v>
      </c>
      <c r="S18" s="431">
        <f t="shared" si="6"/>
        <v>0</v>
      </c>
      <c r="T18" s="431">
        <f t="shared" si="6"/>
        <v>0</v>
      </c>
      <c r="U18" s="431">
        <f t="shared" si="6"/>
        <v>0</v>
      </c>
      <c r="V18" s="431">
        <f t="shared" si="6"/>
        <v>0</v>
      </c>
      <c r="W18" s="431">
        <f t="shared" si="6"/>
        <v>0</v>
      </c>
      <c r="X18" s="431">
        <f t="shared" si="6"/>
        <v>0</v>
      </c>
      <c r="Y18" s="431">
        <f t="shared" si="6"/>
        <v>0</v>
      </c>
      <c r="Z18" s="431">
        <f t="shared" si="6"/>
        <v>0</v>
      </c>
      <c r="AA18" s="431">
        <f t="shared" si="6"/>
        <v>0</v>
      </c>
      <c r="AB18" s="431">
        <f t="shared" si="6"/>
        <v>0</v>
      </c>
      <c r="AC18" s="431">
        <f t="shared" si="6"/>
        <v>0</v>
      </c>
      <c r="AD18" s="431">
        <f t="shared" si="6"/>
        <v>0</v>
      </c>
      <c r="AE18" s="431">
        <f t="shared" si="6"/>
        <v>0</v>
      </c>
      <c r="AF18" s="431">
        <f t="shared" si="6"/>
        <v>0</v>
      </c>
      <c r="AG18" s="431">
        <f t="shared" si="6"/>
        <v>0</v>
      </c>
      <c r="AH18" s="431">
        <f t="shared" si="6"/>
        <v>0</v>
      </c>
      <c r="AI18" s="431">
        <f t="shared" si="6"/>
        <v>0</v>
      </c>
      <c r="AJ18" s="431">
        <f t="shared" si="6"/>
        <v>0</v>
      </c>
      <c r="AK18" s="431">
        <f t="shared" si="6"/>
        <v>0</v>
      </c>
      <c r="AL18" s="431">
        <f t="shared" si="6"/>
        <v>0</v>
      </c>
      <c r="AM18" s="431">
        <f t="shared" si="6"/>
        <v>0</v>
      </c>
      <c r="AN18" s="431">
        <f t="shared" si="6"/>
        <v>0</v>
      </c>
      <c r="AO18" s="431">
        <f t="shared" si="6"/>
        <v>0</v>
      </c>
      <c r="AP18" s="431">
        <f t="shared" si="6"/>
        <v>0</v>
      </c>
      <c r="AQ18" s="431">
        <f t="shared" si="6"/>
        <v>0</v>
      </c>
      <c r="AR18" s="431">
        <f t="shared" si="6"/>
        <v>0</v>
      </c>
      <c r="AS18" s="431">
        <f t="shared" si="6"/>
        <v>0</v>
      </c>
      <c r="AT18" s="431">
        <f t="shared" si="6"/>
        <v>0</v>
      </c>
      <c r="AU18" s="432">
        <f t="shared" si="6"/>
        <v>0</v>
      </c>
    </row>
    <row r="19" spans="1:47" x14ac:dyDescent="0.2">
      <c r="A19" s="410"/>
      <c r="B19" s="425" t="s">
        <v>267</v>
      </c>
      <c r="C19" s="426" t="s">
        <v>226</v>
      </c>
      <c r="D19" s="427">
        <f>1.93*1.123</f>
        <v>2.1673899999999997</v>
      </c>
      <c r="E19" s="428">
        <f>C11</f>
        <v>366630</v>
      </c>
      <c r="F19" s="429">
        <f t="shared" si="5"/>
        <v>794630.19569999992</v>
      </c>
      <c r="G19" s="698"/>
      <c r="H19" s="430">
        <f>$F$19*H10</f>
        <v>6357041.5655999994</v>
      </c>
      <c r="I19" s="431">
        <f t="shared" ref="I19:AU19" si="7">$F$19*I10</f>
        <v>6357041.5655999994</v>
      </c>
      <c r="J19" s="431">
        <f t="shared" si="7"/>
        <v>6357041.5655999994</v>
      </c>
      <c r="K19" s="431">
        <f t="shared" si="7"/>
        <v>6357041.5655999994</v>
      </c>
      <c r="L19" s="431">
        <f t="shared" si="7"/>
        <v>3973150.9784999997</v>
      </c>
      <c r="M19" s="431">
        <f t="shared" si="7"/>
        <v>1589260.3913999998</v>
      </c>
      <c r="N19" s="431">
        <f t="shared" si="7"/>
        <v>0</v>
      </c>
      <c r="O19" s="431">
        <f t="shared" si="7"/>
        <v>0</v>
      </c>
      <c r="P19" s="431">
        <f t="shared" si="7"/>
        <v>0</v>
      </c>
      <c r="Q19" s="431">
        <f t="shared" si="7"/>
        <v>0</v>
      </c>
      <c r="R19" s="431">
        <f t="shared" si="7"/>
        <v>0</v>
      </c>
      <c r="S19" s="431">
        <f t="shared" si="7"/>
        <v>0</v>
      </c>
      <c r="T19" s="431">
        <f t="shared" si="7"/>
        <v>0</v>
      </c>
      <c r="U19" s="431">
        <f t="shared" si="7"/>
        <v>0</v>
      </c>
      <c r="V19" s="431">
        <f t="shared" si="7"/>
        <v>0</v>
      </c>
      <c r="W19" s="431">
        <f t="shared" si="7"/>
        <v>0</v>
      </c>
      <c r="X19" s="431">
        <f t="shared" si="7"/>
        <v>0</v>
      </c>
      <c r="Y19" s="431">
        <f t="shared" si="7"/>
        <v>0</v>
      </c>
      <c r="Z19" s="431">
        <f t="shared" si="7"/>
        <v>0</v>
      </c>
      <c r="AA19" s="431">
        <f t="shared" si="7"/>
        <v>0</v>
      </c>
      <c r="AB19" s="431">
        <f t="shared" si="7"/>
        <v>0</v>
      </c>
      <c r="AC19" s="431">
        <f t="shared" si="7"/>
        <v>0</v>
      </c>
      <c r="AD19" s="431">
        <f t="shared" si="7"/>
        <v>0</v>
      </c>
      <c r="AE19" s="431">
        <f t="shared" si="7"/>
        <v>0</v>
      </c>
      <c r="AF19" s="431">
        <f t="shared" si="7"/>
        <v>0</v>
      </c>
      <c r="AG19" s="431">
        <f t="shared" si="7"/>
        <v>0</v>
      </c>
      <c r="AH19" s="431">
        <f t="shared" si="7"/>
        <v>0</v>
      </c>
      <c r="AI19" s="431">
        <f t="shared" si="7"/>
        <v>0</v>
      </c>
      <c r="AJ19" s="431">
        <f t="shared" si="7"/>
        <v>0</v>
      </c>
      <c r="AK19" s="431">
        <f t="shared" si="7"/>
        <v>0</v>
      </c>
      <c r="AL19" s="431">
        <f t="shared" si="7"/>
        <v>0</v>
      </c>
      <c r="AM19" s="431">
        <f t="shared" si="7"/>
        <v>0</v>
      </c>
      <c r="AN19" s="431">
        <f t="shared" si="7"/>
        <v>0</v>
      </c>
      <c r="AO19" s="431">
        <f t="shared" si="7"/>
        <v>0</v>
      </c>
      <c r="AP19" s="431">
        <f t="shared" si="7"/>
        <v>0</v>
      </c>
      <c r="AQ19" s="431">
        <f t="shared" si="7"/>
        <v>0</v>
      </c>
      <c r="AR19" s="431">
        <f t="shared" si="7"/>
        <v>0</v>
      </c>
      <c r="AS19" s="431">
        <f t="shared" si="7"/>
        <v>0</v>
      </c>
      <c r="AT19" s="431">
        <f t="shared" si="7"/>
        <v>0</v>
      </c>
      <c r="AU19" s="432">
        <f t="shared" si="7"/>
        <v>0</v>
      </c>
    </row>
    <row r="20" spans="1:47" ht="13.5" thickBot="1" x14ac:dyDescent="0.25">
      <c r="A20" s="410"/>
      <c r="B20" s="472" t="s">
        <v>657</v>
      </c>
      <c r="C20" s="476" t="s">
        <v>226</v>
      </c>
      <c r="D20" s="477"/>
      <c r="E20" s="478"/>
      <c r="F20" s="479"/>
      <c r="G20" s="698"/>
      <c r="H20" s="438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40"/>
    </row>
    <row r="21" spans="1:47" ht="13.5" thickTop="1" x14ac:dyDescent="0.2">
      <c r="A21" s="410"/>
      <c r="B21" s="441" t="s">
        <v>655</v>
      </c>
      <c r="C21" s="473" t="s">
        <v>226</v>
      </c>
      <c r="D21" s="443">
        <f>1.12*1.123</f>
        <v>1.2577600000000002</v>
      </c>
      <c r="E21" s="444">
        <f>C11</f>
        <v>366630</v>
      </c>
      <c r="F21" s="445">
        <f t="shared" ref="F21" si="8">D21*E21</f>
        <v>461132.54880000011</v>
      </c>
      <c r="G21" s="698"/>
      <c r="H21" s="560">
        <f>$F$21*H10</f>
        <v>3689060.3904000008</v>
      </c>
      <c r="I21" s="552">
        <f t="shared" ref="I21:AU21" si="9">$F$21*I10</f>
        <v>3689060.3904000008</v>
      </c>
      <c r="J21" s="552">
        <f t="shared" si="9"/>
        <v>3689060.3904000008</v>
      </c>
      <c r="K21" s="552">
        <f t="shared" si="9"/>
        <v>3689060.3904000008</v>
      </c>
      <c r="L21" s="552">
        <f t="shared" si="9"/>
        <v>2305662.7440000004</v>
      </c>
      <c r="M21" s="552">
        <f t="shared" si="9"/>
        <v>922265.09760000021</v>
      </c>
      <c r="N21" s="552">
        <f t="shared" si="9"/>
        <v>0</v>
      </c>
      <c r="O21" s="552">
        <f t="shared" si="9"/>
        <v>0</v>
      </c>
      <c r="P21" s="552">
        <f t="shared" si="9"/>
        <v>0</v>
      </c>
      <c r="Q21" s="552">
        <f t="shared" si="9"/>
        <v>0</v>
      </c>
      <c r="R21" s="552">
        <f t="shared" si="9"/>
        <v>0</v>
      </c>
      <c r="S21" s="552">
        <f t="shared" si="9"/>
        <v>0</v>
      </c>
      <c r="T21" s="552">
        <f t="shared" si="9"/>
        <v>0</v>
      </c>
      <c r="U21" s="552">
        <f t="shared" si="9"/>
        <v>0</v>
      </c>
      <c r="V21" s="552">
        <f t="shared" si="9"/>
        <v>0</v>
      </c>
      <c r="W21" s="552">
        <f t="shared" si="9"/>
        <v>0</v>
      </c>
      <c r="X21" s="552">
        <f t="shared" si="9"/>
        <v>0</v>
      </c>
      <c r="Y21" s="552">
        <f t="shared" si="9"/>
        <v>0</v>
      </c>
      <c r="Z21" s="552">
        <f t="shared" si="9"/>
        <v>0</v>
      </c>
      <c r="AA21" s="552">
        <f t="shared" si="9"/>
        <v>0</v>
      </c>
      <c r="AB21" s="552">
        <f t="shared" si="9"/>
        <v>0</v>
      </c>
      <c r="AC21" s="552">
        <f t="shared" si="9"/>
        <v>0</v>
      </c>
      <c r="AD21" s="552">
        <f t="shared" si="9"/>
        <v>0</v>
      </c>
      <c r="AE21" s="552">
        <f t="shared" si="9"/>
        <v>0</v>
      </c>
      <c r="AF21" s="552">
        <f t="shared" si="9"/>
        <v>0</v>
      </c>
      <c r="AG21" s="552">
        <f t="shared" si="9"/>
        <v>0</v>
      </c>
      <c r="AH21" s="552">
        <f t="shared" si="9"/>
        <v>0</v>
      </c>
      <c r="AI21" s="552">
        <f t="shared" si="9"/>
        <v>0</v>
      </c>
      <c r="AJ21" s="552">
        <f t="shared" si="9"/>
        <v>0</v>
      </c>
      <c r="AK21" s="552">
        <f t="shared" si="9"/>
        <v>0</v>
      </c>
      <c r="AL21" s="552">
        <f t="shared" si="9"/>
        <v>0</v>
      </c>
      <c r="AM21" s="552">
        <f t="shared" si="9"/>
        <v>0</v>
      </c>
      <c r="AN21" s="552">
        <f t="shared" si="9"/>
        <v>0</v>
      </c>
      <c r="AO21" s="552">
        <f t="shared" si="9"/>
        <v>0</v>
      </c>
      <c r="AP21" s="552">
        <f t="shared" si="9"/>
        <v>0</v>
      </c>
      <c r="AQ21" s="552">
        <f t="shared" si="9"/>
        <v>0</v>
      </c>
      <c r="AR21" s="552">
        <f t="shared" si="9"/>
        <v>0</v>
      </c>
      <c r="AS21" s="552">
        <f t="shared" si="9"/>
        <v>0</v>
      </c>
      <c r="AT21" s="552">
        <f t="shared" si="9"/>
        <v>0</v>
      </c>
      <c r="AU21" s="553">
        <f t="shared" si="9"/>
        <v>0</v>
      </c>
    </row>
    <row r="22" spans="1:47" ht="13.5" thickBot="1" x14ac:dyDescent="0.25">
      <c r="A22" s="410"/>
      <c r="B22" s="463" t="s">
        <v>656</v>
      </c>
      <c r="C22" s="446" t="s">
        <v>226</v>
      </c>
      <c r="D22" s="474">
        <v>30000</v>
      </c>
      <c r="E22" s="588">
        <v>1</v>
      </c>
      <c r="F22" s="471">
        <f>D22*E22</f>
        <v>30000</v>
      </c>
      <c r="G22" s="699"/>
      <c r="H22" s="453">
        <f>$F$22*H10</f>
        <v>240000</v>
      </c>
      <c r="I22" s="454">
        <f t="shared" ref="I22:AU22" si="10">$F$22*I10</f>
        <v>240000</v>
      </c>
      <c r="J22" s="454">
        <f t="shared" si="10"/>
        <v>240000</v>
      </c>
      <c r="K22" s="454">
        <f t="shared" si="10"/>
        <v>240000</v>
      </c>
      <c r="L22" s="454">
        <f t="shared" si="10"/>
        <v>150000</v>
      </c>
      <c r="M22" s="454">
        <f t="shared" si="10"/>
        <v>60000</v>
      </c>
      <c r="N22" s="454">
        <f t="shared" si="10"/>
        <v>0</v>
      </c>
      <c r="O22" s="454">
        <f t="shared" si="10"/>
        <v>0</v>
      </c>
      <c r="P22" s="454">
        <f t="shared" si="10"/>
        <v>0</v>
      </c>
      <c r="Q22" s="454">
        <f t="shared" si="10"/>
        <v>0</v>
      </c>
      <c r="R22" s="454">
        <f t="shared" si="10"/>
        <v>0</v>
      </c>
      <c r="S22" s="454">
        <f t="shared" si="10"/>
        <v>0</v>
      </c>
      <c r="T22" s="454">
        <f t="shared" si="10"/>
        <v>0</v>
      </c>
      <c r="U22" s="454">
        <f t="shared" si="10"/>
        <v>0</v>
      </c>
      <c r="V22" s="454">
        <f t="shared" si="10"/>
        <v>0</v>
      </c>
      <c r="W22" s="454">
        <f t="shared" si="10"/>
        <v>0</v>
      </c>
      <c r="X22" s="454">
        <f t="shared" si="10"/>
        <v>0</v>
      </c>
      <c r="Y22" s="454">
        <f t="shared" si="10"/>
        <v>0</v>
      </c>
      <c r="Z22" s="454">
        <f t="shared" si="10"/>
        <v>0</v>
      </c>
      <c r="AA22" s="454">
        <f t="shared" si="10"/>
        <v>0</v>
      </c>
      <c r="AB22" s="454">
        <f t="shared" si="10"/>
        <v>0</v>
      </c>
      <c r="AC22" s="454">
        <f t="shared" si="10"/>
        <v>0</v>
      </c>
      <c r="AD22" s="454">
        <f t="shared" si="10"/>
        <v>0</v>
      </c>
      <c r="AE22" s="454">
        <f t="shared" si="10"/>
        <v>0</v>
      </c>
      <c r="AF22" s="454">
        <f t="shared" si="10"/>
        <v>0</v>
      </c>
      <c r="AG22" s="454">
        <f t="shared" si="10"/>
        <v>0</v>
      </c>
      <c r="AH22" s="454">
        <f t="shared" si="10"/>
        <v>0</v>
      </c>
      <c r="AI22" s="454">
        <f t="shared" si="10"/>
        <v>0</v>
      </c>
      <c r="AJ22" s="454">
        <f t="shared" si="10"/>
        <v>0</v>
      </c>
      <c r="AK22" s="454">
        <f t="shared" si="10"/>
        <v>0</v>
      </c>
      <c r="AL22" s="454">
        <f t="shared" si="10"/>
        <v>0</v>
      </c>
      <c r="AM22" s="454">
        <f t="shared" si="10"/>
        <v>0</v>
      </c>
      <c r="AN22" s="454">
        <f t="shared" si="10"/>
        <v>0</v>
      </c>
      <c r="AO22" s="454">
        <f t="shared" si="10"/>
        <v>0</v>
      </c>
      <c r="AP22" s="454">
        <f t="shared" si="10"/>
        <v>0</v>
      </c>
      <c r="AQ22" s="454">
        <f t="shared" si="10"/>
        <v>0</v>
      </c>
      <c r="AR22" s="454">
        <f t="shared" si="10"/>
        <v>0</v>
      </c>
      <c r="AS22" s="454">
        <f t="shared" si="10"/>
        <v>0</v>
      </c>
      <c r="AT22" s="454">
        <f t="shared" si="10"/>
        <v>0</v>
      </c>
      <c r="AU22" s="455">
        <f t="shared" si="10"/>
        <v>0</v>
      </c>
    </row>
    <row r="23" spans="1:47" x14ac:dyDescent="0.2">
      <c r="A23" s="410"/>
      <c r="B23" s="410" t="s">
        <v>663</v>
      </c>
      <c r="C23" s="410"/>
      <c r="D23" s="410"/>
      <c r="E23" s="410"/>
      <c r="F23" s="410"/>
      <c r="G23" s="410"/>
      <c r="H23" s="447"/>
      <c r="I23" s="447"/>
      <c r="J23" s="447"/>
      <c r="K23" s="447"/>
      <c r="L23" s="447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</row>
    <row r="24" spans="1:47" x14ac:dyDescent="0.2">
      <c r="A24" s="410"/>
      <c r="B24" s="410" t="s">
        <v>725</v>
      </c>
      <c r="C24" s="410"/>
      <c r="D24" s="410"/>
      <c r="E24" s="410"/>
      <c r="F24" s="410"/>
      <c r="G24" s="410"/>
      <c r="H24" s="447"/>
      <c r="I24" s="447"/>
      <c r="J24" s="447"/>
      <c r="K24" s="447"/>
      <c r="L24" s="447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</row>
    <row r="25" spans="1:47" ht="13.5" thickBot="1" x14ac:dyDescent="0.25">
      <c r="A25" s="410"/>
      <c r="B25" s="410"/>
      <c r="C25" s="456"/>
      <c r="D25" s="456"/>
      <c r="E25" s="456"/>
      <c r="F25" s="456"/>
      <c r="G25" s="456"/>
      <c r="H25" s="480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</row>
    <row r="26" spans="1:47" ht="13.35" customHeight="1" x14ac:dyDescent="0.2">
      <c r="A26" s="410"/>
      <c r="B26" s="674" t="s">
        <v>681</v>
      </c>
      <c r="C26" s="413" t="s">
        <v>678</v>
      </c>
      <c r="D26" s="676" t="s">
        <v>728</v>
      </c>
      <c r="E26" s="676" t="s">
        <v>724</v>
      </c>
      <c r="F26" s="679" t="s">
        <v>648</v>
      </c>
      <c r="G26" s="297" t="s">
        <v>649</v>
      </c>
      <c r="H26" s="414">
        <v>2026</v>
      </c>
      <c r="I26" s="296">
        <f>H26+1</f>
        <v>2027</v>
      </c>
      <c r="J26" s="296">
        <f>I26+1</f>
        <v>2028</v>
      </c>
      <c r="K26" s="296">
        <f t="shared" ref="K26:AI26" si="11">J26+1</f>
        <v>2029</v>
      </c>
      <c r="L26" s="296">
        <f t="shared" si="11"/>
        <v>2030</v>
      </c>
      <c r="M26" s="296">
        <f t="shared" si="11"/>
        <v>2031</v>
      </c>
      <c r="N26" s="296">
        <f t="shared" si="11"/>
        <v>2032</v>
      </c>
      <c r="O26" s="296">
        <f t="shared" si="11"/>
        <v>2033</v>
      </c>
      <c r="P26" s="296">
        <f t="shared" si="11"/>
        <v>2034</v>
      </c>
      <c r="Q26" s="296">
        <f t="shared" si="11"/>
        <v>2035</v>
      </c>
      <c r="R26" s="296">
        <f t="shared" si="11"/>
        <v>2036</v>
      </c>
      <c r="S26" s="296">
        <f t="shared" si="11"/>
        <v>2037</v>
      </c>
      <c r="T26" s="296">
        <f t="shared" si="11"/>
        <v>2038</v>
      </c>
      <c r="U26" s="296">
        <f t="shared" si="11"/>
        <v>2039</v>
      </c>
      <c r="V26" s="296">
        <f t="shared" si="11"/>
        <v>2040</v>
      </c>
      <c r="W26" s="296">
        <f t="shared" si="11"/>
        <v>2041</v>
      </c>
      <c r="X26" s="296">
        <f t="shared" si="11"/>
        <v>2042</v>
      </c>
      <c r="Y26" s="296">
        <f t="shared" si="11"/>
        <v>2043</v>
      </c>
      <c r="Z26" s="296">
        <f t="shared" si="11"/>
        <v>2044</v>
      </c>
      <c r="AA26" s="296">
        <f t="shared" si="11"/>
        <v>2045</v>
      </c>
      <c r="AB26" s="296">
        <f t="shared" si="11"/>
        <v>2046</v>
      </c>
      <c r="AC26" s="296">
        <f t="shared" si="11"/>
        <v>2047</v>
      </c>
      <c r="AD26" s="296">
        <f t="shared" si="11"/>
        <v>2048</v>
      </c>
      <c r="AE26" s="296">
        <f t="shared" si="11"/>
        <v>2049</v>
      </c>
      <c r="AF26" s="296">
        <f t="shared" si="11"/>
        <v>2050</v>
      </c>
      <c r="AG26" s="296">
        <f t="shared" si="11"/>
        <v>2051</v>
      </c>
      <c r="AH26" s="296">
        <f t="shared" si="11"/>
        <v>2052</v>
      </c>
      <c r="AI26" s="296">
        <f t="shared" si="11"/>
        <v>2053</v>
      </c>
      <c r="AJ26" s="296">
        <f>AI26+1</f>
        <v>2054</v>
      </c>
      <c r="AK26" s="296">
        <f>AJ26+1</f>
        <v>2055</v>
      </c>
      <c r="AL26" s="296">
        <f t="shared" ref="AL26:AU26" si="12">AK26+1</f>
        <v>2056</v>
      </c>
      <c r="AM26" s="296">
        <f t="shared" si="12"/>
        <v>2057</v>
      </c>
      <c r="AN26" s="296">
        <f t="shared" si="12"/>
        <v>2058</v>
      </c>
      <c r="AO26" s="296">
        <f t="shared" si="12"/>
        <v>2059</v>
      </c>
      <c r="AP26" s="296">
        <f t="shared" si="12"/>
        <v>2060</v>
      </c>
      <c r="AQ26" s="296">
        <f t="shared" si="12"/>
        <v>2061</v>
      </c>
      <c r="AR26" s="296">
        <f t="shared" si="12"/>
        <v>2062</v>
      </c>
      <c r="AS26" s="296">
        <f t="shared" si="12"/>
        <v>2063</v>
      </c>
      <c r="AT26" s="296">
        <f t="shared" si="12"/>
        <v>2064</v>
      </c>
      <c r="AU26" s="296">
        <f t="shared" si="12"/>
        <v>2065</v>
      </c>
    </row>
    <row r="27" spans="1:47" ht="22.5" x14ac:dyDescent="0.2">
      <c r="A27" s="410"/>
      <c r="B27" s="675"/>
      <c r="C27" s="415" t="s">
        <v>730</v>
      </c>
      <c r="D27" s="677"/>
      <c r="E27" s="677"/>
      <c r="F27" s="680"/>
      <c r="G27" s="448" t="s">
        <v>500</v>
      </c>
      <c r="H27" s="416"/>
      <c r="I27" s="416"/>
      <c r="J27" s="416"/>
      <c r="K27" s="416"/>
      <c r="L27" s="416">
        <v>3</v>
      </c>
      <c r="M27" s="416">
        <v>6</v>
      </c>
      <c r="N27" s="416">
        <v>8</v>
      </c>
      <c r="O27" s="416">
        <v>8</v>
      </c>
      <c r="P27" s="416">
        <v>8</v>
      </c>
      <c r="Q27" s="416">
        <v>8</v>
      </c>
      <c r="R27" s="416">
        <v>8</v>
      </c>
      <c r="S27" s="416">
        <v>8</v>
      </c>
      <c r="T27" s="416">
        <v>8</v>
      </c>
      <c r="U27" s="416">
        <v>8</v>
      </c>
      <c r="V27" s="416">
        <v>8</v>
      </c>
      <c r="W27" s="416">
        <v>8</v>
      </c>
      <c r="X27" s="416">
        <v>8</v>
      </c>
      <c r="Y27" s="416">
        <v>8</v>
      </c>
      <c r="Z27" s="416">
        <v>8</v>
      </c>
      <c r="AA27" s="416">
        <v>8</v>
      </c>
      <c r="AB27" s="416">
        <v>8</v>
      </c>
      <c r="AC27" s="416">
        <v>8</v>
      </c>
      <c r="AD27" s="416">
        <v>8</v>
      </c>
      <c r="AE27" s="416">
        <v>8</v>
      </c>
      <c r="AF27" s="416">
        <v>8</v>
      </c>
      <c r="AG27" s="416">
        <v>8</v>
      </c>
      <c r="AH27" s="416">
        <v>8</v>
      </c>
      <c r="AI27" s="416">
        <v>8</v>
      </c>
      <c r="AJ27" s="416">
        <v>8</v>
      </c>
      <c r="AK27" s="416">
        <v>8</v>
      </c>
      <c r="AL27" s="416">
        <v>8</v>
      </c>
      <c r="AM27" s="416">
        <v>8</v>
      </c>
      <c r="AN27" s="416">
        <v>8</v>
      </c>
      <c r="AO27" s="416">
        <v>8</v>
      </c>
      <c r="AP27" s="416">
        <v>8</v>
      </c>
      <c r="AQ27" s="416">
        <v>8</v>
      </c>
      <c r="AR27" s="416">
        <v>8</v>
      </c>
      <c r="AS27" s="416">
        <v>8</v>
      </c>
      <c r="AT27" s="416">
        <v>8</v>
      </c>
      <c r="AU27" s="416">
        <v>8</v>
      </c>
    </row>
    <row r="28" spans="1:47" ht="13.5" thickBot="1" x14ac:dyDescent="0.25">
      <c r="A28" s="410"/>
      <c r="B28" s="418" t="s">
        <v>650</v>
      </c>
      <c r="C28" s="419">
        <f>363*1010</f>
        <v>366630</v>
      </c>
      <c r="D28" s="678"/>
      <c r="E28" s="678"/>
      <c r="F28" s="693"/>
      <c r="G28" s="449" t="s">
        <v>499</v>
      </c>
      <c r="H28" s="558"/>
      <c r="I28" s="558"/>
      <c r="J28" s="558"/>
      <c r="K28" s="558"/>
      <c r="L28" s="558">
        <v>3</v>
      </c>
      <c r="M28" s="558">
        <v>6</v>
      </c>
      <c r="N28" s="558">
        <v>7</v>
      </c>
      <c r="O28" s="558">
        <v>7</v>
      </c>
      <c r="P28" s="558">
        <v>7</v>
      </c>
      <c r="Q28" s="558">
        <v>7</v>
      </c>
      <c r="R28" s="558">
        <v>7</v>
      </c>
      <c r="S28" s="558">
        <v>7</v>
      </c>
      <c r="T28" s="558">
        <v>7</v>
      </c>
      <c r="U28" s="558">
        <v>7</v>
      </c>
      <c r="V28" s="558">
        <v>7</v>
      </c>
      <c r="W28" s="558">
        <v>7</v>
      </c>
      <c r="X28" s="558">
        <v>7</v>
      </c>
      <c r="Y28" s="558">
        <v>7</v>
      </c>
      <c r="Z28" s="558">
        <v>7</v>
      </c>
      <c r="AA28" s="558">
        <v>7</v>
      </c>
      <c r="AB28" s="558">
        <v>7</v>
      </c>
      <c r="AC28" s="558">
        <v>7</v>
      </c>
      <c r="AD28" s="558">
        <v>7</v>
      </c>
      <c r="AE28" s="558">
        <v>7</v>
      </c>
      <c r="AF28" s="558">
        <v>7</v>
      </c>
      <c r="AG28" s="558">
        <v>7</v>
      </c>
      <c r="AH28" s="558">
        <v>7</v>
      </c>
      <c r="AI28" s="558">
        <v>7</v>
      </c>
      <c r="AJ28" s="558">
        <v>7</v>
      </c>
      <c r="AK28" s="558">
        <v>7</v>
      </c>
      <c r="AL28" s="558">
        <v>7</v>
      </c>
      <c r="AM28" s="558">
        <v>7</v>
      </c>
      <c r="AN28" s="558">
        <v>7</v>
      </c>
      <c r="AO28" s="558">
        <v>7</v>
      </c>
      <c r="AP28" s="558">
        <v>7</v>
      </c>
      <c r="AQ28" s="558">
        <v>7</v>
      </c>
      <c r="AR28" s="558">
        <v>7</v>
      </c>
      <c r="AS28" s="558">
        <v>7</v>
      </c>
      <c r="AT28" s="558">
        <v>7</v>
      </c>
      <c r="AU28" s="558">
        <v>7</v>
      </c>
    </row>
    <row r="29" spans="1:47" x14ac:dyDescent="0.2">
      <c r="A29" s="410"/>
      <c r="B29" s="420" t="s">
        <v>651</v>
      </c>
      <c r="C29" s="421" t="s">
        <v>226</v>
      </c>
      <c r="D29" s="422">
        <f>2.95*1.123</f>
        <v>3.3128500000000001</v>
      </c>
      <c r="E29" s="482">
        <f>C28</f>
        <v>366630</v>
      </c>
      <c r="F29" s="475">
        <f>D29*E29</f>
        <v>1214590.1954999999</v>
      </c>
      <c r="G29" s="681"/>
      <c r="H29" s="481"/>
      <c r="I29" s="562"/>
      <c r="J29" s="562"/>
      <c r="K29" s="562"/>
      <c r="L29" s="550">
        <f>$F$29*L27</f>
        <v>3643770.5864999997</v>
      </c>
      <c r="M29" s="550">
        <f t="shared" ref="M29:AU29" si="13">$F$29*M27</f>
        <v>7287541.1729999995</v>
      </c>
      <c r="N29" s="550">
        <f t="shared" si="13"/>
        <v>9716721.5639999993</v>
      </c>
      <c r="O29" s="550">
        <f t="shared" si="13"/>
        <v>9716721.5639999993</v>
      </c>
      <c r="P29" s="550">
        <f t="shared" si="13"/>
        <v>9716721.5639999993</v>
      </c>
      <c r="Q29" s="550">
        <f t="shared" si="13"/>
        <v>9716721.5639999993</v>
      </c>
      <c r="R29" s="550">
        <f t="shared" si="13"/>
        <v>9716721.5639999993</v>
      </c>
      <c r="S29" s="550">
        <f t="shared" si="13"/>
        <v>9716721.5639999993</v>
      </c>
      <c r="T29" s="550">
        <f t="shared" si="13"/>
        <v>9716721.5639999993</v>
      </c>
      <c r="U29" s="550">
        <f t="shared" si="13"/>
        <v>9716721.5639999993</v>
      </c>
      <c r="V29" s="550">
        <f t="shared" si="13"/>
        <v>9716721.5639999993</v>
      </c>
      <c r="W29" s="550">
        <f t="shared" si="13"/>
        <v>9716721.5639999993</v>
      </c>
      <c r="X29" s="550">
        <f t="shared" si="13"/>
        <v>9716721.5639999993</v>
      </c>
      <c r="Y29" s="550">
        <f t="shared" si="13"/>
        <v>9716721.5639999993</v>
      </c>
      <c r="Z29" s="550">
        <f t="shared" si="13"/>
        <v>9716721.5639999993</v>
      </c>
      <c r="AA29" s="550">
        <f t="shared" si="13"/>
        <v>9716721.5639999993</v>
      </c>
      <c r="AB29" s="550">
        <f t="shared" si="13"/>
        <v>9716721.5639999993</v>
      </c>
      <c r="AC29" s="550">
        <f t="shared" si="13"/>
        <v>9716721.5639999993</v>
      </c>
      <c r="AD29" s="550">
        <f t="shared" si="13"/>
        <v>9716721.5639999993</v>
      </c>
      <c r="AE29" s="550">
        <f t="shared" si="13"/>
        <v>9716721.5639999993</v>
      </c>
      <c r="AF29" s="550">
        <f t="shared" si="13"/>
        <v>9716721.5639999993</v>
      </c>
      <c r="AG29" s="550">
        <f t="shared" si="13"/>
        <v>9716721.5639999993</v>
      </c>
      <c r="AH29" s="550">
        <f t="shared" si="13"/>
        <v>9716721.5639999993</v>
      </c>
      <c r="AI29" s="550">
        <f t="shared" si="13"/>
        <v>9716721.5639999993</v>
      </c>
      <c r="AJ29" s="550">
        <f t="shared" si="13"/>
        <v>9716721.5639999993</v>
      </c>
      <c r="AK29" s="550">
        <f t="shared" si="13"/>
        <v>9716721.5639999993</v>
      </c>
      <c r="AL29" s="550">
        <f t="shared" si="13"/>
        <v>9716721.5639999993</v>
      </c>
      <c r="AM29" s="550">
        <f t="shared" si="13"/>
        <v>9716721.5639999993</v>
      </c>
      <c r="AN29" s="550">
        <f t="shared" si="13"/>
        <v>9716721.5639999993</v>
      </c>
      <c r="AO29" s="550">
        <f t="shared" si="13"/>
        <v>9716721.5639999993</v>
      </c>
      <c r="AP29" s="550">
        <f t="shared" si="13"/>
        <v>9716721.5639999993</v>
      </c>
      <c r="AQ29" s="550">
        <f t="shared" si="13"/>
        <v>9716721.5639999993</v>
      </c>
      <c r="AR29" s="550">
        <f t="shared" si="13"/>
        <v>9716721.5639999993</v>
      </c>
      <c r="AS29" s="550">
        <f t="shared" si="13"/>
        <v>9716721.5639999993</v>
      </c>
      <c r="AT29" s="550">
        <f t="shared" si="13"/>
        <v>9716721.5639999993</v>
      </c>
      <c r="AU29" s="551">
        <f t="shared" si="13"/>
        <v>9716721.5639999993</v>
      </c>
    </row>
    <row r="30" spans="1:47" x14ac:dyDescent="0.2">
      <c r="A30" s="410"/>
      <c r="B30" s="425" t="s">
        <v>652</v>
      </c>
      <c r="C30" s="426" t="s">
        <v>226</v>
      </c>
      <c r="D30" s="589"/>
      <c r="E30" s="457"/>
      <c r="F30" s="458"/>
      <c r="G30" s="681"/>
      <c r="H30" s="450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</row>
    <row r="31" spans="1:47" x14ac:dyDescent="0.2">
      <c r="A31" s="410"/>
      <c r="B31" s="425" t="s">
        <v>653</v>
      </c>
      <c r="C31" s="426" t="s">
        <v>226</v>
      </c>
      <c r="D31" s="427">
        <f>0.72*1.123</f>
        <v>0.80855999999999995</v>
      </c>
      <c r="E31" s="428">
        <f>C28</f>
        <v>366630</v>
      </c>
      <c r="F31" s="429">
        <f>D31*E31</f>
        <v>296442.35279999999</v>
      </c>
      <c r="G31" s="681"/>
      <c r="H31" s="430">
        <f>$F$31*H27</f>
        <v>0</v>
      </c>
      <c r="I31" s="431">
        <f t="shared" ref="I31:AU31" si="14">$F$31*I27</f>
        <v>0</v>
      </c>
      <c r="J31" s="431">
        <f t="shared" si="14"/>
        <v>0</v>
      </c>
      <c r="K31" s="431">
        <f t="shared" si="14"/>
        <v>0</v>
      </c>
      <c r="L31" s="431">
        <f>$F$31*L27</f>
        <v>889327.05839999998</v>
      </c>
      <c r="M31" s="431">
        <f t="shared" si="14"/>
        <v>1778654.1168</v>
      </c>
      <c r="N31" s="431">
        <f t="shared" si="14"/>
        <v>2371538.8223999999</v>
      </c>
      <c r="O31" s="431">
        <f t="shared" si="14"/>
        <v>2371538.8223999999</v>
      </c>
      <c r="P31" s="431">
        <f t="shared" si="14"/>
        <v>2371538.8223999999</v>
      </c>
      <c r="Q31" s="431">
        <f t="shared" si="14"/>
        <v>2371538.8223999999</v>
      </c>
      <c r="R31" s="431">
        <f t="shared" si="14"/>
        <v>2371538.8223999999</v>
      </c>
      <c r="S31" s="431">
        <f t="shared" si="14"/>
        <v>2371538.8223999999</v>
      </c>
      <c r="T31" s="431">
        <f t="shared" si="14"/>
        <v>2371538.8223999999</v>
      </c>
      <c r="U31" s="431">
        <f t="shared" si="14"/>
        <v>2371538.8223999999</v>
      </c>
      <c r="V31" s="431">
        <f t="shared" si="14"/>
        <v>2371538.8223999999</v>
      </c>
      <c r="W31" s="431">
        <f t="shared" si="14"/>
        <v>2371538.8223999999</v>
      </c>
      <c r="X31" s="431">
        <f t="shared" si="14"/>
        <v>2371538.8223999999</v>
      </c>
      <c r="Y31" s="431">
        <f t="shared" si="14"/>
        <v>2371538.8223999999</v>
      </c>
      <c r="Z31" s="431">
        <f t="shared" si="14"/>
        <v>2371538.8223999999</v>
      </c>
      <c r="AA31" s="431">
        <f t="shared" si="14"/>
        <v>2371538.8223999999</v>
      </c>
      <c r="AB31" s="431">
        <f t="shared" si="14"/>
        <v>2371538.8223999999</v>
      </c>
      <c r="AC31" s="431">
        <f t="shared" si="14"/>
        <v>2371538.8223999999</v>
      </c>
      <c r="AD31" s="431">
        <f t="shared" si="14"/>
        <v>2371538.8223999999</v>
      </c>
      <c r="AE31" s="431">
        <f t="shared" si="14"/>
        <v>2371538.8223999999</v>
      </c>
      <c r="AF31" s="431">
        <f t="shared" si="14"/>
        <v>2371538.8223999999</v>
      </c>
      <c r="AG31" s="431">
        <f t="shared" si="14"/>
        <v>2371538.8223999999</v>
      </c>
      <c r="AH31" s="431">
        <f t="shared" si="14"/>
        <v>2371538.8223999999</v>
      </c>
      <c r="AI31" s="431">
        <f t="shared" si="14"/>
        <v>2371538.8223999999</v>
      </c>
      <c r="AJ31" s="431">
        <f t="shared" si="14"/>
        <v>2371538.8223999999</v>
      </c>
      <c r="AK31" s="431">
        <f t="shared" si="14"/>
        <v>2371538.8223999999</v>
      </c>
      <c r="AL31" s="431">
        <f t="shared" si="14"/>
        <v>2371538.8223999999</v>
      </c>
      <c r="AM31" s="431">
        <f t="shared" si="14"/>
        <v>2371538.8223999999</v>
      </c>
      <c r="AN31" s="431">
        <f t="shared" si="14"/>
        <v>2371538.8223999999</v>
      </c>
      <c r="AO31" s="431">
        <f t="shared" si="14"/>
        <v>2371538.8223999999</v>
      </c>
      <c r="AP31" s="431">
        <f t="shared" si="14"/>
        <v>2371538.8223999999</v>
      </c>
      <c r="AQ31" s="431">
        <f t="shared" si="14"/>
        <v>2371538.8223999999</v>
      </c>
      <c r="AR31" s="431">
        <f t="shared" si="14"/>
        <v>2371538.8223999999</v>
      </c>
      <c r="AS31" s="431">
        <f t="shared" si="14"/>
        <v>2371538.8223999999</v>
      </c>
      <c r="AT31" s="431">
        <f t="shared" si="14"/>
        <v>2371538.8223999999</v>
      </c>
      <c r="AU31" s="432">
        <f t="shared" si="14"/>
        <v>2371538.8223999999</v>
      </c>
    </row>
    <row r="32" spans="1:47" x14ac:dyDescent="0.2">
      <c r="A32" s="411"/>
      <c r="B32" s="425" t="s">
        <v>234</v>
      </c>
      <c r="C32" s="426" t="s">
        <v>226</v>
      </c>
      <c r="D32" s="433"/>
      <c r="E32" s="459"/>
      <c r="F32" s="460"/>
      <c r="G32" s="681"/>
      <c r="H32" s="450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2"/>
    </row>
    <row r="33" spans="1:60" x14ac:dyDescent="0.2">
      <c r="A33" s="410"/>
      <c r="B33" s="425" t="s">
        <v>237</v>
      </c>
      <c r="C33" s="426" t="s">
        <v>226</v>
      </c>
      <c r="D33" s="434">
        <f>Vstupy!D16*0.1</f>
        <v>1.502</v>
      </c>
      <c r="E33" s="483">
        <f>C28</f>
        <v>366630</v>
      </c>
      <c r="F33" s="484">
        <f>D33*E33</f>
        <v>550678.26</v>
      </c>
      <c r="G33" s="681"/>
      <c r="H33" s="430">
        <f>$F$33*H28</f>
        <v>0</v>
      </c>
      <c r="I33" s="431">
        <f t="shared" ref="I33:AU33" si="15">$F$33*I28</f>
        <v>0</v>
      </c>
      <c r="J33" s="431">
        <f t="shared" si="15"/>
        <v>0</v>
      </c>
      <c r="K33" s="431">
        <f t="shared" si="15"/>
        <v>0</v>
      </c>
      <c r="L33" s="431">
        <f t="shared" si="15"/>
        <v>1652034.78</v>
      </c>
      <c r="M33" s="431">
        <f t="shared" si="15"/>
        <v>3304069.56</v>
      </c>
      <c r="N33" s="431">
        <f t="shared" si="15"/>
        <v>3854747.8200000003</v>
      </c>
      <c r="O33" s="431">
        <f t="shared" si="15"/>
        <v>3854747.8200000003</v>
      </c>
      <c r="P33" s="431">
        <f t="shared" si="15"/>
        <v>3854747.8200000003</v>
      </c>
      <c r="Q33" s="431">
        <f t="shared" si="15"/>
        <v>3854747.8200000003</v>
      </c>
      <c r="R33" s="431">
        <f t="shared" si="15"/>
        <v>3854747.8200000003</v>
      </c>
      <c r="S33" s="431">
        <f t="shared" si="15"/>
        <v>3854747.8200000003</v>
      </c>
      <c r="T33" s="431">
        <f t="shared" si="15"/>
        <v>3854747.8200000003</v>
      </c>
      <c r="U33" s="431">
        <f t="shared" si="15"/>
        <v>3854747.8200000003</v>
      </c>
      <c r="V33" s="431">
        <f t="shared" si="15"/>
        <v>3854747.8200000003</v>
      </c>
      <c r="W33" s="431">
        <f t="shared" si="15"/>
        <v>3854747.8200000003</v>
      </c>
      <c r="X33" s="431">
        <f t="shared" si="15"/>
        <v>3854747.8200000003</v>
      </c>
      <c r="Y33" s="431">
        <f t="shared" si="15"/>
        <v>3854747.8200000003</v>
      </c>
      <c r="Z33" s="431">
        <f t="shared" si="15"/>
        <v>3854747.8200000003</v>
      </c>
      <c r="AA33" s="431">
        <f t="shared" si="15"/>
        <v>3854747.8200000003</v>
      </c>
      <c r="AB33" s="431">
        <f t="shared" si="15"/>
        <v>3854747.8200000003</v>
      </c>
      <c r="AC33" s="431">
        <f t="shared" si="15"/>
        <v>3854747.8200000003</v>
      </c>
      <c r="AD33" s="431">
        <f t="shared" si="15"/>
        <v>3854747.8200000003</v>
      </c>
      <c r="AE33" s="431">
        <f t="shared" si="15"/>
        <v>3854747.8200000003</v>
      </c>
      <c r="AF33" s="431">
        <f t="shared" si="15"/>
        <v>3854747.8200000003</v>
      </c>
      <c r="AG33" s="431">
        <f t="shared" si="15"/>
        <v>3854747.8200000003</v>
      </c>
      <c r="AH33" s="431">
        <f t="shared" si="15"/>
        <v>3854747.8200000003</v>
      </c>
      <c r="AI33" s="431">
        <f t="shared" si="15"/>
        <v>3854747.8200000003</v>
      </c>
      <c r="AJ33" s="431">
        <f t="shared" si="15"/>
        <v>3854747.8200000003</v>
      </c>
      <c r="AK33" s="431">
        <f t="shared" si="15"/>
        <v>3854747.8200000003</v>
      </c>
      <c r="AL33" s="431">
        <f t="shared" si="15"/>
        <v>3854747.8200000003</v>
      </c>
      <c r="AM33" s="431">
        <f t="shared" si="15"/>
        <v>3854747.8200000003</v>
      </c>
      <c r="AN33" s="431">
        <f t="shared" si="15"/>
        <v>3854747.8200000003</v>
      </c>
      <c r="AO33" s="431">
        <f t="shared" si="15"/>
        <v>3854747.8200000003</v>
      </c>
      <c r="AP33" s="431">
        <f t="shared" si="15"/>
        <v>3854747.8200000003</v>
      </c>
      <c r="AQ33" s="431">
        <f t="shared" si="15"/>
        <v>3854747.8200000003</v>
      </c>
      <c r="AR33" s="431">
        <f t="shared" si="15"/>
        <v>3854747.8200000003</v>
      </c>
      <c r="AS33" s="431">
        <f t="shared" si="15"/>
        <v>3854747.8200000003</v>
      </c>
      <c r="AT33" s="431">
        <f t="shared" si="15"/>
        <v>3854747.8200000003</v>
      </c>
      <c r="AU33" s="432">
        <f t="shared" si="15"/>
        <v>3854747.8200000003</v>
      </c>
      <c r="BC33" s="412"/>
      <c r="BD33" s="412"/>
      <c r="BE33" s="412"/>
      <c r="BF33" s="412"/>
      <c r="BG33" s="412"/>
      <c r="BH33" s="412"/>
    </row>
    <row r="34" spans="1:60" x14ac:dyDescent="0.2">
      <c r="A34" s="410"/>
      <c r="B34" s="425" t="s">
        <v>654</v>
      </c>
      <c r="C34" s="426" t="s">
        <v>226</v>
      </c>
      <c r="D34" s="434">
        <f>0.36*1.123</f>
        <v>0.40427999999999997</v>
      </c>
      <c r="E34" s="483">
        <f>C28</f>
        <v>366630</v>
      </c>
      <c r="F34" s="484">
        <f>D34*E34</f>
        <v>148221.1764</v>
      </c>
      <c r="G34" s="681"/>
      <c r="H34" s="430">
        <f>$F$34*H27</f>
        <v>0</v>
      </c>
      <c r="I34" s="431">
        <f t="shared" ref="I34:AU34" si="16">$F$34*I27</f>
        <v>0</v>
      </c>
      <c r="J34" s="431">
        <f t="shared" si="16"/>
        <v>0</v>
      </c>
      <c r="K34" s="431">
        <f t="shared" si="16"/>
        <v>0</v>
      </c>
      <c r="L34" s="431">
        <f t="shared" si="16"/>
        <v>444663.52919999999</v>
      </c>
      <c r="M34" s="431">
        <f t="shared" si="16"/>
        <v>889327.05839999998</v>
      </c>
      <c r="N34" s="431">
        <f t="shared" si="16"/>
        <v>1185769.4112</v>
      </c>
      <c r="O34" s="431">
        <f t="shared" si="16"/>
        <v>1185769.4112</v>
      </c>
      <c r="P34" s="431">
        <f t="shared" si="16"/>
        <v>1185769.4112</v>
      </c>
      <c r="Q34" s="431">
        <f t="shared" si="16"/>
        <v>1185769.4112</v>
      </c>
      <c r="R34" s="431">
        <f t="shared" si="16"/>
        <v>1185769.4112</v>
      </c>
      <c r="S34" s="431">
        <f t="shared" si="16"/>
        <v>1185769.4112</v>
      </c>
      <c r="T34" s="431">
        <f t="shared" si="16"/>
        <v>1185769.4112</v>
      </c>
      <c r="U34" s="431">
        <f t="shared" si="16"/>
        <v>1185769.4112</v>
      </c>
      <c r="V34" s="431">
        <f t="shared" si="16"/>
        <v>1185769.4112</v>
      </c>
      <c r="W34" s="431">
        <f t="shared" si="16"/>
        <v>1185769.4112</v>
      </c>
      <c r="X34" s="431">
        <f t="shared" si="16"/>
        <v>1185769.4112</v>
      </c>
      <c r="Y34" s="431">
        <f t="shared" si="16"/>
        <v>1185769.4112</v>
      </c>
      <c r="Z34" s="431">
        <f t="shared" si="16"/>
        <v>1185769.4112</v>
      </c>
      <c r="AA34" s="431">
        <f t="shared" si="16"/>
        <v>1185769.4112</v>
      </c>
      <c r="AB34" s="431">
        <f t="shared" si="16"/>
        <v>1185769.4112</v>
      </c>
      <c r="AC34" s="431">
        <f t="shared" si="16"/>
        <v>1185769.4112</v>
      </c>
      <c r="AD34" s="431">
        <f t="shared" si="16"/>
        <v>1185769.4112</v>
      </c>
      <c r="AE34" s="431">
        <f t="shared" si="16"/>
        <v>1185769.4112</v>
      </c>
      <c r="AF34" s="431">
        <f t="shared" si="16"/>
        <v>1185769.4112</v>
      </c>
      <c r="AG34" s="431">
        <f t="shared" si="16"/>
        <v>1185769.4112</v>
      </c>
      <c r="AH34" s="431">
        <f t="shared" si="16"/>
        <v>1185769.4112</v>
      </c>
      <c r="AI34" s="431">
        <f t="shared" si="16"/>
        <v>1185769.4112</v>
      </c>
      <c r="AJ34" s="431">
        <f t="shared" si="16"/>
        <v>1185769.4112</v>
      </c>
      <c r="AK34" s="431">
        <f t="shared" si="16"/>
        <v>1185769.4112</v>
      </c>
      <c r="AL34" s="431">
        <f t="shared" si="16"/>
        <v>1185769.4112</v>
      </c>
      <c r="AM34" s="431">
        <f t="shared" si="16"/>
        <v>1185769.4112</v>
      </c>
      <c r="AN34" s="431">
        <f t="shared" si="16"/>
        <v>1185769.4112</v>
      </c>
      <c r="AO34" s="431">
        <f t="shared" si="16"/>
        <v>1185769.4112</v>
      </c>
      <c r="AP34" s="431">
        <f t="shared" si="16"/>
        <v>1185769.4112</v>
      </c>
      <c r="AQ34" s="431">
        <f t="shared" si="16"/>
        <v>1185769.4112</v>
      </c>
      <c r="AR34" s="431">
        <f t="shared" si="16"/>
        <v>1185769.4112</v>
      </c>
      <c r="AS34" s="431">
        <f t="shared" si="16"/>
        <v>1185769.4112</v>
      </c>
      <c r="AT34" s="431">
        <f t="shared" si="16"/>
        <v>1185769.4112</v>
      </c>
      <c r="AU34" s="432">
        <f t="shared" si="16"/>
        <v>1185769.4112</v>
      </c>
      <c r="AV34" s="412"/>
      <c r="AW34" s="412"/>
      <c r="AX34" s="412"/>
      <c r="AY34" s="412"/>
      <c r="AZ34" s="412"/>
      <c r="BA34" s="412"/>
      <c r="BB34" s="412"/>
    </row>
    <row r="35" spans="1:60" s="412" customFormat="1" x14ac:dyDescent="0.2">
      <c r="A35" s="410"/>
      <c r="B35" s="425" t="s">
        <v>509</v>
      </c>
      <c r="C35" s="426" t="s">
        <v>226</v>
      </c>
      <c r="D35" s="427">
        <f>1.99*1.123</f>
        <v>2.2347700000000001</v>
      </c>
      <c r="E35" s="428">
        <f>C28</f>
        <v>366630</v>
      </c>
      <c r="F35" s="429">
        <f t="shared" ref="F35:F36" si="17">D35*E35</f>
        <v>819333.72510000004</v>
      </c>
      <c r="G35" s="681"/>
      <c r="H35" s="430">
        <f>$F$35*H27</f>
        <v>0</v>
      </c>
      <c r="I35" s="431">
        <f t="shared" ref="I35:AU35" si="18">$F$35*I27</f>
        <v>0</v>
      </c>
      <c r="J35" s="431">
        <f t="shared" si="18"/>
        <v>0</v>
      </c>
      <c r="K35" s="431">
        <f t="shared" si="18"/>
        <v>0</v>
      </c>
      <c r="L35" s="431">
        <f t="shared" si="18"/>
        <v>2458001.1753000002</v>
      </c>
      <c r="M35" s="431">
        <f t="shared" si="18"/>
        <v>4916002.3506000005</v>
      </c>
      <c r="N35" s="431">
        <f t="shared" si="18"/>
        <v>6554669.8008000003</v>
      </c>
      <c r="O35" s="431">
        <f t="shared" si="18"/>
        <v>6554669.8008000003</v>
      </c>
      <c r="P35" s="431">
        <f t="shared" si="18"/>
        <v>6554669.8008000003</v>
      </c>
      <c r="Q35" s="431">
        <f t="shared" si="18"/>
        <v>6554669.8008000003</v>
      </c>
      <c r="R35" s="431">
        <f t="shared" si="18"/>
        <v>6554669.8008000003</v>
      </c>
      <c r="S35" s="431">
        <f t="shared" si="18"/>
        <v>6554669.8008000003</v>
      </c>
      <c r="T35" s="431">
        <f t="shared" si="18"/>
        <v>6554669.8008000003</v>
      </c>
      <c r="U35" s="431">
        <f t="shared" si="18"/>
        <v>6554669.8008000003</v>
      </c>
      <c r="V35" s="431">
        <f t="shared" si="18"/>
        <v>6554669.8008000003</v>
      </c>
      <c r="W35" s="431">
        <f t="shared" si="18"/>
        <v>6554669.8008000003</v>
      </c>
      <c r="X35" s="431">
        <f t="shared" si="18"/>
        <v>6554669.8008000003</v>
      </c>
      <c r="Y35" s="431">
        <f t="shared" si="18"/>
        <v>6554669.8008000003</v>
      </c>
      <c r="Z35" s="431">
        <f t="shared" si="18"/>
        <v>6554669.8008000003</v>
      </c>
      <c r="AA35" s="431">
        <f t="shared" si="18"/>
        <v>6554669.8008000003</v>
      </c>
      <c r="AB35" s="431">
        <f t="shared" si="18"/>
        <v>6554669.8008000003</v>
      </c>
      <c r="AC35" s="431">
        <f t="shared" si="18"/>
        <v>6554669.8008000003</v>
      </c>
      <c r="AD35" s="431">
        <f t="shared" si="18"/>
        <v>6554669.8008000003</v>
      </c>
      <c r="AE35" s="431">
        <f t="shared" si="18"/>
        <v>6554669.8008000003</v>
      </c>
      <c r="AF35" s="431">
        <f t="shared" si="18"/>
        <v>6554669.8008000003</v>
      </c>
      <c r="AG35" s="431">
        <f t="shared" si="18"/>
        <v>6554669.8008000003</v>
      </c>
      <c r="AH35" s="431">
        <f t="shared" si="18"/>
        <v>6554669.8008000003</v>
      </c>
      <c r="AI35" s="431">
        <f t="shared" si="18"/>
        <v>6554669.8008000003</v>
      </c>
      <c r="AJ35" s="431">
        <f t="shared" si="18"/>
        <v>6554669.8008000003</v>
      </c>
      <c r="AK35" s="431">
        <f t="shared" si="18"/>
        <v>6554669.8008000003</v>
      </c>
      <c r="AL35" s="431">
        <f t="shared" si="18"/>
        <v>6554669.8008000003</v>
      </c>
      <c r="AM35" s="431">
        <f t="shared" si="18"/>
        <v>6554669.8008000003</v>
      </c>
      <c r="AN35" s="431">
        <f t="shared" si="18"/>
        <v>6554669.8008000003</v>
      </c>
      <c r="AO35" s="431">
        <f t="shared" si="18"/>
        <v>6554669.8008000003</v>
      </c>
      <c r="AP35" s="431">
        <f t="shared" si="18"/>
        <v>6554669.8008000003</v>
      </c>
      <c r="AQ35" s="431">
        <f t="shared" si="18"/>
        <v>6554669.8008000003</v>
      </c>
      <c r="AR35" s="431">
        <f t="shared" si="18"/>
        <v>6554669.8008000003</v>
      </c>
      <c r="AS35" s="431">
        <f t="shared" si="18"/>
        <v>6554669.8008000003</v>
      </c>
      <c r="AT35" s="431">
        <f t="shared" si="18"/>
        <v>6554669.8008000003</v>
      </c>
      <c r="AU35" s="432">
        <f t="shared" si="18"/>
        <v>6554669.8008000003</v>
      </c>
      <c r="AV35" s="409"/>
      <c r="AW35" s="409"/>
      <c r="AX35" s="409"/>
      <c r="AY35" s="409"/>
      <c r="AZ35" s="409"/>
      <c r="BA35" s="409"/>
      <c r="BB35" s="409"/>
      <c r="BC35" s="409"/>
      <c r="BD35" s="409"/>
      <c r="BE35" s="409"/>
      <c r="BF35" s="409"/>
      <c r="BG35" s="409"/>
      <c r="BH35" s="409"/>
    </row>
    <row r="36" spans="1:60" x14ac:dyDescent="0.2">
      <c r="A36" s="410"/>
      <c r="B36" s="425" t="s">
        <v>267</v>
      </c>
      <c r="C36" s="426" t="s">
        <v>226</v>
      </c>
      <c r="D36" s="427">
        <f>1.93*1.123</f>
        <v>2.1673899999999997</v>
      </c>
      <c r="E36" s="428">
        <f>C28</f>
        <v>366630</v>
      </c>
      <c r="F36" s="429">
        <f t="shared" si="17"/>
        <v>794630.19569999992</v>
      </c>
      <c r="G36" s="681"/>
      <c r="H36" s="430">
        <f>$F$36*H27</f>
        <v>0</v>
      </c>
      <c r="I36" s="431">
        <f t="shared" ref="I36:AU36" si="19">$F$36*I27</f>
        <v>0</v>
      </c>
      <c r="J36" s="431">
        <f t="shared" si="19"/>
        <v>0</v>
      </c>
      <c r="K36" s="431">
        <f t="shared" si="19"/>
        <v>0</v>
      </c>
      <c r="L36" s="431">
        <f t="shared" si="19"/>
        <v>2383890.5870999997</v>
      </c>
      <c r="M36" s="431">
        <f t="shared" si="19"/>
        <v>4767781.1741999993</v>
      </c>
      <c r="N36" s="431">
        <f t="shared" si="19"/>
        <v>6357041.5655999994</v>
      </c>
      <c r="O36" s="431">
        <f t="shared" si="19"/>
        <v>6357041.5655999994</v>
      </c>
      <c r="P36" s="431">
        <f t="shared" si="19"/>
        <v>6357041.5655999994</v>
      </c>
      <c r="Q36" s="431">
        <f t="shared" si="19"/>
        <v>6357041.5655999994</v>
      </c>
      <c r="R36" s="431">
        <f t="shared" si="19"/>
        <v>6357041.5655999994</v>
      </c>
      <c r="S36" s="431">
        <f t="shared" si="19"/>
        <v>6357041.5655999994</v>
      </c>
      <c r="T36" s="431">
        <f t="shared" si="19"/>
        <v>6357041.5655999994</v>
      </c>
      <c r="U36" s="431">
        <f t="shared" si="19"/>
        <v>6357041.5655999994</v>
      </c>
      <c r="V36" s="431">
        <f t="shared" si="19"/>
        <v>6357041.5655999994</v>
      </c>
      <c r="W36" s="431">
        <f t="shared" si="19"/>
        <v>6357041.5655999994</v>
      </c>
      <c r="X36" s="431">
        <f t="shared" si="19"/>
        <v>6357041.5655999994</v>
      </c>
      <c r="Y36" s="431">
        <f t="shared" si="19"/>
        <v>6357041.5655999994</v>
      </c>
      <c r="Z36" s="431">
        <f t="shared" si="19"/>
        <v>6357041.5655999994</v>
      </c>
      <c r="AA36" s="431">
        <f t="shared" si="19"/>
        <v>6357041.5655999994</v>
      </c>
      <c r="AB36" s="431">
        <f t="shared" si="19"/>
        <v>6357041.5655999994</v>
      </c>
      <c r="AC36" s="431">
        <f t="shared" si="19"/>
        <v>6357041.5655999994</v>
      </c>
      <c r="AD36" s="431">
        <f t="shared" si="19"/>
        <v>6357041.5655999994</v>
      </c>
      <c r="AE36" s="431">
        <f t="shared" si="19"/>
        <v>6357041.5655999994</v>
      </c>
      <c r="AF36" s="431">
        <f t="shared" si="19"/>
        <v>6357041.5655999994</v>
      </c>
      <c r="AG36" s="431">
        <f t="shared" si="19"/>
        <v>6357041.5655999994</v>
      </c>
      <c r="AH36" s="431">
        <f t="shared" si="19"/>
        <v>6357041.5655999994</v>
      </c>
      <c r="AI36" s="431">
        <f t="shared" si="19"/>
        <v>6357041.5655999994</v>
      </c>
      <c r="AJ36" s="431">
        <f t="shared" si="19"/>
        <v>6357041.5655999994</v>
      </c>
      <c r="AK36" s="431">
        <f t="shared" si="19"/>
        <v>6357041.5655999994</v>
      </c>
      <c r="AL36" s="431">
        <f t="shared" si="19"/>
        <v>6357041.5655999994</v>
      </c>
      <c r="AM36" s="431">
        <f t="shared" si="19"/>
        <v>6357041.5655999994</v>
      </c>
      <c r="AN36" s="431">
        <f t="shared" si="19"/>
        <v>6357041.5655999994</v>
      </c>
      <c r="AO36" s="431">
        <f t="shared" si="19"/>
        <v>6357041.5655999994</v>
      </c>
      <c r="AP36" s="431">
        <f t="shared" si="19"/>
        <v>6357041.5655999994</v>
      </c>
      <c r="AQ36" s="431">
        <f t="shared" si="19"/>
        <v>6357041.5655999994</v>
      </c>
      <c r="AR36" s="431">
        <f t="shared" si="19"/>
        <v>6357041.5655999994</v>
      </c>
      <c r="AS36" s="431">
        <f t="shared" si="19"/>
        <v>6357041.5655999994</v>
      </c>
      <c r="AT36" s="431">
        <f t="shared" si="19"/>
        <v>6357041.5655999994</v>
      </c>
      <c r="AU36" s="432">
        <f t="shared" si="19"/>
        <v>6357041.5655999994</v>
      </c>
    </row>
    <row r="37" spans="1:60" ht="13.5" thickBot="1" x14ac:dyDescent="0.25">
      <c r="A37" s="410"/>
      <c r="B37" s="472" t="s">
        <v>657</v>
      </c>
      <c r="C37" s="476" t="s">
        <v>226</v>
      </c>
      <c r="D37" s="477"/>
      <c r="E37" s="485"/>
      <c r="F37" s="486"/>
      <c r="G37" s="681"/>
      <c r="H37" s="438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40"/>
    </row>
    <row r="38" spans="1:60" ht="13.5" thickTop="1" x14ac:dyDescent="0.2">
      <c r="A38" s="410"/>
      <c r="B38" s="441" t="s">
        <v>655</v>
      </c>
      <c r="C38" s="473" t="s">
        <v>226</v>
      </c>
      <c r="D38" s="443">
        <f>1.4*1.123</f>
        <v>1.5721999999999998</v>
      </c>
      <c r="E38" s="444">
        <f>C28</f>
        <v>366630</v>
      </c>
      <c r="F38" s="445">
        <f t="shared" ref="F38" si="20">D38*E38</f>
        <v>576415.68599999999</v>
      </c>
      <c r="G38" s="681"/>
      <c r="H38" s="560">
        <f t="shared" ref="H38:AU38" si="21">$F$38*H27</f>
        <v>0</v>
      </c>
      <c r="I38" s="552">
        <f t="shared" si="21"/>
        <v>0</v>
      </c>
      <c r="J38" s="552">
        <f t="shared" si="21"/>
        <v>0</v>
      </c>
      <c r="K38" s="552">
        <f t="shared" si="21"/>
        <v>0</v>
      </c>
      <c r="L38" s="552">
        <f t="shared" si="21"/>
        <v>1729247.058</v>
      </c>
      <c r="M38" s="552">
        <f t="shared" si="21"/>
        <v>3458494.1159999999</v>
      </c>
      <c r="N38" s="552">
        <f t="shared" si="21"/>
        <v>4611325.4879999999</v>
      </c>
      <c r="O38" s="552">
        <f t="shared" si="21"/>
        <v>4611325.4879999999</v>
      </c>
      <c r="P38" s="552">
        <f t="shared" si="21"/>
        <v>4611325.4879999999</v>
      </c>
      <c r="Q38" s="552">
        <f t="shared" si="21"/>
        <v>4611325.4879999999</v>
      </c>
      <c r="R38" s="552">
        <f t="shared" si="21"/>
        <v>4611325.4879999999</v>
      </c>
      <c r="S38" s="552">
        <f t="shared" si="21"/>
        <v>4611325.4879999999</v>
      </c>
      <c r="T38" s="552">
        <f t="shared" si="21"/>
        <v>4611325.4879999999</v>
      </c>
      <c r="U38" s="552">
        <f t="shared" si="21"/>
        <v>4611325.4879999999</v>
      </c>
      <c r="V38" s="552">
        <f t="shared" si="21"/>
        <v>4611325.4879999999</v>
      </c>
      <c r="W38" s="552">
        <f t="shared" si="21"/>
        <v>4611325.4879999999</v>
      </c>
      <c r="X38" s="552">
        <f t="shared" si="21"/>
        <v>4611325.4879999999</v>
      </c>
      <c r="Y38" s="552">
        <f t="shared" si="21"/>
        <v>4611325.4879999999</v>
      </c>
      <c r="Z38" s="552">
        <f t="shared" si="21"/>
        <v>4611325.4879999999</v>
      </c>
      <c r="AA38" s="552">
        <f t="shared" si="21"/>
        <v>4611325.4879999999</v>
      </c>
      <c r="AB38" s="552">
        <f t="shared" si="21"/>
        <v>4611325.4879999999</v>
      </c>
      <c r="AC38" s="552">
        <f t="shared" si="21"/>
        <v>4611325.4879999999</v>
      </c>
      <c r="AD38" s="552">
        <f t="shared" si="21"/>
        <v>4611325.4879999999</v>
      </c>
      <c r="AE38" s="552">
        <f t="shared" si="21"/>
        <v>4611325.4879999999</v>
      </c>
      <c r="AF38" s="552">
        <f t="shared" si="21"/>
        <v>4611325.4879999999</v>
      </c>
      <c r="AG38" s="552">
        <f t="shared" si="21"/>
        <v>4611325.4879999999</v>
      </c>
      <c r="AH38" s="552">
        <f t="shared" si="21"/>
        <v>4611325.4879999999</v>
      </c>
      <c r="AI38" s="552">
        <f t="shared" si="21"/>
        <v>4611325.4879999999</v>
      </c>
      <c r="AJ38" s="552">
        <f t="shared" si="21"/>
        <v>4611325.4879999999</v>
      </c>
      <c r="AK38" s="552">
        <f t="shared" si="21"/>
        <v>4611325.4879999999</v>
      </c>
      <c r="AL38" s="552">
        <f t="shared" si="21"/>
        <v>4611325.4879999999</v>
      </c>
      <c r="AM38" s="552">
        <f t="shared" si="21"/>
        <v>4611325.4879999999</v>
      </c>
      <c r="AN38" s="552">
        <f t="shared" si="21"/>
        <v>4611325.4879999999</v>
      </c>
      <c r="AO38" s="552">
        <f t="shared" si="21"/>
        <v>4611325.4879999999</v>
      </c>
      <c r="AP38" s="552">
        <f t="shared" si="21"/>
        <v>4611325.4879999999</v>
      </c>
      <c r="AQ38" s="552">
        <f t="shared" si="21"/>
        <v>4611325.4879999999</v>
      </c>
      <c r="AR38" s="552">
        <f t="shared" si="21"/>
        <v>4611325.4879999999</v>
      </c>
      <c r="AS38" s="552">
        <f t="shared" si="21"/>
        <v>4611325.4879999999</v>
      </c>
      <c r="AT38" s="552">
        <f t="shared" si="21"/>
        <v>4611325.4879999999</v>
      </c>
      <c r="AU38" s="553">
        <f t="shared" si="21"/>
        <v>4611325.4879999999</v>
      </c>
    </row>
    <row r="39" spans="1:60" ht="13.5" thickBot="1" x14ac:dyDescent="0.25">
      <c r="A39" s="410"/>
      <c r="B39" s="463" t="s">
        <v>656</v>
      </c>
      <c r="C39" s="446" t="s">
        <v>226</v>
      </c>
      <c r="D39" s="474">
        <v>100000</v>
      </c>
      <c r="E39" s="588">
        <v>1</v>
      </c>
      <c r="F39" s="471">
        <f>D39*E39</f>
        <v>100000</v>
      </c>
      <c r="G39" s="682"/>
      <c r="H39" s="453">
        <f t="shared" ref="H39:AU39" si="22">$F$39*H27</f>
        <v>0</v>
      </c>
      <c r="I39" s="454">
        <f t="shared" si="22"/>
        <v>0</v>
      </c>
      <c r="J39" s="454">
        <f t="shared" si="22"/>
        <v>0</v>
      </c>
      <c r="K39" s="454">
        <f t="shared" si="22"/>
        <v>0</v>
      </c>
      <c r="L39" s="454">
        <f t="shared" si="22"/>
        <v>300000</v>
      </c>
      <c r="M39" s="454">
        <f t="shared" si="22"/>
        <v>600000</v>
      </c>
      <c r="N39" s="454">
        <f t="shared" si="22"/>
        <v>800000</v>
      </c>
      <c r="O39" s="454">
        <f t="shared" si="22"/>
        <v>800000</v>
      </c>
      <c r="P39" s="454">
        <f t="shared" si="22"/>
        <v>800000</v>
      </c>
      <c r="Q39" s="454">
        <f t="shared" si="22"/>
        <v>800000</v>
      </c>
      <c r="R39" s="454">
        <f t="shared" si="22"/>
        <v>800000</v>
      </c>
      <c r="S39" s="454">
        <f t="shared" si="22"/>
        <v>800000</v>
      </c>
      <c r="T39" s="454">
        <f t="shared" si="22"/>
        <v>800000</v>
      </c>
      <c r="U39" s="454">
        <f t="shared" si="22"/>
        <v>800000</v>
      </c>
      <c r="V39" s="454">
        <f t="shared" si="22"/>
        <v>800000</v>
      </c>
      <c r="W39" s="454">
        <f t="shared" si="22"/>
        <v>800000</v>
      </c>
      <c r="X39" s="454">
        <f t="shared" si="22"/>
        <v>800000</v>
      </c>
      <c r="Y39" s="454">
        <f t="shared" si="22"/>
        <v>800000</v>
      </c>
      <c r="Z39" s="454">
        <f t="shared" si="22"/>
        <v>800000</v>
      </c>
      <c r="AA39" s="454">
        <f t="shared" si="22"/>
        <v>800000</v>
      </c>
      <c r="AB39" s="454">
        <f t="shared" si="22"/>
        <v>800000</v>
      </c>
      <c r="AC39" s="454">
        <f t="shared" si="22"/>
        <v>800000</v>
      </c>
      <c r="AD39" s="454">
        <f t="shared" si="22"/>
        <v>800000</v>
      </c>
      <c r="AE39" s="454">
        <f t="shared" si="22"/>
        <v>800000</v>
      </c>
      <c r="AF39" s="454">
        <f t="shared" si="22"/>
        <v>800000</v>
      </c>
      <c r="AG39" s="454">
        <f t="shared" si="22"/>
        <v>800000</v>
      </c>
      <c r="AH39" s="454">
        <f t="shared" si="22"/>
        <v>800000</v>
      </c>
      <c r="AI39" s="454">
        <f t="shared" si="22"/>
        <v>800000</v>
      </c>
      <c r="AJ39" s="454">
        <f t="shared" si="22"/>
        <v>800000</v>
      </c>
      <c r="AK39" s="454">
        <f t="shared" si="22"/>
        <v>800000</v>
      </c>
      <c r="AL39" s="454">
        <f t="shared" si="22"/>
        <v>800000</v>
      </c>
      <c r="AM39" s="454">
        <f t="shared" si="22"/>
        <v>800000</v>
      </c>
      <c r="AN39" s="454">
        <f t="shared" si="22"/>
        <v>800000</v>
      </c>
      <c r="AO39" s="454">
        <f t="shared" si="22"/>
        <v>800000</v>
      </c>
      <c r="AP39" s="454">
        <f t="shared" si="22"/>
        <v>800000</v>
      </c>
      <c r="AQ39" s="454">
        <f t="shared" si="22"/>
        <v>800000</v>
      </c>
      <c r="AR39" s="454">
        <f t="shared" si="22"/>
        <v>800000</v>
      </c>
      <c r="AS39" s="454">
        <f t="shared" si="22"/>
        <v>800000</v>
      </c>
      <c r="AT39" s="454">
        <f t="shared" si="22"/>
        <v>800000</v>
      </c>
      <c r="AU39" s="455">
        <f t="shared" si="22"/>
        <v>800000</v>
      </c>
    </row>
    <row r="40" spans="1:60" x14ac:dyDescent="0.2">
      <c r="B40" s="410" t="s">
        <v>663</v>
      </c>
      <c r="H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</row>
    <row r="41" spans="1:60" x14ac:dyDescent="0.2">
      <c r="B41" s="410" t="s">
        <v>729</v>
      </c>
      <c r="H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4"/>
      <c r="AF41" s="464"/>
      <c r="AG41" s="464"/>
      <c r="AH41" s="464"/>
      <c r="AI41" s="464"/>
      <c r="AJ41" s="464"/>
      <c r="AK41" s="464"/>
    </row>
    <row r="42" spans="1:60" x14ac:dyDescent="0.2">
      <c r="H42" s="464"/>
      <c r="I42" s="464"/>
      <c r="L42" s="464"/>
      <c r="M42" s="464"/>
    </row>
    <row r="43" spans="1:60" x14ac:dyDescent="0.2">
      <c r="B43" s="231"/>
      <c r="C43" s="230"/>
      <c r="D43" s="230" t="s">
        <v>10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</row>
    <row r="44" spans="1:60" x14ac:dyDescent="0.2">
      <c r="A44" s="231"/>
      <c r="B44" s="232" t="s">
        <v>55</v>
      </c>
      <c r="C44" s="232"/>
      <c r="D44" s="237">
        <v>1</v>
      </c>
      <c r="E44" s="237">
        <v>2</v>
      </c>
      <c r="F44" s="237">
        <v>3</v>
      </c>
      <c r="G44" s="237">
        <v>4</v>
      </c>
      <c r="H44" s="237">
        <v>5</v>
      </c>
      <c r="I44" s="237">
        <v>6</v>
      </c>
      <c r="J44" s="237">
        <v>7</v>
      </c>
      <c r="K44" s="237">
        <v>8</v>
      </c>
      <c r="L44" s="237">
        <v>9</v>
      </c>
      <c r="M44" s="237">
        <v>10</v>
      </c>
      <c r="N44" s="237">
        <v>11</v>
      </c>
      <c r="O44" s="237">
        <v>12</v>
      </c>
      <c r="P44" s="237">
        <v>13</v>
      </c>
      <c r="Q44" s="237">
        <v>14</v>
      </c>
      <c r="R44" s="237">
        <v>15</v>
      </c>
      <c r="S44" s="237">
        <v>16</v>
      </c>
      <c r="T44" s="237">
        <v>17</v>
      </c>
      <c r="U44" s="237">
        <v>18</v>
      </c>
      <c r="V44" s="237">
        <v>19</v>
      </c>
      <c r="W44" s="237">
        <v>20</v>
      </c>
      <c r="X44" s="237">
        <v>21</v>
      </c>
      <c r="Y44" s="237">
        <v>22</v>
      </c>
      <c r="Z44" s="237">
        <v>23</v>
      </c>
      <c r="AA44" s="237">
        <v>24</v>
      </c>
      <c r="AB44" s="237">
        <v>25</v>
      </c>
      <c r="AC44" s="237">
        <v>26</v>
      </c>
      <c r="AD44" s="237">
        <v>27</v>
      </c>
      <c r="AE44" s="237">
        <v>28</v>
      </c>
      <c r="AF44" s="237">
        <v>29</v>
      </c>
      <c r="AG44" s="237">
        <v>30</v>
      </c>
      <c r="AH44" s="237">
        <v>31</v>
      </c>
      <c r="AI44" s="237">
        <v>32</v>
      </c>
      <c r="AJ44" s="237">
        <v>33</v>
      </c>
      <c r="AK44" s="237">
        <v>34</v>
      </c>
      <c r="AL44" s="237">
        <v>35</v>
      </c>
      <c r="AM44" s="237">
        <v>36</v>
      </c>
      <c r="AN44" s="237">
        <v>37</v>
      </c>
      <c r="AO44" s="237">
        <v>38</v>
      </c>
      <c r="AP44" s="237">
        <v>39</v>
      </c>
      <c r="AQ44" s="237">
        <v>40</v>
      </c>
    </row>
    <row r="45" spans="1:60" x14ac:dyDescent="0.2">
      <c r="A45" s="231"/>
      <c r="B45" s="233" t="s">
        <v>659</v>
      </c>
      <c r="C45" s="233" t="s">
        <v>9</v>
      </c>
      <c r="D45" s="238">
        <v>2026</v>
      </c>
      <c r="E45" s="238">
        <f t="shared" ref="E45:AQ45" si="23">$D$45+D44</f>
        <v>2027</v>
      </c>
      <c r="F45" s="238">
        <f t="shared" si="23"/>
        <v>2028</v>
      </c>
      <c r="G45" s="238">
        <f t="shared" si="23"/>
        <v>2029</v>
      </c>
      <c r="H45" s="238">
        <f t="shared" si="23"/>
        <v>2030</v>
      </c>
      <c r="I45" s="238">
        <f t="shared" si="23"/>
        <v>2031</v>
      </c>
      <c r="J45" s="238">
        <f t="shared" si="23"/>
        <v>2032</v>
      </c>
      <c r="K45" s="238">
        <f t="shared" si="23"/>
        <v>2033</v>
      </c>
      <c r="L45" s="238">
        <f t="shared" si="23"/>
        <v>2034</v>
      </c>
      <c r="M45" s="238">
        <f t="shared" si="23"/>
        <v>2035</v>
      </c>
      <c r="N45" s="238">
        <f t="shared" si="23"/>
        <v>2036</v>
      </c>
      <c r="O45" s="238">
        <f t="shared" si="23"/>
        <v>2037</v>
      </c>
      <c r="P45" s="238">
        <f t="shared" si="23"/>
        <v>2038</v>
      </c>
      <c r="Q45" s="238">
        <f t="shared" si="23"/>
        <v>2039</v>
      </c>
      <c r="R45" s="238">
        <f t="shared" si="23"/>
        <v>2040</v>
      </c>
      <c r="S45" s="238">
        <f t="shared" si="23"/>
        <v>2041</v>
      </c>
      <c r="T45" s="238">
        <f t="shared" si="23"/>
        <v>2042</v>
      </c>
      <c r="U45" s="238">
        <f t="shared" si="23"/>
        <v>2043</v>
      </c>
      <c r="V45" s="238">
        <f t="shared" si="23"/>
        <v>2044</v>
      </c>
      <c r="W45" s="238">
        <f t="shared" si="23"/>
        <v>2045</v>
      </c>
      <c r="X45" s="238">
        <f t="shared" si="23"/>
        <v>2046</v>
      </c>
      <c r="Y45" s="238">
        <f t="shared" si="23"/>
        <v>2047</v>
      </c>
      <c r="Z45" s="238">
        <f t="shared" si="23"/>
        <v>2048</v>
      </c>
      <c r="AA45" s="238">
        <f t="shared" si="23"/>
        <v>2049</v>
      </c>
      <c r="AB45" s="238">
        <f t="shared" si="23"/>
        <v>2050</v>
      </c>
      <c r="AC45" s="238">
        <f t="shared" si="23"/>
        <v>2051</v>
      </c>
      <c r="AD45" s="238">
        <f t="shared" si="23"/>
        <v>2052</v>
      </c>
      <c r="AE45" s="238">
        <f t="shared" si="23"/>
        <v>2053</v>
      </c>
      <c r="AF45" s="238">
        <f t="shared" si="23"/>
        <v>2054</v>
      </c>
      <c r="AG45" s="238">
        <f t="shared" si="23"/>
        <v>2055</v>
      </c>
      <c r="AH45" s="238">
        <f t="shared" si="23"/>
        <v>2056</v>
      </c>
      <c r="AI45" s="238">
        <f t="shared" si="23"/>
        <v>2057</v>
      </c>
      <c r="AJ45" s="238">
        <f t="shared" si="23"/>
        <v>2058</v>
      </c>
      <c r="AK45" s="238">
        <f t="shared" si="23"/>
        <v>2059</v>
      </c>
      <c r="AL45" s="238">
        <f t="shared" si="23"/>
        <v>2060</v>
      </c>
      <c r="AM45" s="238">
        <f t="shared" si="23"/>
        <v>2061</v>
      </c>
      <c r="AN45" s="238">
        <f t="shared" si="23"/>
        <v>2062</v>
      </c>
      <c r="AO45" s="238">
        <f t="shared" si="23"/>
        <v>2063</v>
      </c>
      <c r="AP45" s="238">
        <f t="shared" si="23"/>
        <v>2064</v>
      </c>
      <c r="AQ45" s="238">
        <f t="shared" si="23"/>
        <v>2065</v>
      </c>
    </row>
    <row r="46" spans="1:60" x14ac:dyDescent="0.2">
      <c r="A46" s="231"/>
      <c r="B46" s="230" t="s">
        <v>281</v>
      </c>
      <c r="C46" s="245">
        <f>SUM(D46:AQ46)</f>
        <v>849562262.27729964</v>
      </c>
      <c r="D46" s="417">
        <f>H12+H14+H16+H17+H18+H19+H30+H31+H33+H34+H35+H36</f>
        <v>27816995.355600003</v>
      </c>
      <c r="E46" s="417">
        <f t="shared" ref="E46:AQ46" si="24">I12+I14+I16+I17+I18+I19+I30+I31+I33+I34+I35+I36</f>
        <v>27816995.355600003</v>
      </c>
      <c r="F46" s="417">
        <f t="shared" si="24"/>
        <v>27816995.355600003</v>
      </c>
      <c r="G46" s="417">
        <f t="shared" si="24"/>
        <v>27816995.355600003</v>
      </c>
      <c r="H46" s="417">
        <f t="shared" si="24"/>
        <v>25034394.6435</v>
      </c>
      <c r="I46" s="417">
        <f t="shared" si="24"/>
        <v>22251793.931400001</v>
      </c>
      <c r="J46" s="417">
        <f t="shared" si="24"/>
        <v>20323767.420000002</v>
      </c>
      <c r="K46" s="417">
        <f t="shared" si="24"/>
        <v>20323767.420000002</v>
      </c>
      <c r="L46" s="417">
        <f t="shared" si="24"/>
        <v>20323767.420000002</v>
      </c>
      <c r="M46" s="417">
        <f t="shared" si="24"/>
        <v>20323767.420000002</v>
      </c>
      <c r="N46" s="417">
        <f t="shared" si="24"/>
        <v>20323767.420000002</v>
      </c>
      <c r="O46" s="417">
        <f t="shared" si="24"/>
        <v>20323767.420000002</v>
      </c>
      <c r="P46" s="417">
        <f t="shared" si="24"/>
        <v>20323767.420000002</v>
      </c>
      <c r="Q46" s="417">
        <f t="shared" si="24"/>
        <v>20323767.420000002</v>
      </c>
      <c r="R46" s="417">
        <f t="shared" si="24"/>
        <v>20323767.420000002</v>
      </c>
      <c r="S46" s="417">
        <f t="shared" si="24"/>
        <v>20323767.420000002</v>
      </c>
      <c r="T46" s="417">
        <f t="shared" si="24"/>
        <v>20323767.420000002</v>
      </c>
      <c r="U46" s="417">
        <f t="shared" si="24"/>
        <v>20323767.420000002</v>
      </c>
      <c r="V46" s="417">
        <f t="shared" si="24"/>
        <v>20323767.420000002</v>
      </c>
      <c r="W46" s="417">
        <f t="shared" si="24"/>
        <v>20323767.420000002</v>
      </c>
      <c r="X46" s="417">
        <f t="shared" si="24"/>
        <v>20323767.420000002</v>
      </c>
      <c r="Y46" s="417">
        <f t="shared" si="24"/>
        <v>20323767.420000002</v>
      </c>
      <c r="Z46" s="417">
        <f t="shared" si="24"/>
        <v>20323767.420000002</v>
      </c>
      <c r="AA46" s="417">
        <f t="shared" si="24"/>
        <v>20323767.420000002</v>
      </c>
      <c r="AB46" s="417">
        <f t="shared" si="24"/>
        <v>20323767.420000002</v>
      </c>
      <c r="AC46" s="417">
        <f t="shared" si="24"/>
        <v>20323767.420000002</v>
      </c>
      <c r="AD46" s="417">
        <f t="shared" si="24"/>
        <v>20323767.420000002</v>
      </c>
      <c r="AE46" s="417">
        <f t="shared" si="24"/>
        <v>20323767.420000002</v>
      </c>
      <c r="AF46" s="417">
        <f t="shared" si="24"/>
        <v>20323767.420000002</v>
      </c>
      <c r="AG46" s="417">
        <f t="shared" si="24"/>
        <v>20323767.420000002</v>
      </c>
      <c r="AH46" s="417">
        <f t="shared" si="24"/>
        <v>20323767.420000002</v>
      </c>
      <c r="AI46" s="417">
        <f t="shared" si="24"/>
        <v>20323767.420000002</v>
      </c>
      <c r="AJ46" s="417">
        <f t="shared" si="24"/>
        <v>20323767.420000002</v>
      </c>
      <c r="AK46" s="417">
        <f t="shared" si="24"/>
        <v>20323767.420000002</v>
      </c>
      <c r="AL46" s="417">
        <f t="shared" si="24"/>
        <v>20323767.420000002</v>
      </c>
      <c r="AM46" s="417">
        <f t="shared" si="24"/>
        <v>20323767.420000002</v>
      </c>
      <c r="AN46" s="417">
        <f t="shared" si="24"/>
        <v>20323767.420000002</v>
      </c>
      <c r="AO46" s="417">
        <f t="shared" si="24"/>
        <v>20323767.420000002</v>
      </c>
      <c r="AP46" s="417">
        <f t="shared" si="24"/>
        <v>20323767.420000002</v>
      </c>
      <c r="AQ46" s="417">
        <f t="shared" si="24"/>
        <v>20323767.420000002</v>
      </c>
    </row>
    <row r="47" spans="1:60" x14ac:dyDescent="0.2">
      <c r="A47" s="231"/>
      <c r="B47" s="230" t="s">
        <v>279</v>
      </c>
      <c r="C47" s="245">
        <f t="shared" ref="C47:C51" si="25">SUM(D47:AQ47)</f>
        <v>70776300</v>
      </c>
      <c r="D47" s="417">
        <v>0</v>
      </c>
      <c r="E47" s="417">
        <v>0</v>
      </c>
      <c r="F47" s="417">
        <v>0</v>
      </c>
      <c r="G47" s="417">
        <v>0</v>
      </c>
      <c r="H47" s="417">
        <v>0</v>
      </c>
      <c r="I47" s="417">
        <v>0</v>
      </c>
      <c r="J47" s="417">
        <v>0</v>
      </c>
      <c r="K47" s="417">
        <v>0</v>
      </c>
      <c r="L47" s="417">
        <v>0</v>
      </c>
      <c r="M47" s="417">
        <v>0</v>
      </c>
      <c r="N47" s="417">
        <v>0</v>
      </c>
      <c r="O47" s="417">
        <v>0</v>
      </c>
      <c r="P47" s="417">
        <v>0</v>
      </c>
      <c r="Q47" s="417">
        <v>0</v>
      </c>
      <c r="R47" s="417">
        <v>0</v>
      </c>
      <c r="S47" s="417">
        <v>0</v>
      </c>
      <c r="T47" s="417">
        <v>0</v>
      </c>
      <c r="U47" s="417">
        <v>0</v>
      </c>
      <c r="V47" s="417">
        <v>0</v>
      </c>
      <c r="W47" s="417">
        <v>0</v>
      </c>
      <c r="X47" s="417">
        <v>0</v>
      </c>
      <c r="Y47" s="417">
        <v>0</v>
      </c>
      <c r="Z47" s="417">
        <v>0</v>
      </c>
      <c r="AA47" s="417">
        <v>0</v>
      </c>
      <c r="AB47" s="417">
        <v>0</v>
      </c>
      <c r="AC47" s="417">
        <f>'01 Investičné výdavky EMU550'!E54*C56</f>
        <v>23592100</v>
      </c>
      <c r="AD47" s="417">
        <v>0</v>
      </c>
      <c r="AE47" s="417">
        <v>0</v>
      </c>
      <c r="AF47" s="417">
        <v>0</v>
      </c>
      <c r="AG47" s="417">
        <v>0</v>
      </c>
      <c r="AH47" s="417">
        <v>0</v>
      </c>
      <c r="AI47" s="417">
        <v>0</v>
      </c>
      <c r="AJ47" s="417">
        <v>0</v>
      </c>
      <c r="AK47" s="417">
        <v>0</v>
      </c>
      <c r="AL47" s="417">
        <v>0</v>
      </c>
      <c r="AM47" s="417">
        <f>'01 Investičné výdavky EMU550'!E54*E56</f>
        <v>47184200</v>
      </c>
      <c r="AN47" s="417">
        <v>0</v>
      </c>
      <c r="AO47" s="417">
        <v>0</v>
      </c>
      <c r="AP47" s="417">
        <v>0</v>
      </c>
      <c r="AQ47" s="417">
        <v>0</v>
      </c>
    </row>
    <row r="48" spans="1:60" x14ac:dyDescent="0.2">
      <c r="A48" s="231"/>
      <c r="B48" s="232" t="s">
        <v>278</v>
      </c>
      <c r="C48" s="465">
        <f t="shared" si="25"/>
        <v>920338562.27729964</v>
      </c>
      <c r="D48" s="465">
        <f t="shared" ref="D48:AG48" si="26">SUM(D46:D47)</f>
        <v>27816995.355600003</v>
      </c>
      <c r="E48" s="465">
        <f t="shared" si="26"/>
        <v>27816995.355600003</v>
      </c>
      <c r="F48" s="465">
        <f t="shared" si="26"/>
        <v>27816995.355600003</v>
      </c>
      <c r="G48" s="465">
        <f t="shared" si="26"/>
        <v>27816995.355600003</v>
      </c>
      <c r="H48" s="465">
        <f t="shared" si="26"/>
        <v>25034394.6435</v>
      </c>
      <c r="I48" s="465">
        <f t="shared" si="26"/>
        <v>22251793.931400001</v>
      </c>
      <c r="J48" s="465">
        <f t="shared" si="26"/>
        <v>20323767.420000002</v>
      </c>
      <c r="K48" s="465">
        <f t="shared" si="26"/>
        <v>20323767.420000002</v>
      </c>
      <c r="L48" s="465">
        <f t="shared" si="26"/>
        <v>20323767.420000002</v>
      </c>
      <c r="M48" s="465">
        <f t="shared" si="26"/>
        <v>20323767.420000002</v>
      </c>
      <c r="N48" s="465">
        <f t="shared" si="26"/>
        <v>20323767.420000002</v>
      </c>
      <c r="O48" s="465">
        <f t="shared" si="26"/>
        <v>20323767.420000002</v>
      </c>
      <c r="P48" s="465">
        <f t="shared" si="26"/>
        <v>20323767.420000002</v>
      </c>
      <c r="Q48" s="465">
        <f t="shared" si="26"/>
        <v>20323767.420000002</v>
      </c>
      <c r="R48" s="465">
        <f t="shared" si="26"/>
        <v>20323767.420000002</v>
      </c>
      <c r="S48" s="465">
        <f t="shared" si="26"/>
        <v>20323767.420000002</v>
      </c>
      <c r="T48" s="465">
        <f t="shared" si="26"/>
        <v>20323767.420000002</v>
      </c>
      <c r="U48" s="465">
        <f t="shared" si="26"/>
        <v>20323767.420000002</v>
      </c>
      <c r="V48" s="465">
        <f t="shared" si="26"/>
        <v>20323767.420000002</v>
      </c>
      <c r="W48" s="465">
        <f t="shared" si="26"/>
        <v>20323767.420000002</v>
      </c>
      <c r="X48" s="465">
        <f t="shared" si="26"/>
        <v>20323767.420000002</v>
      </c>
      <c r="Y48" s="465">
        <f t="shared" si="26"/>
        <v>20323767.420000002</v>
      </c>
      <c r="Z48" s="465">
        <f t="shared" si="26"/>
        <v>20323767.420000002</v>
      </c>
      <c r="AA48" s="465">
        <f t="shared" si="26"/>
        <v>20323767.420000002</v>
      </c>
      <c r="AB48" s="465">
        <f t="shared" si="26"/>
        <v>20323767.420000002</v>
      </c>
      <c r="AC48" s="465">
        <f t="shared" si="26"/>
        <v>43915867.420000002</v>
      </c>
      <c r="AD48" s="465">
        <f t="shared" si="26"/>
        <v>20323767.420000002</v>
      </c>
      <c r="AE48" s="465">
        <f t="shared" si="26"/>
        <v>20323767.420000002</v>
      </c>
      <c r="AF48" s="465">
        <f t="shared" si="26"/>
        <v>20323767.420000002</v>
      </c>
      <c r="AG48" s="465">
        <f t="shared" si="26"/>
        <v>20323767.420000002</v>
      </c>
      <c r="AH48" s="465">
        <f t="shared" ref="AH48:AQ48" si="27">SUM(AH46:AH47)</f>
        <v>20323767.420000002</v>
      </c>
      <c r="AI48" s="465">
        <f t="shared" si="27"/>
        <v>20323767.420000002</v>
      </c>
      <c r="AJ48" s="465">
        <f t="shared" si="27"/>
        <v>20323767.420000002</v>
      </c>
      <c r="AK48" s="465">
        <f t="shared" si="27"/>
        <v>20323767.420000002</v>
      </c>
      <c r="AL48" s="465">
        <f t="shared" si="27"/>
        <v>20323767.420000002</v>
      </c>
      <c r="AM48" s="465">
        <f t="shared" si="27"/>
        <v>67507967.420000002</v>
      </c>
      <c r="AN48" s="465">
        <f t="shared" si="27"/>
        <v>20323767.420000002</v>
      </c>
      <c r="AO48" s="465">
        <f t="shared" si="27"/>
        <v>20323767.420000002</v>
      </c>
      <c r="AP48" s="465">
        <f t="shared" si="27"/>
        <v>20323767.420000002</v>
      </c>
      <c r="AQ48" s="465">
        <f t="shared" si="27"/>
        <v>20323767.420000002</v>
      </c>
    </row>
    <row r="49" spans="1:60" x14ac:dyDescent="0.2">
      <c r="A49" s="231"/>
      <c r="B49" s="230" t="s">
        <v>54</v>
      </c>
      <c r="C49" s="245">
        <f t="shared" si="25"/>
        <v>209226977.16920012</v>
      </c>
      <c r="D49" s="417">
        <f>H21+H22+H38+H39</f>
        <v>3929060.3904000008</v>
      </c>
      <c r="E49" s="417">
        <f t="shared" ref="E49:AQ49" si="28">I21+I22+I38+I39</f>
        <v>3929060.3904000008</v>
      </c>
      <c r="F49" s="417">
        <f t="shared" si="28"/>
        <v>3929060.3904000008</v>
      </c>
      <c r="G49" s="417">
        <f t="shared" si="28"/>
        <v>3929060.3904000008</v>
      </c>
      <c r="H49" s="417">
        <f t="shared" si="28"/>
        <v>4484909.8020000001</v>
      </c>
      <c r="I49" s="417">
        <f t="shared" si="28"/>
        <v>5040759.2136000004</v>
      </c>
      <c r="J49" s="417">
        <f t="shared" si="28"/>
        <v>5411325.4879999999</v>
      </c>
      <c r="K49" s="417">
        <f t="shared" si="28"/>
        <v>5411325.4879999999</v>
      </c>
      <c r="L49" s="417">
        <f t="shared" si="28"/>
        <v>5411325.4879999999</v>
      </c>
      <c r="M49" s="417">
        <f t="shared" si="28"/>
        <v>5411325.4879999999</v>
      </c>
      <c r="N49" s="417">
        <f t="shared" si="28"/>
        <v>5411325.4879999999</v>
      </c>
      <c r="O49" s="417">
        <f t="shared" si="28"/>
        <v>5411325.4879999999</v>
      </c>
      <c r="P49" s="417">
        <f t="shared" si="28"/>
        <v>5411325.4879999999</v>
      </c>
      <c r="Q49" s="417">
        <f t="shared" si="28"/>
        <v>5411325.4879999999</v>
      </c>
      <c r="R49" s="417">
        <f t="shared" si="28"/>
        <v>5411325.4879999999</v>
      </c>
      <c r="S49" s="417">
        <f t="shared" si="28"/>
        <v>5411325.4879999999</v>
      </c>
      <c r="T49" s="417">
        <f t="shared" si="28"/>
        <v>5411325.4879999999</v>
      </c>
      <c r="U49" s="417">
        <f t="shared" si="28"/>
        <v>5411325.4879999999</v>
      </c>
      <c r="V49" s="417">
        <f t="shared" si="28"/>
        <v>5411325.4879999999</v>
      </c>
      <c r="W49" s="417">
        <f t="shared" si="28"/>
        <v>5411325.4879999999</v>
      </c>
      <c r="X49" s="417">
        <f t="shared" si="28"/>
        <v>5411325.4879999999</v>
      </c>
      <c r="Y49" s="417">
        <f t="shared" si="28"/>
        <v>5411325.4879999999</v>
      </c>
      <c r="Z49" s="417">
        <f t="shared" si="28"/>
        <v>5411325.4879999999</v>
      </c>
      <c r="AA49" s="417">
        <f t="shared" si="28"/>
        <v>5411325.4879999999</v>
      </c>
      <c r="AB49" s="417">
        <f t="shared" si="28"/>
        <v>5411325.4879999999</v>
      </c>
      <c r="AC49" s="417">
        <f t="shared" si="28"/>
        <v>5411325.4879999999</v>
      </c>
      <c r="AD49" s="417">
        <f t="shared" si="28"/>
        <v>5411325.4879999999</v>
      </c>
      <c r="AE49" s="417">
        <f t="shared" si="28"/>
        <v>5411325.4879999999</v>
      </c>
      <c r="AF49" s="417">
        <f t="shared" si="28"/>
        <v>5411325.4879999999</v>
      </c>
      <c r="AG49" s="417">
        <f t="shared" si="28"/>
        <v>5411325.4879999999</v>
      </c>
      <c r="AH49" s="417">
        <f t="shared" si="28"/>
        <v>5411325.4879999999</v>
      </c>
      <c r="AI49" s="417">
        <f t="shared" si="28"/>
        <v>5411325.4879999999</v>
      </c>
      <c r="AJ49" s="417">
        <f t="shared" si="28"/>
        <v>5411325.4879999999</v>
      </c>
      <c r="AK49" s="417">
        <f t="shared" si="28"/>
        <v>5411325.4879999999</v>
      </c>
      <c r="AL49" s="417">
        <f t="shared" si="28"/>
        <v>5411325.4879999999</v>
      </c>
      <c r="AM49" s="417">
        <f t="shared" si="28"/>
        <v>5411325.4879999999</v>
      </c>
      <c r="AN49" s="417">
        <f t="shared" si="28"/>
        <v>5411325.4879999999</v>
      </c>
      <c r="AO49" s="417">
        <f t="shared" si="28"/>
        <v>5411325.4879999999</v>
      </c>
      <c r="AP49" s="417">
        <f t="shared" si="28"/>
        <v>5411325.4879999999</v>
      </c>
      <c r="AQ49" s="417">
        <f t="shared" si="28"/>
        <v>5411325.4879999999</v>
      </c>
    </row>
    <row r="50" spans="1:60" ht="13.5" thickBot="1" x14ac:dyDescent="0.25">
      <c r="A50" s="231"/>
      <c r="B50" s="466" t="s">
        <v>52</v>
      </c>
      <c r="C50" s="467">
        <f t="shared" si="25"/>
        <v>209226977.16920012</v>
      </c>
      <c r="D50" s="467">
        <f t="shared" ref="D50:AG50" si="29">SUM(D49:D49)</f>
        <v>3929060.3904000008</v>
      </c>
      <c r="E50" s="467">
        <f t="shared" si="29"/>
        <v>3929060.3904000008</v>
      </c>
      <c r="F50" s="467">
        <f t="shared" si="29"/>
        <v>3929060.3904000008</v>
      </c>
      <c r="G50" s="467">
        <f t="shared" si="29"/>
        <v>3929060.3904000008</v>
      </c>
      <c r="H50" s="467">
        <f t="shared" si="29"/>
        <v>4484909.8020000001</v>
      </c>
      <c r="I50" s="467">
        <f t="shared" si="29"/>
        <v>5040759.2136000004</v>
      </c>
      <c r="J50" s="467">
        <f t="shared" si="29"/>
        <v>5411325.4879999999</v>
      </c>
      <c r="K50" s="467">
        <f t="shared" si="29"/>
        <v>5411325.4879999999</v>
      </c>
      <c r="L50" s="467">
        <f t="shared" si="29"/>
        <v>5411325.4879999999</v>
      </c>
      <c r="M50" s="467">
        <f t="shared" si="29"/>
        <v>5411325.4879999999</v>
      </c>
      <c r="N50" s="467">
        <f t="shared" si="29"/>
        <v>5411325.4879999999</v>
      </c>
      <c r="O50" s="467">
        <f t="shared" si="29"/>
        <v>5411325.4879999999</v>
      </c>
      <c r="P50" s="467">
        <f t="shared" si="29"/>
        <v>5411325.4879999999</v>
      </c>
      <c r="Q50" s="467">
        <f t="shared" si="29"/>
        <v>5411325.4879999999</v>
      </c>
      <c r="R50" s="467">
        <f t="shared" si="29"/>
        <v>5411325.4879999999</v>
      </c>
      <c r="S50" s="467">
        <f t="shared" si="29"/>
        <v>5411325.4879999999</v>
      </c>
      <c r="T50" s="467">
        <f t="shared" si="29"/>
        <v>5411325.4879999999</v>
      </c>
      <c r="U50" s="467">
        <f t="shared" si="29"/>
        <v>5411325.4879999999</v>
      </c>
      <c r="V50" s="467">
        <f t="shared" si="29"/>
        <v>5411325.4879999999</v>
      </c>
      <c r="W50" s="467">
        <f t="shared" si="29"/>
        <v>5411325.4879999999</v>
      </c>
      <c r="X50" s="467">
        <f t="shared" si="29"/>
        <v>5411325.4879999999</v>
      </c>
      <c r="Y50" s="467">
        <f t="shared" si="29"/>
        <v>5411325.4879999999</v>
      </c>
      <c r="Z50" s="467">
        <f t="shared" si="29"/>
        <v>5411325.4879999999</v>
      </c>
      <c r="AA50" s="467">
        <f t="shared" si="29"/>
        <v>5411325.4879999999</v>
      </c>
      <c r="AB50" s="467">
        <f t="shared" si="29"/>
        <v>5411325.4879999999</v>
      </c>
      <c r="AC50" s="467">
        <f t="shared" si="29"/>
        <v>5411325.4879999999</v>
      </c>
      <c r="AD50" s="467">
        <f t="shared" si="29"/>
        <v>5411325.4879999999</v>
      </c>
      <c r="AE50" s="467">
        <f t="shared" si="29"/>
        <v>5411325.4879999999</v>
      </c>
      <c r="AF50" s="467">
        <f t="shared" si="29"/>
        <v>5411325.4879999999</v>
      </c>
      <c r="AG50" s="467">
        <f t="shared" si="29"/>
        <v>5411325.4879999999</v>
      </c>
      <c r="AH50" s="467">
        <f t="shared" ref="AH50:AQ50" si="30">SUM(AH49:AH49)</f>
        <v>5411325.4879999999</v>
      </c>
      <c r="AI50" s="467">
        <f t="shared" si="30"/>
        <v>5411325.4879999999</v>
      </c>
      <c r="AJ50" s="467">
        <f t="shared" si="30"/>
        <v>5411325.4879999999</v>
      </c>
      <c r="AK50" s="467">
        <f t="shared" si="30"/>
        <v>5411325.4879999999</v>
      </c>
      <c r="AL50" s="467">
        <f t="shared" si="30"/>
        <v>5411325.4879999999</v>
      </c>
      <c r="AM50" s="467">
        <f t="shared" si="30"/>
        <v>5411325.4879999999</v>
      </c>
      <c r="AN50" s="467">
        <f t="shared" si="30"/>
        <v>5411325.4879999999</v>
      </c>
      <c r="AO50" s="467">
        <f t="shared" si="30"/>
        <v>5411325.4879999999</v>
      </c>
      <c r="AP50" s="467">
        <f t="shared" si="30"/>
        <v>5411325.4879999999</v>
      </c>
      <c r="AQ50" s="467">
        <f t="shared" si="30"/>
        <v>5411325.4879999999</v>
      </c>
    </row>
    <row r="51" spans="1:60" ht="13.5" thickTop="1" x14ac:dyDescent="0.2">
      <c r="A51" s="231"/>
      <c r="B51" s="468" t="s">
        <v>51</v>
      </c>
      <c r="C51" s="469">
        <f t="shared" si="25"/>
        <v>1129565539.4464998</v>
      </c>
      <c r="D51" s="469">
        <f t="shared" ref="D51:AQ51" si="31">SUM(D48,D50)</f>
        <v>31746055.746000003</v>
      </c>
      <c r="E51" s="469">
        <f t="shared" si="31"/>
        <v>31746055.746000003</v>
      </c>
      <c r="F51" s="469">
        <f t="shared" si="31"/>
        <v>31746055.746000003</v>
      </c>
      <c r="G51" s="469">
        <f t="shared" si="31"/>
        <v>31746055.746000003</v>
      </c>
      <c r="H51" s="469">
        <f t="shared" si="31"/>
        <v>29519304.445500001</v>
      </c>
      <c r="I51" s="469">
        <f t="shared" si="31"/>
        <v>27292553.145000003</v>
      </c>
      <c r="J51" s="469">
        <f t="shared" si="31"/>
        <v>25735092.908</v>
      </c>
      <c r="K51" s="469">
        <f t="shared" si="31"/>
        <v>25735092.908</v>
      </c>
      <c r="L51" s="469">
        <f t="shared" si="31"/>
        <v>25735092.908</v>
      </c>
      <c r="M51" s="469">
        <f t="shared" si="31"/>
        <v>25735092.908</v>
      </c>
      <c r="N51" s="469">
        <f t="shared" si="31"/>
        <v>25735092.908</v>
      </c>
      <c r="O51" s="469">
        <f t="shared" si="31"/>
        <v>25735092.908</v>
      </c>
      <c r="P51" s="469">
        <f t="shared" si="31"/>
        <v>25735092.908</v>
      </c>
      <c r="Q51" s="469">
        <f t="shared" si="31"/>
        <v>25735092.908</v>
      </c>
      <c r="R51" s="469">
        <f t="shared" si="31"/>
        <v>25735092.908</v>
      </c>
      <c r="S51" s="469">
        <f t="shared" si="31"/>
        <v>25735092.908</v>
      </c>
      <c r="T51" s="469">
        <f t="shared" si="31"/>
        <v>25735092.908</v>
      </c>
      <c r="U51" s="469">
        <f t="shared" si="31"/>
        <v>25735092.908</v>
      </c>
      <c r="V51" s="469">
        <f t="shared" si="31"/>
        <v>25735092.908</v>
      </c>
      <c r="W51" s="469">
        <f t="shared" si="31"/>
        <v>25735092.908</v>
      </c>
      <c r="X51" s="469">
        <f t="shared" si="31"/>
        <v>25735092.908</v>
      </c>
      <c r="Y51" s="469">
        <f t="shared" si="31"/>
        <v>25735092.908</v>
      </c>
      <c r="Z51" s="469">
        <f t="shared" si="31"/>
        <v>25735092.908</v>
      </c>
      <c r="AA51" s="469">
        <f t="shared" si="31"/>
        <v>25735092.908</v>
      </c>
      <c r="AB51" s="469">
        <f t="shared" si="31"/>
        <v>25735092.908</v>
      </c>
      <c r="AC51" s="469">
        <f t="shared" si="31"/>
        <v>49327192.908</v>
      </c>
      <c r="AD51" s="469">
        <f t="shared" si="31"/>
        <v>25735092.908</v>
      </c>
      <c r="AE51" s="469">
        <f t="shared" si="31"/>
        <v>25735092.908</v>
      </c>
      <c r="AF51" s="469">
        <f t="shared" si="31"/>
        <v>25735092.908</v>
      </c>
      <c r="AG51" s="469">
        <f t="shared" si="31"/>
        <v>25735092.908</v>
      </c>
      <c r="AH51" s="469">
        <f t="shared" si="31"/>
        <v>25735092.908</v>
      </c>
      <c r="AI51" s="469">
        <f t="shared" si="31"/>
        <v>25735092.908</v>
      </c>
      <c r="AJ51" s="469">
        <f t="shared" si="31"/>
        <v>25735092.908</v>
      </c>
      <c r="AK51" s="469">
        <f t="shared" si="31"/>
        <v>25735092.908</v>
      </c>
      <c r="AL51" s="469">
        <f t="shared" si="31"/>
        <v>25735092.908</v>
      </c>
      <c r="AM51" s="469">
        <f t="shared" si="31"/>
        <v>72919292.908000007</v>
      </c>
      <c r="AN51" s="469">
        <f t="shared" si="31"/>
        <v>25735092.908</v>
      </c>
      <c r="AO51" s="469">
        <f t="shared" si="31"/>
        <v>25735092.908</v>
      </c>
      <c r="AP51" s="469">
        <f t="shared" si="31"/>
        <v>25735092.908</v>
      </c>
      <c r="AQ51" s="469">
        <f t="shared" si="31"/>
        <v>25735092.908</v>
      </c>
    </row>
    <row r="52" spans="1:60" x14ac:dyDescent="0.2">
      <c r="A52" s="231"/>
      <c r="BC52" s="412"/>
      <c r="BD52" s="412"/>
      <c r="BE52" s="412"/>
      <c r="BF52" s="412"/>
      <c r="BG52" s="412"/>
      <c r="BH52" s="412"/>
    </row>
    <row r="53" spans="1:60" ht="13.5" thickBot="1" x14ac:dyDescent="0.25"/>
    <row r="54" spans="1:60" x14ac:dyDescent="0.2">
      <c r="B54" s="78"/>
      <c r="C54" s="683" t="s">
        <v>676</v>
      </c>
      <c r="D54" s="684"/>
      <c r="E54" s="694"/>
      <c r="K54" s="409" t="s">
        <v>273</v>
      </c>
      <c r="L54" s="464"/>
    </row>
    <row r="55" spans="1:60" s="412" customFormat="1" ht="22.35" customHeight="1" thickBot="1" x14ac:dyDescent="0.25">
      <c r="A55" s="409"/>
      <c r="B55" s="78"/>
      <c r="C55" s="686" t="s">
        <v>515</v>
      </c>
      <c r="D55" s="687"/>
      <c r="E55" s="295" t="s">
        <v>520</v>
      </c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409"/>
      <c r="BB55" s="409"/>
      <c r="BC55" s="409"/>
      <c r="BD55" s="409"/>
      <c r="BE55" s="409"/>
      <c r="BF55" s="409"/>
      <c r="BG55" s="409"/>
      <c r="BH55" s="409"/>
    </row>
    <row r="56" spans="1:60" ht="13.5" thickBot="1" x14ac:dyDescent="0.25">
      <c r="B56" s="408" t="s">
        <v>681</v>
      </c>
      <c r="C56" s="695">
        <v>0.1</v>
      </c>
      <c r="D56" s="696"/>
      <c r="E56" s="498">
        <v>0.2</v>
      </c>
    </row>
    <row r="57" spans="1:60" x14ac:dyDescent="0.2">
      <c r="C57" s="464"/>
    </row>
    <row r="73" spans="1:77" s="412" customFormat="1" x14ac:dyDescent="0.2">
      <c r="A73" s="409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409"/>
      <c r="AY73" s="409"/>
      <c r="AZ73" s="409"/>
      <c r="BA73" s="409"/>
      <c r="BB73" s="409"/>
      <c r="BC73" s="409"/>
      <c r="BD73" s="409"/>
      <c r="BE73" s="409"/>
      <c r="BF73" s="409"/>
      <c r="BG73" s="409"/>
      <c r="BH73" s="409"/>
      <c r="BI73" s="409"/>
      <c r="BJ73" s="409"/>
      <c r="BK73" s="409"/>
      <c r="BL73" s="409"/>
      <c r="BM73" s="409"/>
      <c r="BN73" s="409"/>
      <c r="BO73" s="409"/>
      <c r="BP73" s="409"/>
      <c r="BQ73" s="409"/>
      <c r="BR73" s="409"/>
      <c r="BS73" s="409"/>
      <c r="BT73" s="409"/>
      <c r="BU73" s="409"/>
      <c r="BV73" s="409"/>
      <c r="BW73" s="409"/>
      <c r="BX73" s="409"/>
      <c r="BY73" s="409"/>
    </row>
    <row r="76" spans="1:77" x14ac:dyDescent="0.2">
      <c r="AP76" s="412"/>
      <c r="AQ76" s="412"/>
      <c r="AR76" s="412"/>
      <c r="AS76" s="412"/>
      <c r="AT76" s="412"/>
      <c r="AU76" s="412"/>
      <c r="AV76" s="412"/>
      <c r="AW76" s="412"/>
      <c r="AX76" s="412"/>
      <c r="AY76" s="412"/>
      <c r="AZ76" s="412"/>
      <c r="BA76" s="412"/>
      <c r="BB76" s="412"/>
    </row>
    <row r="80" spans="1:77" s="412" customFormat="1" x14ac:dyDescent="0.2">
      <c r="A80" s="409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  <c r="AP80" s="409"/>
      <c r="AQ80" s="409"/>
      <c r="AR80" s="409"/>
      <c r="AS80" s="409"/>
      <c r="AT80" s="409"/>
      <c r="AU80" s="409"/>
      <c r="AV80" s="409"/>
      <c r="AW80" s="409"/>
      <c r="AX80" s="409"/>
      <c r="AY80" s="409"/>
      <c r="AZ80" s="409"/>
      <c r="BA80" s="409"/>
      <c r="BB80" s="409"/>
      <c r="BC80" s="409"/>
      <c r="BD80" s="409"/>
      <c r="BE80" s="409"/>
      <c r="BF80" s="409"/>
      <c r="BG80" s="409"/>
      <c r="BH80" s="409"/>
      <c r="BI80" s="409"/>
      <c r="BJ80" s="409"/>
      <c r="BK80" s="409"/>
      <c r="BL80" s="409"/>
      <c r="BM80" s="409"/>
      <c r="BN80" s="409"/>
      <c r="BO80" s="409"/>
      <c r="BP80" s="409"/>
      <c r="BQ80" s="409"/>
      <c r="BR80" s="409"/>
      <c r="BS80" s="409"/>
      <c r="BT80" s="409"/>
      <c r="BU80" s="409"/>
      <c r="BV80" s="409"/>
      <c r="BW80" s="409"/>
      <c r="BX80" s="409"/>
      <c r="BY80" s="409"/>
    </row>
    <row r="93" spans="1:61" x14ac:dyDescent="0.2">
      <c r="BC93" s="412"/>
      <c r="BD93" s="412"/>
      <c r="BE93" s="412"/>
      <c r="BF93" s="412"/>
      <c r="BG93" s="412"/>
      <c r="BH93" s="412"/>
    </row>
    <row r="95" spans="1:61" x14ac:dyDescent="0.2">
      <c r="BI95" s="412"/>
    </row>
    <row r="96" spans="1:61" s="412" customFormat="1" x14ac:dyDescent="0.2">
      <c r="A96" s="409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  <c r="AE96" s="409"/>
      <c r="AF96" s="409"/>
      <c r="AG96" s="409"/>
      <c r="AH96" s="409"/>
      <c r="AI96" s="409"/>
      <c r="AJ96" s="409"/>
      <c r="AK96" s="409"/>
      <c r="AL96" s="409"/>
      <c r="AM96" s="409"/>
      <c r="AN96" s="409"/>
      <c r="AO96" s="409"/>
      <c r="AP96" s="409"/>
      <c r="AQ96" s="409"/>
      <c r="AR96" s="409"/>
      <c r="AS96" s="409"/>
      <c r="AT96" s="409"/>
      <c r="AU96" s="409"/>
      <c r="AV96" s="409"/>
      <c r="AW96" s="409"/>
      <c r="AX96" s="409"/>
      <c r="AY96" s="409"/>
      <c r="AZ96" s="409"/>
      <c r="BA96" s="409"/>
      <c r="BB96" s="409"/>
      <c r="BC96" s="409"/>
      <c r="BD96" s="409"/>
      <c r="BE96" s="409"/>
      <c r="BF96" s="409"/>
      <c r="BG96" s="409"/>
      <c r="BH96" s="409"/>
      <c r="BI96" s="409"/>
    </row>
  </sheetData>
  <mergeCells count="16">
    <mergeCell ref="C54:E54"/>
    <mergeCell ref="C55:D55"/>
    <mergeCell ref="C56:D56"/>
    <mergeCell ref="G12:G22"/>
    <mergeCell ref="B26:B27"/>
    <mergeCell ref="D26:D28"/>
    <mergeCell ref="E26:E28"/>
    <mergeCell ref="F26:F28"/>
    <mergeCell ref="G29:G39"/>
    <mergeCell ref="B1:AK1"/>
    <mergeCell ref="B2:G4"/>
    <mergeCell ref="B5:G5"/>
    <mergeCell ref="B9:B10"/>
    <mergeCell ref="D9:D11"/>
    <mergeCell ref="E9:E11"/>
    <mergeCell ref="F9:F1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Q23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16.140625" style="2" bestFit="1" customWidth="1"/>
    <col min="3" max="3" width="10.5703125" style="2" bestFit="1" customWidth="1"/>
    <col min="4" max="43" width="9.5703125" style="2" bestFit="1" customWidth="1"/>
    <col min="44" max="16384" width="9.140625" style="2"/>
  </cols>
  <sheetData>
    <row r="2" spans="2:4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 t="s">
        <v>198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33</v>
      </c>
      <c r="C4" s="6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  <c r="AP4" s="7">
        <f t="shared" ref="AP4" si="9">$D$4+AO3</f>
        <v>2064</v>
      </c>
      <c r="AQ4" s="7">
        <f t="shared" ref="AQ4" si="10">$D$4+AP3</f>
        <v>2065</v>
      </c>
    </row>
    <row r="5" spans="2:43" x14ac:dyDescent="0.2">
      <c r="B5" s="3" t="s">
        <v>282</v>
      </c>
      <c r="C5" s="8">
        <f>SUM(D5:AQ5)</f>
        <v>714967016.37455261</v>
      </c>
      <c r="D5" s="9">
        <f>'04A Prevádzkové príjmy NOV200'!E17</f>
        <v>16212988.223822912</v>
      </c>
      <c r="E5" s="9">
        <f>'04A Prevádzkové príjmy NOV200'!F17</f>
        <v>16375118.106061142</v>
      </c>
      <c r="F5" s="9">
        <f>'04A Prevádzkové príjmy NOV200'!G17</f>
        <v>16538869.287121752</v>
      </c>
      <c r="G5" s="9">
        <f>'04A Prevádzkové príjmy NOV200'!H17</f>
        <v>16704257.979992973</v>
      </c>
      <c r="H5" s="9">
        <f>'04A Prevádzkové príjmy NOV200'!I17</f>
        <v>16871300.559792899</v>
      </c>
      <c r="I5" s="9">
        <f>'04A Prevádzkové príjmy NOV200'!J17</f>
        <v>17040013.565390829</v>
      </c>
      <c r="J5" s="9">
        <f>'04A Prevádzkové príjmy NOV200'!K17</f>
        <v>17210413.701044738</v>
      </c>
      <c r="K5" s="9">
        <f>'04A Prevádzkové príjmy NOV200'!L17</f>
        <v>17382517.838055186</v>
      </c>
      <c r="L5" s="9">
        <f>'04A Prevádzkové príjmy NOV200'!M17</f>
        <v>17556343.016435739</v>
      </c>
      <c r="M5" s="9">
        <f>'04A Prevádzkové príjmy NOV200'!N17</f>
        <v>17731906.446600094</v>
      </c>
      <c r="N5" s="9">
        <f>'04A Prevádzkové príjmy NOV200'!O17</f>
        <v>17909225.511066094</v>
      </c>
      <c r="O5" s="9">
        <f>'04A Prevádzkové príjmy NOV200'!P17</f>
        <v>18088317.766176756</v>
      </c>
      <c r="P5" s="9">
        <f>'04A Prevádzkové príjmy NOV200'!Q17</f>
        <v>18269200.943838526</v>
      </c>
      <c r="Q5" s="9">
        <f>'04A Prevádzkové príjmy NOV200'!R17</f>
        <v>18451892.95327691</v>
      </c>
      <c r="R5" s="9">
        <f>'04A Prevádzkové príjmy NOV200'!S17</f>
        <v>18636411.88280968</v>
      </c>
      <c r="S5" s="9">
        <f>'04A Prevádzkové príjmy NOV200'!T17</f>
        <v>18599139.059044059</v>
      </c>
      <c r="T5" s="9">
        <f>'04A Prevádzkové príjmy NOV200'!U17</f>
        <v>18561940.780925971</v>
      </c>
      <c r="U5" s="9">
        <f>'04A Prevádzkové príjmy NOV200'!V17</f>
        <v>18524816.899364118</v>
      </c>
      <c r="V5" s="9">
        <f>'04A Prevádzkové príjmy NOV200'!W17</f>
        <v>18487767.265565388</v>
      </c>
      <c r="W5" s="9">
        <f>'04A Prevádzkové príjmy NOV200'!X17</f>
        <v>18450791.73103426</v>
      </c>
      <c r="X5" s="9">
        <f>'04A Prevádzkové príjmy NOV200'!Y17</f>
        <v>18413890.147572193</v>
      </c>
      <c r="Y5" s="9">
        <f>'04A Prevádzkové príjmy NOV200'!Z17</f>
        <v>18377062.367277049</v>
      </c>
      <c r="Z5" s="9">
        <f>'04A Prevádzkové príjmy NOV200'!AA17</f>
        <v>18340308.24254249</v>
      </c>
      <c r="AA5" s="9">
        <f>'04A Prevádzkové príjmy NOV200'!AB17</f>
        <v>18303627.626057405</v>
      </c>
      <c r="AB5" s="9">
        <f>'04A Prevádzkové príjmy NOV200'!AC17</f>
        <v>18267020.370805293</v>
      </c>
      <c r="AC5" s="9">
        <f>'04A Prevádzkové príjmy NOV200'!AD17</f>
        <v>18230486.330063682</v>
      </c>
      <c r="AD5" s="9">
        <f>'04A Prevádzkové príjmy NOV200'!AE17</f>
        <v>18194025.35740355</v>
      </c>
      <c r="AE5" s="9">
        <f>'04A Prevádzkové príjmy NOV200'!AF17</f>
        <v>18157637.306688741</v>
      </c>
      <c r="AF5" s="9">
        <f>'04A Prevádzkové príjmy NOV200'!AG17</f>
        <v>18121322.032075368</v>
      </c>
      <c r="AG5" s="9">
        <f>'04A Prevádzkové príjmy NOV200'!AH17</f>
        <v>18085079.388011217</v>
      </c>
      <c r="AH5" s="9">
        <f>'04A Prevádzkové príjmy NOV200'!AI17</f>
        <v>18048909.229235195</v>
      </c>
      <c r="AI5" s="9">
        <f>'04A Prevádzkové príjmy NOV200'!AJ17</f>
        <v>18012811.410776723</v>
      </c>
      <c r="AJ5" s="9">
        <f>'04A Prevádzkové príjmy NOV200'!AK17</f>
        <v>17976785.787955169</v>
      </c>
      <c r="AK5" s="9">
        <f>'04A Prevádzkové príjmy NOV200'!AL17</f>
        <v>17940832.216379259</v>
      </c>
      <c r="AL5" s="9">
        <f>'04A Prevádzkové príjmy NOV200'!AM17</f>
        <v>17904950.551946498</v>
      </c>
      <c r="AM5" s="9">
        <f>'04A Prevádzkové príjmy NOV200'!AN17</f>
        <v>17869140.650842611</v>
      </c>
      <c r="AN5" s="9">
        <f>'04A Prevádzkové príjmy NOV200'!AO17</f>
        <v>17833402.369540922</v>
      </c>
      <c r="AO5" s="9">
        <f>'04A Prevádzkové príjmy NOV200'!AP17</f>
        <v>17797735.564801846</v>
      </c>
      <c r="AP5" s="9">
        <f>'04A Prevádzkové príjmy NOV200'!AQ17</f>
        <v>17762140.093672238</v>
      </c>
      <c r="AQ5" s="9">
        <f>'04A Prevádzkové príjmy NOV200'!AR17</f>
        <v>17726615.813484892</v>
      </c>
    </row>
    <row r="6" spans="2:43" x14ac:dyDescent="0.2">
      <c r="B6" s="3" t="s">
        <v>53</v>
      </c>
      <c r="C6" s="8">
        <f t="shared" ref="C6:C7" si="11">SUM(D6:AQ6)</f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2:43" x14ac:dyDescent="0.2">
      <c r="B7" s="4" t="s">
        <v>11</v>
      </c>
      <c r="C7" s="13">
        <f t="shared" si="11"/>
        <v>714967016.37455261</v>
      </c>
      <c r="D7" s="13">
        <f>SUM(D5:D6)</f>
        <v>16212988.223822912</v>
      </c>
      <c r="E7" s="13">
        <f t="shared" ref="E7:AG7" si="12">SUM(E5:E6)</f>
        <v>16375118.106061142</v>
      </c>
      <c r="F7" s="13">
        <f t="shared" si="12"/>
        <v>16538869.287121752</v>
      </c>
      <c r="G7" s="13">
        <f t="shared" si="12"/>
        <v>16704257.979992973</v>
      </c>
      <c r="H7" s="13">
        <f t="shared" si="12"/>
        <v>16871300.559792899</v>
      </c>
      <c r="I7" s="13">
        <f t="shared" si="12"/>
        <v>17040013.565390829</v>
      </c>
      <c r="J7" s="13">
        <f t="shared" si="12"/>
        <v>17210413.701044738</v>
      </c>
      <c r="K7" s="13">
        <f t="shared" si="12"/>
        <v>17382517.838055186</v>
      </c>
      <c r="L7" s="13">
        <f t="shared" si="12"/>
        <v>17556343.016435739</v>
      </c>
      <c r="M7" s="13">
        <f t="shared" si="12"/>
        <v>17731906.446600094</v>
      </c>
      <c r="N7" s="13">
        <f t="shared" si="12"/>
        <v>17909225.511066094</v>
      </c>
      <c r="O7" s="13">
        <f t="shared" si="12"/>
        <v>18088317.766176756</v>
      </c>
      <c r="P7" s="13">
        <f t="shared" si="12"/>
        <v>18269200.943838526</v>
      </c>
      <c r="Q7" s="13">
        <f t="shared" si="12"/>
        <v>18451892.95327691</v>
      </c>
      <c r="R7" s="13">
        <f t="shared" si="12"/>
        <v>18636411.88280968</v>
      </c>
      <c r="S7" s="13">
        <f t="shared" si="12"/>
        <v>18599139.059044059</v>
      </c>
      <c r="T7" s="13">
        <f t="shared" si="12"/>
        <v>18561940.780925971</v>
      </c>
      <c r="U7" s="13">
        <f t="shared" si="12"/>
        <v>18524816.899364118</v>
      </c>
      <c r="V7" s="13">
        <f t="shared" si="12"/>
        <v>18487767.265565388</v>
      </c>
      <c r="W7" s="13">
        <f t="shared" si="12"/>
        <v>18450791.73103426</v>
      </c>
      <c r="X7" s="13">
        <f t="shared" si="12"/>
        <v>18413890.147572193</v>
      </c>
      <c r="Y7" s="13">
        <f t="shared" si="12"/>
        <v>18377062.367277049</v>
      </c>
      <c r="Z7" s="13">
        <f t="shared" si="12"/>
        <v>18340308.24254249</v>
      </c>
      <c r="AA7" s="13">
        <f t="shared" si="12"/>
        <v>18303627.626057405</v>
      </c>
      <c r="AB7" s="13">
        <f t="shared" si="12"/>
        <v>18267020.370805293</v>
      </c>
      <c r="AC7" s="13">
        <f t="shared" si="12"/>
        <v>18230486.330063682</v>
      </c>
      <c r="AD7" s="13">
        <f t="shared" si="12"/>
        <v>18194025.35740355</v>
      </c>
      <c r="AE7" s="13">
        <f t="shared" si="12"/>
        <v>18157637.306688741</v>
      </c>
      <c r="AF7" s="13">
        <f t="shared" si="12"/>
        <v>18121322.032075368</v>
      </c>
      <c r="AG7" s="13">
        <f t="shared" si="12"/>
        <v>18085079.388011217</v>
      </c>
      <c r="AH7" s="13">
        <f t="shared" ref="AH7:AN7" si="13">SUM(AH5:AH6)</f>
        <v>18048909.229235195</v>
      </c>
      <c r="AI7" s="13">
        <f t="shared" si="13"/>
        <v>18012811.410776723</v>
      </c>
      <c r="AJ7" s="13">
        <f t="shared" si="13"/>
        <v>17976785.787955169</v>
      </c>
      <c r="AK7" s="13">
        <f t="shared" si="13"/>
        <v>17940832.216379259</v>
      </c>
      <c r="AL7" s="13">
        <f t="shared" si="13"/>
        <v>17904950.551946498</v>
      </c>
      <c r="AM7" s="13">
        <f t="shared" si="13"/>
        <v>17869140.650842611</v>
      </c>
      <c r="AN7" s="13">
        <f t="shared" si="13"/>
        <v>17833402.369540922</v>
      </c>
      <c r="AO7" s="13">
        <f t="shared" ref="AO7:AQ7" si="14">SUM(AO5:AO6)</f>
        <v>17797735.564801846</v>
      </c>
      <c r="AP7" s="13">
        <f t="shared" si="14"/>
        <v>17762140.093672238</v>
      </c>
      <c r="AQ7" s="13">
        <f t="shared" si="14"/>
        <v>17726615.813484892</v>
      </c>
    </row>
    <row r="10" spans="2:43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2:43" x14ac:dyDescent="0.2">
      <c r="B11" s="4" t="s">
        <v>199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3">
        <v>32</v>
      </c>
      <c r="AJ11" s="3">
        <v>33</v>
      </c>
      <c r="AK11" s="3">
        <v>34</v>
      </c>
      <c r="AL11" s="3">
        <v>35</v>
      </c>
      <c r="AM11" s="3">
        <v>36</v>
      </c>
      <c r="AN11" s="3">
        <v>37</v>
      </c>
      <c r="AO11" s="3">
        <v>38</v>
      </c>
      <c r="AP11" s="3">
        <v>39</v>
      </c>
      <c r="AQ11" s="3">
        <v>40</v>
      </c>
    </row>
    <row r="12" spans="2:43" x14ac:dyDescent="0.2">
      <c r="B12" s="6" t="s">
        <v>34</v>
      </c>
      <c r="C12" s="6" t="s">
        <v>9</v>
      </c>
      <c r="D12" s="7">
        <f>D4</f>
        <v>2026</v>
      </c>
      <c r="E12" s="7">
        <f>E4</f>
        <v>2027</v>
      </c>
      <c r="F12" s="7">
        <f>F4</f>
        <v>2028</v>
      </c>
      <c r="G12" s="7">
        <f t="shared" ref="G12:AG12" si="15">G4</f>
        <v>2029</v>
      </c>
      <c r="H12" s="7">
        <f t="shared" si="15"/>
        <v>2030</v>
      </c>
      <c r="I12" s="7">
        <f t="shared" si="15"/>
        <v>2031</v>
      </c>
      <c r="J12" s="7">
        <f t="shared" si="15"/>
        <v>2032</v>
      </c>
      <c r="K12" s="7">
        <f t="shared" si="15"/>
        <v>2033</v>
      </c>
      <c r="L12" s="7">
        <f t="shared" si="15"/>
        <v>2034</v>
      </c>
      <c r="M12" s="7">
        <f t="shared" si="15"/>
        <v>2035</v>
      </c>
      <c r="N12" s="7">
        <f t="shared" si="15"/>
        <v>2036</v>
      </c>
      <c r="O12" s="7">
        <f t="shared" si="15"/>
        <v>2037</v>
      </c>
      <c r="P12" s="7">
        <f t="shared" si="15"/>
        <v>2038</v>
      </c>
      <c r="Q12" s="7">
        <f t="shared" si="15"/>
        <v>2039</v>
      </c>
      <c r="R12" s="7">
        <f t="shared" si="15"/>
        <v>2040</v>
      </c>
      <c r="S12" s="7">
        <f t="shared" si="15"/>
        <v>2041</v>
      </c>
      <c r="T12" s="7">
        <f t="shared" si="15"/>
        <v>2042</v>
      </c>
      <c r="U12" s="7">
        <f t="shared" si="15"/>
        <v>2043</v>
      </c>
      <c r="V12" s="7">
        <f t="shared" si="15"/>
        <v>2044</v>
      </c>
      <c r="W12" s="7">
        <f t="shared" si="15"/>
        <v>2045</v>
      </c>
      <c r="X12" s="7">
        <f t="shared" si="15"/>
        <v>2046</v>
      </c>
      <c r="Y12" s="7">
        <f t="shared" si="15"/>
        <v>2047</v>
      </c>
      <c r="Z12" s="7">
        <f t="shared" si="15"/>
        <v>2048</v>
      </c>
      <c r="AA12" s="7">
        <f t="shared" si="15"/>
        <v>2049</v>
      </c>
      <c r="AB12" s="7">
        <f t="shared" si="15"/>
        <v>2050</v>
      </c>
      <c r="AC12" s="7">
        <f t="shared" si="15"/>
        <v>2051</v>
      </c>
      <c r="AD12" s="7">
        <f t="shared" si="15"/>
        <v>2052</v>
      </c>
      <c r="AE12" s="7">
        <f t="shared" si="15"/>
        <v>2053</v>
      </c>
      <c r="AF12" s="7">
        <f t="shared" si="15"/>
        <v>2054</v>
      </c>
      <c r="AG12" s="7">
        <f t="shared" si="15"/>
        <v>2055</v>
      </c>
      <c r="AH12" s="7">
        <f t="shared" ref="AH12:AN12" si="16">AH4</f>
        <v>2056</v>
      </c>
      <c r="AI12" s="7">
        <f t="shared" si="16"/>
        <v>2057</v>
      </c>
      <c r="AJ12" s="7">
        <f t="shared" si="16"/>
        <v>2058</v>
      </c>
      <c r="AK12" s="7">
        <f t="shared" si="16"/>
        <v>2059</v>
      </c>
      <c r="AL12" s="7">
        <f t="shared" si="16"/>
        <v>2060</v>
      </c>
      <c r="AM12" s="7">
        <f t="shared" si="16"/>
        <v>2061</v>
      </c>
      <c r="AN12" s="7">
        <f t="shared" si="16"/>
        <v>2062</v>
      </c>
      <c r="AO12" s="7">
        <f t="shared" ref="AO12:AQ12" si="17">AO4</f>
        <v>2063</v>
      </c>
      <c r="AP12" s="7">
        <f t="shared" si="17"/>
        <v>2064</v>
      </c>
      <c r="AQ12" s="7">
        <f t="shared" si="17"/>
        <v>2065</v>
      </c>
    </row>
    <row r="13" spans="2:43" x14ac:dyDescent="0.2">
      <c r="B13" s="3" t="s">
        <v>282</v>
      </c>
      <c r="C13" s="8">
        <f t="shared" ref="C13:C15" si="18">SUM(D13:AQ13)</f>
        <v>717583504.38969076</v>
      </c>
      <c r="D13" s="9">
        <f>'04A Prevádzkové príjmy NOV200'!E47</f>
        <v>16212988.223822912</v>
      </c>
      <c r="E13" s="9">
        <f>'04A Prevádzkové príjmy NOV200'!F47</f>
        <v>16375118.106061142</v>
      </c>
      <c r="F13" s="9">
        <f>'04A Prevádzkové príjmy NOV200'!G47</f>
        <v>16538869.287121752</v>
      </c>
      <c r="G13" s="9">
        <f>'04A Prevádzkové príjmy NOV200'!H47</f>
        <v>16734325.644356959</v>
      </c>
      <c r="H13" s="9">
        <f>'04A Prevádzkové príjmy NOV200'!I47</f>
        <v>16928662.981696196</v>
      </c>
      <c r="I13" s="9">
        <f>'04A Prevádzkové príjmy NOV200'!J47</f>
        <v>17108173.619652394</v>
      </c>
      <c r="J13" s="9">
        <f>'04A Prevádzkové príjmy NOV200'!K47</f>
        <v>17279255.355848916</v>
      </c>
      <c r="K13" s="9">
        <f>'04A Prevádzkové príjmy NOV200'!L47</f>
        <v>17452047.909407411</v>
      </c>
      <c r="L13" s="9">
        <f>'04A Prevádzkové príjmy NOV200'!M47</f>
        <v>17626568.38850148</v>
      </c>
      <c r="M13" s="9">
        <f>'04A Prevádzkové príjmy NOV200'!N47</f>
        <v>17802834.072386496</v>
      </c>
      <c r="N13" s="9">
        <f>'04A Prevádzkové príjmy NOV200'!O47</f>
        <v>17980862.413110361</v>
      </c>
      <c r="O13" s="9">
        <f>'04A Prevádzkové príjmy NOV200'!P47</f>
        <v>18160671.037241466</v>
      </c>
      <c r="P13" s="9">
        <f>'04A Prevádzkové príjmy NOV200'!Q47</f>
        <v>18342277.747613881</v>
      </c>
      <c r="Q13" s="9">
        <f>'04A Prevádzkové príjmy NOV200'!R47</f>
        <v>18525700.52509002</v>
      </c>
      <c r="R13" s="9">
        <f>'04A Prevádzkové príjmy NOV200'!S47</f>
        <v>18710957.530340921</v>
      </c>
      <c r="S13" s="9">
        <f>'04A Prevádzkové príjmy NOV200'!T47</f>
        <v>18673535.615280237</v>
      </c>
      <c r="T13" s="9">
        <f>'04A Prevádzkové príjmy NOV200'!U47</f>
        <v>18636188.544049677</v>
      </c>
      <c r="U13" s="9">
        <f>'04A Prevádzkové príjmy NOV200'!V47</f>
        <v>18598916.166961573</v>
      </c>
      <c r="V13" s="9">
        <f>'04A Prevádzkové príjmy NOV200'!W47</f>
        <v>18561718.334627651</v>
      </c>
      <c r="W13" s="9">
        <f>'04A Prevádzkové príjmy NOV200'!X47</f>
        <v>18524594.897958398</v>
      </c>
      <c r="X13" s="9">
        <f>'04A Prevádzkové príjmy NOV200'!Y47</f>
        <v>18487545.708162483</v>
      </c>
      <c r="Y13" s="9">
        <f>'04A Prevádzkové príjmy NOV200'!Z47</f>
        <v>18450570.616746154</v>
      </c>
      <c r="Z13" s="9">
        <f>'04A Prevádzkové príjmy NOV200'!AA47</f>
        <v>18413669.475512661</v>
      </c>
      <c r="AA13" s="9">
        <f>'04A Prevádzkové príjmy NOV200'!AB47</f>
        <v>18376842.136561636</v>
      </c>
      <c r="AB13" s="9">
        <f>'04A Prevádzkové príjmy NOV200'!AC47</f>
        <v>18340088.452288512</v>
      </c>
      <c r="AC13" s="9">
        <f>'04A Prevádzkové príjmy NOV200'!AD47</f>
        <v>18303408.275383934</v>
      </c>
      <c r="AD13" s="9">
        <f>'04A Prevádzkové príjmy NOV200'!AE47</f>
        <v>18266801.458833165</v>
      </c>
      <c r="AE13" s="9">
        <f>'04A Prevádzkové príjmy NOV200'!AF47</f>
        <v>18230267.855915498</v>
      </c>
      <c r="AF13" s="9">
        <f>'04A Prevádzkové príjmy NOV200'!AG47</f>
        <v>18193807.320203666</v>
      </c>
      <c r="AG13" s="9">
        <f>'04A Prevádzkové príjmy NOV200'!AH47</f>
        <v>18157419.705563258</v>
      </c>
      <c r="AH13" s="9">
        <f>'04A Prevádzkové príjmy NOV200'!AI47</f>
        <v>18121104.866152134</v>
      </c>
      <c r="AI13" s="9">
        <f>'04A Prevádzkové príjmy NOV200'!AJ47</f>
        <v>18084862.656419832</v>
      </c>
      <c r="AJ13" s="9">
        <f>'04A Prevádzkové príjmy NOV200'!AK47</f>
        <v>18048692.931106992</v>
      </c>
      <c r="AK13" s="9">
        <f>'04A Prevádzkové príjmy NOV200'!AL47</f>
        <v>18012595.545244776</v>
      </c>
      <c r="AL13" s="9">
        <f>'04A Prevádzkové príjmy NOV200'!AM47</f>
        <v>17976570.354154289</v>
      </c>
      <c r="AM13" s="9">
        <f>'04A Prevádzkové príjmy NOV200'!AN47</f>
        <v>17940617.21344598</v>
      </c>
      <c r="AN13" s="9">
        <f>'04A Prevádzkové príjmy NOV200'!AO47</f>
        <v>17904735.979019087</v>
      </c>
      <c r="AO13" s="9">
        <f>'04A Prevádzkové príjmy NOV200'!AP47</f>
        <v>17868926.507061049</v>
      </c>
      <c r="AP13" s="9">
        <f>'04A Prevádzkové príjmy NOV200'!AQ47</f>
        <v>17833188.654046927</v>
      </c>
      <c r="AQ13" s="9">
        <f>'04A Prevádzkové príjmy NOV200'!AR47</f>
        <v>17797522.276738834</v>
      </c>
    </row>
    <row r="14" spans="2:43" x14ac:dyDescent="0.2">
      <c r="B14" s="3" t="s">
        <v>53</v>
      </c>
      <c r="C14" s="8">
        <f t="shared" si="18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2:43" x14ac:dyDescent="0.2">
      <c r="B15" s="4" t="s">
        <v>11</v>
      </c>
      <c r="C15" s="13">
        <f t="shared" si="18"/>
        <v>717583504.38969076</v>
      </c>
      <c r="D15" s="13">
        <f>SUM(D13:D14)</f>
        <v>16212988.223822912</v>
      </c>
      <c r="E15" s="13">
        <f t="shared" ref="E15:AG15" si="19">SUM(E13:E14)</f>
        <v>16375118.106061142</v>
      </c>
      <c r="F15" s="13">
        <f t="shared" si="19"/>
        <v>16538869.287121752</v>
      </c>
      <c r="G15" s="13">
        <f t="shared" si="19"/>
        <v>16734325.644356959</v>
      </c>
      <c r="H15" s="13">
        <f t="shared" si="19"/>
        <v>16928662.981696196</v>
      </c>
      <c r="I15" s="13">
        <f t="shared" si="19"/>
        <v>17108173.619652394</v>
      </c>
      <c r="J15" s="13">
        <f t="shared" si="19"/>
        <v>17279255.355848916</v>
      </c>
      <c r="K15" s="13">
        <f t="shared" si="19"/>
        <v>17452047.909407411</v>
      </c>
      <c r="L15" s="13">
        <f t="shared" si="19"/>
        <v>17626568.38850148</v>
      </c>
      <c r="M15" s="13">
        <f t="shared" si="19"/>
        <v>17802834.072386496</v>
      </c>
      <c r="N15" s="13">
        <f t="shared" si="19"/>
        <v>17980862.413110361</v>
      </c>
      <c r="O15" s="13">
        <f t="shared" si="19"/>
        <v>18160671.037241466</v>
      </c>
      <c r="P15" s="13">
        <f t="shared" si="19"/>
        <v>18342277.747613881</v>
      </c>
      <c r="Q15" s="13">
        <f t="shared" si="19"/>
        <v>18525700.52509002</v>
      </c>
      <c r="R15" s="13">
        <f t="shared" si="19"/>
        <v>18710957.530340921</v>
      </c>
      <c r="S15" s="13">
        <f t="shared" si="19"/>
        <v>18673535.615280237</v>
      </c>
      <c r="T15" s="13">
        <f t="shared" si="19"/>
        <v>18636188.544049677</v>
      </c>
      <c r="U15" s="13">
        <f t="shared" si="19"/>
        <v>18598916.166961573</v>
      </c>
      <c r="V15" s="13">
        <f t="shared" si="19"/>
        <v>18561718.334627651</v>
      </c>
      <c r="W15" s="13">
        <f t="shared" si="19"/>
        <v>18524594.897958398</v>
      </c>
      <c r="X15" s="13">
        <f t="shared" si="19"/>
        <v>18487545.708162483</v>
      </c>
      <c r="Y15" s="13">
        <f t="shared" si="19"/>
        <v>18450570.616746154</v>
      </c>
      <c r="Z15" s="13">
        <f t="shared" si="19"/>
        <v>18413669.475512661</v>
      </c>
      <c r="AA15" s="13">
        <f t="shared" si="19"/>
        <v>18376842.136561636</v>
      </c>
      <c r="AB15" s="13">
        <f t="shared" si="19"/>
        <v>18340088.452288512</v>
      </c>
      <c r="AC15" s="13">
        <f t="shared" si="19"/>
        <v>18303408.275383934</v>
      </c>
      <c r="AD15" s="13">
        <f t="shared" si="19"/>
        <v>18266801.458833165</v>
      </c>
      <c r="AE15" s="13">
        <f t="shared" si="19"/>
        <v>18230267.855915498</v>
      </c>
      <c r="AF15" s="13">
        <f t="shared" si="19"/>
        <v>18193807.320203666</v>
      </c>
      <c r="AG15" s="13">
        <f t="shared" si="19"/>
        <v>18157419.705563258</v>
      </c>
      <c r="AH15" s="13">
        <f t="shared" ref="AH15:AN15" si="20">SUM(AH13:AH14)</f>
        <v>18121104.866152134</v>
      </c>
      <c r="AI15" s="13">
        <f t="shared" si="20"/>
        <v>18084862.656419832</v>
      </c>
      <c r="AJ15" s="13">
        <f t="shared" si="20"/>
        <v>18048692.931106992</v>
      </c>
      <c r="AK15" s="13">
        <f t="shared" si="20"/>
        <v>18012595.545244776</v>
      </c>
      <c r="AL15" s="13">
        <f t="shared" si="20"/>
        <v>17976570.354154289</v>
      </c>
      <c r="AM15" s="13">
        <f t="shared" si="20"/>
        <v>17940617.21344598</v>
      </c>
      <c r="AN15" s="13">
        <f t="shared" si="20"/>
        <v>17904735.979019087</v>
      </c>
      <c r="AO15" s="13">
        <f t="shared" ref="AO15:AQ15" si="21">SUM(AO13:AO14)</f>
        <v>17868926.507061049</v>
      </c>
      <c r="AP15" s="13">
        <f t="shared" si="21"/>
        <v>17833188.654046927</v>
      </c>
      <c r="AQ15" s="13">
        <f t="shared" si="21"/>
        <v>17797522.276738834</v>
      </c>
    </row>
    <row r="18" spans="2:43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2:43" x14ac:dyDescent="0.2">
      <c r="B19" s="4" t="s">
        <v>200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  <c r="AH19" s="3">
        <v>31</v>
      </c>
      <c r="AI19" s="3">
        <v>32</v>
      </c>
      <c r="AJ19" s="3">
        <v>33</v>
      </c>
      <c r="AK19" s="3">
        <v>34</v>
      </c>
      <c r="AL19" s="3">
        <v>35</v>
      </c>
      <c r="AM19" s="3">
        <v>36</v>
      </c>
      <c r="AN19" s="3">
        <v>37</v>
      </c>
      <c r="AO19" s="3">
        <v>38</v>
      </c>
      <c r="AP19" s="3">
        <v>39</v>
      </c>
      <c r="AQ19" s="3">
        <v>40</v>
      </c>
    </row>
    <row r="20" spans="2:43" x14ac:dyDescent="0.2">
      <c r="B20" s="154" t="s">
        <v>201</v>
      </c>
      <c r="C20" s="154" t="s">
        <v>9</v>
      </c>
      <c r="D20" s="281">
        <f>D4</f>
        <v>2026</v>
      </c>
      <c r="E20" s="281">
        <f t="shared" ref="E20:AG20" si="22">E4</f>
        <v>2027</v>
      </c>
      <c r="F20" s="281">
        <f t="shared" si="22"/>
        <v>2028</v>
      </c>
      <c r="G20" s="281">
        <f t="shared" si="22"/>
        <v>2029</v>
      </c>
      <c r="H20" s="281">
        <f t="shared" si="22"/>
        <v>2030</v>
      </c>
      <c r="I20" s="281">
        <f t="shared" si="22"/>
        <v>2031</v>
      </c>
      <c r="J20" s="281">
        <f t="shared" si="22"/>
        <v>2032</v>
      </c>
      <c r="K20" s="281">
        <f t="shared" si="22"/>
        <v>2033</v>
      </c>
      <c r="L20" s="281">
        <f t="shared" si="22"/>
        <v>2034</v>
      </c>
      <c r="M20" s="281">
        <f t="shared" si="22"/>
        <v>2035</v>
      </c>
      <c r="N20" s="281">
        <f t="shared" si="22"/>
        <v>2036</v>
      </c>
      <c r="O20" s="281">
        <f t="shared" si="22"/>
        <v>2037</v>
      </c>
      <c r="P20" s="281">
        <f t="shared" si="22"/>
        <v>2038</v>
      </c>
      <c r="Q20" s="281">
        <f t="shared" si="22"/>
        <v>2039</v>
      </c>
      <c r="R20" s="281">
        <f t="shared" si="22"/>
        <v>2040</v>
      </c>
      <c r="S20" s="281">
        <f t="shared" si="22"/>
        <v>2041</v>
      </c>
      <c r="T20" s="281">
        <f t="shared" si="22"/>
        <v>2042</v>
      </c>
      <c r="U20" s="281">
        <f t="shared" si="22"/>
        <v>2043</v>
      </c>
      <c r="V20" s="281">
        <f t="shared" si="22"/>
        <v>2044</v>
      </c>
      <c r="W20" s="281">
        <f t="shared" si="22"/>
        <v>2045</v>
      </c>
      <c r="X20" s="281">
        <f t="shared" si="22"/>
        <v>2046</v>
      </c>
      <c r="Y20" s="281">
        <f t="shared" si="22"/>
        <v>2047</v>
      </c>
      <c r="Z20" s="281">
        <f t="shared" si="22"/>
        <v>2048</v>
      </c>
      <c r="AA20" s="281">
        <f t="shared" si="22"/>
        <v>2049</v>
      </c>
      <c r="AB20" s="281">
        <f t="shared" si="22"/>
        <v>2050</v>
      </c>
      <c r="AC20" s="281">
        <f t="shared" si="22"/>
        <v>2051</v>
      </c>
      <c r="AD20" s="281">
        <f t="shared" si="22"/>
        <v>2052</v>
      </c>
      <c r="AE20" s="281">
        <f t="shared" si="22"/>
        <v>2053</v>
      </c>
      <c r="AF20" s="281">
        <f t="shared" si="22"/>
        <v>2054</v>
      </c>
      <c r="AG20" s="281">
        <f t="shared" si="22"/>
        <v>2055</v>
      </c>
      <c r="AH20" s="281">
        <f t="shared" ref="AH20:AN20" si="23">AH4</f>
        <v>2056</v>
      </c>
      <c r="AI20" s="281">
        <f t="shared" si="23"/>
        <v>2057</v>
      </c>
      <c r="AJ20" s="281">
        <f t="shared" si="23"/>
        <v>2058</v>
      </c>
      <c r="AK20" s="281">
        <f t="shared" si="23"/>
        <v>2059</v>
      </c>
      <c r="AL20" s="281">
        <f t="shared" si="23"/>
        <v>2060</v>
      </c>
      <c r="AM20" s="281">
        <f t="shared" si="23"/>
        <v>2061</v>
      </c>
      <c r="AN20" s="281">
        <f t="shared" si="23"/>
        <v>2062</v>
      </c>
      <c r="AO20" s="281">
        <f t="shared" ref="AO20:AQ20" si="24">AO4</f>
        <v>2063</v>
      </c>
      <c r="AP20" s="281">
        <f t="shared" si="24"/>
        <v>2064</v>
      </c>
      <c r="AQ20" s="281">
        <f t="shared" si="24"/>
        <v>2065</v>
      </c>
    </row>
    <row r="21" spans="2:43" x14ac:dyDescent="0.2">
      <c r="B21" s="3" t="s">
        <v>282</v>
      </c>
      <c r="C21" s="8">
        <f t="shared" ref="C21:C23" si="25">SUM(D21:AQ21)</f>
        <v>2616488.0151383411</v>
      </c>
      <c r="D21" s="8">
        <f>D13-D5</f>
        <v>0</v>
      </c>
      <c r="E21" s="8">
        <f t="shared" ref="E21:AG21" si="26">E13-E5</f>
        <v>0</v>
      </c>
      <c r="F21" s="8">
        <f t="shared" si="26"/>
        <v>0</v>
      </c>
      <c r="G21" s="8">
        <f t="shared" si="26"/>
        <v>30067.664363985881</v>
      </c>
      <c r="H21" s="8">
        <f t="shared" si="26"/>
        <v>57362.421903297305</v>
      </c>
      <c r="I21" s="8">
        <f t="shared" si="26"/>
        <v>68160.054261565208</v>
      </c>
      <c r="J21" s="8">
        <f t="shared" si="26"/>
        <v>68841.654804177582</v>
      </c>
      <c r="K21" s="8">
        <f t="shared" si="26"/>
        <v>69530.071352224797</v>
      </c>
      <c r="L21" s="8">
        <f t="shared" si="26"/>
        <v>70225.372065741569</v>
      </c>
      <c r="M21" s="8">
        <f t="shared" si="26"/>
        <v>70927.625786401331</v>
      </c>
      <c r="N21" s="8">
        <f t="shared" si="26"/>
        <v>71636.902044266462</v>
      </c>
      <c r="O21" s="8">
        <f t="shared" si="26"/>
        <v>72353.271064709872</v>
      </c>
      <c r="P21" s="8">
        <f t="shared" si="26"/>
        <v>73076.80377535522</v>
      </c>
      <c r="Q21" s="8">
        <f t="shared" si="26"/>
        <v>73807.571813110262</v>
      </c>
      <c r="R21" s="8">
        <f t="shared" si="26"/>
        <v>74545.647531241179</v>
      </c>
      <c r="S21" s="8">
        <f t="shared" si="26"/>
        <v>74396.556236177683</v>
      </c>
      <c r="T21" s="8">
        <f t="shared" si="26"/>
        <v>74247.763123705983</v>
      </c>
      <c r="U21" s="8">
        <f t="shared" si="26"/>
        <v>74099.267597455531</v>
      </c>
      <c r="V21" s="8">
        <f t="shared" si="26"/>
        <v>73951.069062262774</v>
      </c>
      <c r="W21" s="8">
        <f t="shared" si="26"/>
        <v>73803.166924137622</v>
      </c>
      <c r="X21" s="8">
        <f t="shared" si="26"/>
        <v>73655.560590289533</v>
      </c>
      <c r="Y21" s="8">
        <f t="shared" si="26"/>
        <v>73508.249469105154</v>
      </c>
      <c r="Z21" s="8">
        <f t="shared" si="26"/>
        <v>73361.232970170677</v>
      </c>
      <c r="AA21" s="8">
        <f t="shared" si="26"/>
        <v>73214.510504230857</v>
      </c>
      <c r="AB21" s="8">
        <f t="shared" si="26"/>
        <v>73068.081483218819</v>
      </c>
      <c r="AC21" s="8">
        <f t="shared" si="26"/>
        <v>72921.945320252329</v>
      </c>
      <c r="AD21" s="8">
        <f t="shared" si="26"/>
        <v>72776.10142961517</v>
      </c>
      <c r="AE21" s="8">
        <f t="shared" si="26"/>
        <v>72630.549226757139</v>
      </c>
      <c r="AF21" s="8">
        <f t="shared" si="26"/>
        <v>72485.288128297776</v>
      </c>
      <c r="AG21" s="8">
        <f t="shared" si="26"/>
        <v>72340.317552041262</v>
      </c>
      <c r="AH21" s="8">
        <f t="shared" ref="AH21:AN21" si="27">AH13-AH5</f>
        <v>72195.636916939169</v>
      </c>
      <c r="AI21" s="8">
        <f t="shared" si="27"/>
        <v>72051.245643109083</v>
      </c>
      <c r="AJ21" s="8">
        <f t="shared" si="27"/>
        <v>71907.143151823431</v>
      </c>
      <c r="AK21" s="8">
        <f t="shared" si="27"/>
        <v>71763.328865516931</v>
      </c>
      <c r="AL21" s="8">
        <f t="shared" si="27"/>
        <v>71619.802207790315</v>
      </c>
      <c r="AM21" s="8">
        <f t="shared" si="27"/>
        <v>71476.562603369355</v>
      </c>
      <c r="AN21" s="8">
        <f t="shared" si="27"/>
        <v>71333.609478164464</v>
      </c>
      <c r="AO21" s="8">
        <f t="shared" ref="AO21:AQ21" si="28">AO13-AO5</f>
        <v>71190.942259203643</v>
      </c>
      <c r="AP21" s="8">
        <f t="shared" si="28"/>
        <v>71048.560374688357</v>
      </c>
      <c r="AQ21" s="8">
        <f t="shared" si="28"/>
        <v>70906.463253941387</v>
      </c>
    </row>
    <row r="22" spans="2:43" x14ac:dyDescent="0.2">
      <c r="B22" s="3" t="s">
        <v>53</v>
      </c>
      <c r="C22" s="8">
        <f t="shared" si="25"/>
        <v>0</v>
      </c>
      <c r="D22" s="8">
        <f>D14-D6</f>
        <v>0</v>
      </c>
      <c r="E22" s="8">
        <f t="shared" ref="E22:AG22" si="29">E14-E6</f>
        <v>0</v>
      </c>
      <c r="F22" s="8">
        <f t="shared" si="29"/>
        <v>0</v>
      </c>
      <c r="G22" s="8">
        <f t="shared" si="29"/>
        <v>0</v>
      </c>
      <c r="H22" s="8">
        <f t="shared" si="29"/>
        <v>0</v>
      </c>
      <c r="I22" s="8">
        <f t="shared" si="29"/>
        <v>0</v>
      </c>
      <c r="J22" s="8">
        <f t="shared" si="29"/>
        <v>0</v>
      </c>
      <c r="K22" s="8">
        <f t="shared" si="29"/>
        <v>0</v>
      </c>
      <c r="L22" s="8">
        <f t="shared" si="29"/>
        <v>0</v>
      </c>
      <c r="M22" s="8">
        <f t="shared" si="29"/>
        <v>0</v>
      </c>
      <c r="N22" s="8">
        <f t="shared" si="29"/>
        <v>0</v>
      </c>
      <c r="O22" s="8">
        <f t="shared" si="29"/>
        <v>0</v>
      </c>
      <c r="P22" s="8">
        <f t="shared" si="29"/>
        <v>0</v>
      </c>
      <c r="Q22" s="8">
        <f t="shared" si="29"/>
        <v>0</v>
      </c>
      <c r="R22" s="8">
        <f t="shared" si="29"/>
        <v>0</v>
      </c>
      <c r="S22" s="8">
        <f t="shared" si="29"/>
        <v>0</v>
      </c>
      <c r="T22" s="8">
        <f t="shared" si="29"/>
        <v>0</v>
      </c>
      <c r="U22" s="8">
        <f t="shared" si="29"/>
        <v>0</v>
      </c>
      <c r="V22" s="8">
        <f t="shared" si="29"/>
        <v>0</v>
      </c>
      <c r="W22" s="8">
        <f t="shared" si="29"/>
        <v>0</v>
      </c>
      <c r="X22" s="8">
        <f t="shared" si="29"/>
        <v>0</v>
      </c>
      <c r="Y22" s="8">
        <f t="shared" si="29"/>
        <v>0</v>
      </c>
      <c r="Z22" s="8">
        <f t="shared" si="29"/>
        <v>0</v>
      </c>
      <c r="AA22" s="8">
        <f t="shared" si="29"/>
        <v>0</v>
      </c>
      <c r="AB22" s="8">
        <f t="shared" si="29"/>
        <v>0</v>
      </c>
      <c r="AC22" s="8">
        <f t="shared" si="29"/>
        <v>0</v>
      </c>
      <c r="AD22" s="8">
        <f t="shared" si="29"/>
        <v>0</v>
      </c>
      <c r="AE22" s="8">
        <f t="shared" si="29"/>
        <v>0</v>
      </c>
      <c r="AF22" s="8">
        <f t="shared" si="29"/>
        <v>0</v>
      </c>
      <c r="AG22" s="8">
        <f t="shared" si="29"/>
        <v>0</v>
      </c>
      <c r="AH22" s="8">
        <f t="shared" ref="AH22:AN22" si="30">AH14-AH6</f>
        <v>0</v>
      </c>
      <c r="AI22" s="8">
        <f t="shared" si="30"/>
        <v>0</v>
      </c>
      <c r="AJ22" s="8">
        <f t="shared" si="30"/>
        <v>0</v>
      </c>
      <c r="AK22" s="8">
        <f t="shared" si="30"/>
        <v>0</v>
      </c>
      <c r="AL22" s="8">
        <f t="shared" si="30"/>
        <v>0</v>
      </c>
      <c r="AM22" s="8">
        <f t="shared" si="30"/>
        <v>0</v>
      </c>
      <c r="AN22" s="8">
        <f t="shared" si="30"/>
        <v>0</v>
      </c>
      <c r="AO22" s="8">
        <f t="shared" ref="AO22:AQ22" si="31">AO14-AO6</f>
        <v>0</v>
      </c>
      <c r="AP22" s="8">
        <f t="shared" si="31"/>
        <v>0</v>
      </c>
      <c r="AQ22" s="8">
        <f t="shared" si="31"/>
        <v>0</v>
      </c>
    </row>
    <row r="23" spans="2:43" x14ac:dyDescent="0.2">
      <c r="B23" s="4" t="s">
        <v>11</v>
      </c>
      <c r="C23" s="13">
        <f t="shared" si="25"/>
        <v>2616488.0151383411</v>
      </c>
      <c r="D23" s="13">
        <f>SUM(D21:D22)</f>
        <v>0</v>
      </c>
      <c r="E23" s="13">
        <f t="shared" ref="E23:AG23" si="32">SUM(E21:E22)</f>
        <v>0</v>
      </c>
      <c r="F23" s="13">
        <f t="shared" si="32"/>
        <v>0</v>
      </c>
      <c r="G23" s="13">
        <f t="shared" si="32"/>
        <v>30067.664363985881</v>
      </c>
      <c r="H23" s="13">
        <f t="shared" si="32"/>
        <v>57362.421903297305</v>
      </c>
      <c r="I23" s="13">
        <f t="shared" si="32"/>
        <v>68160.054261565208</v>
      </c>
      <c r="J23" s="13">
        <f t="shared" si="32"/>
        <v>68841.654804177582</v>
      </c>
      <c r="K23" s="13">
        <f t="shared" si="32"/>
        <v>69530.071352224797</v>
      </c>
      <c r="L23" s="13">
        <f t="shared" si="32"/>
        <v>70225.372065741569</v>
      </c>
      <c r="M23" s="13">
        <f t="shared" si="32"/>
        <v>70927.625786401331</v>
      </c>
      <c r="N23" s="13">
        <f t="shared" si="32"/>
        <v>71636.902044266462</v>
      </c>
      <c r="O23" s="13">
        <f t="shared" si="32"/>
        <v>72353.271064709872</v>
      </c>
      <c r="P23" s="13">
        <f t="shared" si="32"/>
        <v>73076.80377535522</v>
      </c>
      <c r="Q23" s="13">
        <f t="shared" si="32"/>
        <v>73807.571813110262</v>
      </c>
      <c r="R23" s="13">
        <f t="shared" si="32"/>
        <v>74545.647531241179</v>
      </c>
      <c r="S23" s="13">
        <f t="shared" si="32"/>
        <v>74396.556236177683</v>
      </c>
      <c r="T23" s="13">
        <f t="shared" si="32"/>
        <v>74247.763123705983</v>
      </c>
      <c r="U23" s="13">
        <f t="shared" si="32"/>
        <v>74099.267597455531</v>
      </c>
      <c r="V23" s="13">
        <f t="shared" si="32"/>
        <v>73951.069062262774</v>
      </c>
      <c r="W23" s="13">
        <f t="shared" si="32"/>
        <v>73803.166924137622</v>
      </c>
      <c r="X23" s="13">
        <f t="shared" si="32"/>
        <v>73655.560590289533</v>
      </c>
      <c r="Y23" s="13">
        <f t="shared" si="32"/>
        <v>73508.249469105154</v>
      </c>
      <c r="Z23" s="13">
        <f t="shared" si="32"/>
        <v>73361.232970170677</v>
      </c>
      <c r="AA23" s="13">
        <f t="shared" si="32"/>
        <v>73214.510504230857</v>
      </c>
      <c r="AB23" s="13">
        <f t="shared" si="32"/>
        <v>73068.081483218819</v>
      </c>
      <c r="AC23" s="13">
        <f t="shared" si="32"/>
        <v>72921.945320252329</v>
      </c>
      <c r="AD23" s="13">
        <f t="shared" si="32"/>
        <v>72776.10142961517</v>
      </c>
      <c r="AE23" s="13">
        <f t="shared" si="32"/>
        <v>72630.549226757139</v>
      </c>
      <c r="AF23" s="13">
        <f t="shared" si="32"/>
        <v>72485.288128297776</v>
      </c>
      <c r="AG23" s="13">
        <f t="shared" si="32"/>
        <v>72340.317552041262</v>
      </c>
      <c r="AH23" s="13">
        <f t="shared" ref="AH23:AN23" si="33">SUM(AH21:AH22)</f>
        <v>72195.636916939169</v>
      </c>
      <c r="AI23" s="13">
        <f t="shared" si="33"/>
        <v>72051.245643109083</v>
      </c>
      <c r="AJ23" s="13">
        <f t="shared" si="33"/>
        <v>71907.143151823431</v>
      </c>
      <c r="AK23" s="13">
        <f t="shared" si="33"/>
        <v>71763.328865516931</v>
      </c>
      <c r="AL23" s="13">
        <f t="shared" si="33"/>
        <v>71619.802207790315</v>
      </c>
      <c r="AM23" s="13">
        <f t="shared" si="33"/>
        <v>71476.562603369355</v>
      </c>
      <c r="AN23" s="13">
        <f t="shared" si="33"/>
        <v>71333.609478164464</v>
      </c>
      <c r="AO23" s="13">
        <f t="shared" ref="AO23:AQ23" si="34">SUM(AO21:AO22)</f>
        <v>71190.942259203643</v>
      </c>
      <c r="AP23" s="13">
        <f t="shared" si="34"/>
        <v>71048.560374688357</v>
      </c>
      <c r="AQ23" s="13">
        <f t="shared" si="34"/>
        <v>70906.463253941387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A0F-CBC7-4CA8-B726-A752A6EFF182}">
  <sheetPr>
    <tabColor theme="7" tint="0.59999389629810485"/>
  </sheetPr>
  <dimension ref="A1:AR78"/>
  <sheetViews>
    <sheetView zoomScaleNormal="100" workbookViewId="0"/>
  </sheetViews>
  <sheetFormatPr defaultColWidth="8.85546875" defaultRowHeight="11.25" x14ac:dyDescent="0.2"/>
  <cols>
    <col min="1" max="1" width="5.140625" style="2" customWidth="1"/>
    <col min="2" max="2" width="54.85546875" style="2" customWidth="1"/>
    <col min="3" max="3" width="12.85546875" style="2" customWidth="1"/>
    <col min="4" max="4" width="11.42578125" style="2" customWidth="1"/>
    <col min="5" max="5" width="11.140625" style="2" customWidth="1"/>
    <col min="6" max="7" width="13.85546875" style="2" bestFit="1" customWidth="1"/>
    <col min="8" max="8" width="15.5703125" style="2" bestFit="1" customWidth="1"/>
    <col min="9" max="9" width="10.85546875" style="2" customWidth="1"/>
    <col min="10" max="10" width="11.85546875" style="2" customWidth="1"/>
    <col min="11" max="11" width="11.5703125" style="2" customWidth="1"/>
    <col min="12" max="12" width="11.42578125" style="2" customWidth="1"/>
    <col min="13" max="13" width="10.85546875" style="2" customWidth="1"/>
    <col min="14" max="14" width="14.140625" style="2" customWidth="1"/>
    <col min="15" max="15" width="11" style="2" customWidth="1"/>
    <col min="16" max="16" width="10.5703125" style="2" customWidth="1"/>
    <col min="17" max="17" width="11" style="2" customWidth="1"/>
    <col min="18" max="19" width="12.85546875" style="2" customWidth="1"/>
    <col min="20" max="20" width="10.85546875" style="2" customWidth="1"/>
    <col min="21" max="21" width="11" style="2" customWidth="1"/>
    <col min="22" max="22" width="10.85546875" style="2" customWidth="1"/>
    <col min="23" max="23" width="11.140625" style="2" customWidth="1"/>
    <col min="24" max="24" width="10.42578125" style="2" customWidth="1"/>
    <col min="25" max="26" width="10.85546875" style="2" customWidth="1"/>
    <col min="27" max="27" width="12" style="2" customWidth="1"/>
    <col min="28" max="28" width="10.85546875" style="2" customWidth="1"/>
    <col min="29" max="29" width="11.140625" style="2" customWidth="1"/>
    <col min="30" max="30" width="10.42578125" style="2" customWidth="1"/>
    <col min="31" max="31" width="10.5703125" style="2" customWidth="1"/>
    <col min="32" max="32" width="10.42578125" style="2" customWidth="1"/>
    <col min="33" max="33" width="10.5703125" style="2" customWidth="1"/>
    <col min="34" max="34" width="10.42578125" style="2" customWidth="1"/>
    <col min="35" max="35" width="11.140625" style="2" customWidth="1"/>
    <col min="36" max="37" width="10.42578125" style="2" customWidth="1"/>
    <col min="38" max="38" width="10.140625" style="2" customWidth="1"/>
    <col min="39" max="39" width="11.140625" style="2" customWidth="1"/>
    <col min="40" max="41" width="10.42578125" style="2" customWidth="1"/>
    <col min="42" max="42" width="11.140625" style="2" customWidth="1"/>
    <col min="43" max="44" width="10.42578125" style="2" customWidth="1"/>
    <col min="45" max="16384" width="8.85546875" style="2"/>
  </cols>
  <sheetData>
    <row r="1" spans="1:44" ht="10.35" customHeight="1" thickBot="1" x14ac:dyDescent="0.25"/>
    <row r="2" spans="1:44" ht="24" customHeight="1" thickBot="1" x14ac:dyDescent="0.25">
      <c r="B2" s="15" t="s">
        <v>522</v>
      </c>
      <c r="C2" s="705" t="s">
        <v>521</v>
      </c>
      <c r="D2" s="706"/>
      <c r="E2" s="707" t="s">
        <v>523</v>
      </c>
      <c r="F2" s="708"/>
      <c r="G2" s="700" t="s">
        <v>682</v>
      </c>
      <c r="H2" s="700" t="s">
        <v>524</v>
      </c>
      <c r="I2" s="700" t="s">
        <v>683</v>
      </c>
      <c r="J2" s="700" t="s">
        <v>684</v>
      </c>
      <c r="K2" s="703" t="s">
        <v>525</v>
      </c>
      <c r="L2" s="700" t="s">
        <v>526</v>
      </c>
      <c r="M2" s="719" t="s">
        <v>527</v>
      </c>
      <c r="N2" s="721" t="s">
        <v>607</v>
      </c>
      <c r="O2" s="716" t="s">
        <v>569</v>
      </c>
      <c r="P2" s="719" t="s">
        <v>553</v>
      </c>
      <c r="Q2" s="721" t="s">
        <v>554</v>
      </c>
      <c r="R2" s="716" t="s">
        <v>570</v>
      </c>
    </row>
    <row r="3" spans="1:44" ht="12.6" customHeight="1" x14ac:dyDescent="0.2">
      <c r="B3" s="709" t="s">
        <v>528</v>
      </c>
      <c r="C3" s="711">
        <v>2024</v>
      </c>
      <c r="D3" s="713">
        <v>2025</v>
      </c>
      <c r="E3" s="711">
        <v>2024</v>
      </c>
      <c r="F3" s="715">
        <v>2025</v>
      </c>
      <c r="G3" s="701"/>
      <c r="H3" s="701"/>
      <c r="I3" s="701"/>
      <c r="J3" s="701"/>
      <c r="K3" s="704"/>
      <c r="L3" s="701"/>
      <c r="M3" s="720"/>
      <c r="N3" s="722"/>
      <c r="O3" s="717"/>
      <c r="P3" s="720"/>
      <c r="Q3" s="722"/>
      <c r="R3" s="717"/>
    </row>
    <row r="4" spans="1:44" ht="44.1" customHeight="1" thickBot="1" x14ac:dyDescent="0.25">
      <c r="B4" s="710"/>
      <c r="C4" s="712"/>
      <c r="D4" s="714"/>
      <c r="E4" s="712"/>
      <c r="F4" s="713"/>
      <c r="G4" s="702"/>
      <c r="H4" s="702"/>
      <c r="I4" s="702"/>
      <c r="J4" s="702"/>
      <c r="K4" s="704"/>
      <c r="L4" s="701"/>
      <c r="M4" s="720"/>
      <c r="N4" s="722"/>
      <c r="O4" s="717"/>
      <c r="P4" s="720"/>
      <c r="Q4" s="722"/>
      <c r="R4" s="718"/>
    </row>
    <row r="5" spans="1:44" ht="22.5" customHeight="1" thickBot="1" x14ac:dyDescent="0.25">
      <c r="A5" s="537"/>
      <c r="B5" s="538" t="s">
        <v>685</v>
      </c>
      <c r="C5" s="518">
        <v>6935020.8890547836</v>
      </c>
      <c r="D5" s="519">
        <f>4227965.54281588*2.4</f>
        <v>10147117.302758111</v>
      </c>
      <c r="E5" s="539">
        <v>20200121.600114979</v>
      </c>
      <c r="F5" s="540">
        <f>13377052.9899529*2.4</f>
        <v>32104927.175886959</v>
      </c>
      <c r="G5" s="541">
        <f>550748627.977737*2.4</f>
        <v>1321796707.1465685</v>
      </c>
      <c r="H5" s="542">
        <v>552</v>
      </c>
      <c r="I5" s="542">
        <v>106</v>
      </c>
      <c r="J5" s="543">
        <v>49</v>
      </c>
      <c r="K5" s="544">
        <f>G5/D5</f>
        <v>130.26327258356301</v>
      </c>
      <c r="L5" s="545">
        <f>F5/D5</f>
        <v>3.1639456032661064</v>
      </c>
      <c r="M5" s="546">
        <f>F5/G5</f>
        <v>2.4288853953338664E-2</v>
      </c>
      <c r="N5" s="408">
        <v>81.537999999999997</v>
      </c>
      <c r="O5" s="545">
        <f>K5/N5</f>
        <v>1.5975774802369818</v>
      </c>
      <c r="P5" s="547">
        <f>Vstupy!B43</f>
        <v>2.23</v>
      </c>
      <c r="Q5" s="548">
        <v>4.0000000000000001E-3</v>
      </c>
      <c r="R5" s="545">
        <f>O5</f>
        <v>1.5975774802369818</v>
      </c>
    </row>
    <row r="6" spans="1:44" x14ac:dyDescent="0.2">
      <c r="B6" s="15"/>
      <c r="C6" s="15"/>
      <c r="D6" s="15"/>
      <c r="E6" s="15"/>
      <c r="F6" s="15"/>
      <c r="G6" s="15"/>
      <c r="H6" s="15"/>
    </row>
    <row r="7" spans="1:44" x14ac:dyDescent="0.2">
      <c r="D7" s="14"/>
      <c r="H7" s="353"/>
    </row>
    <row r="8" spans="1:44" x14ac:dyDescent="0.2">
      <c r="B8" s="3"/>
      <c r="C8" s="3"/>
      <c r="D8" s="3" t="s">
        <v>10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">
      <c r="B9" s="4" t="s">
        <v>529</v>
      </c>
      <c r="C9" s="4"/>
      <c r="D9" s="5">
        <v>0</v>
      </c>
      <c r="E9" s="5">
        <v>1</v>
      </c>
      <c r="F9" s="5">
        <v>2</v>
      </c>
      <c r="G9" s="5">
        <v>3</v>
      </c>
      <c r="H9" s="5">
        <v>4</v>
      </c>
      <c r="I9" s="5">
        <v>5</v>
      </c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11</v>
      </c>
      <c r="P9" s="5">
        <v>12</v>
      </c>
      <c r="Q9" s="5">
        <v>13</v>
      </c>
      <c r="R9" s="5">
        <v>14</v>
      </c>
      <c r="S9" s="5">
        <v>15</v>
      </c>
      <c r="T9" s="5">
        <v>16</v>
      </c>
      <c r="U9" s="5">
        <v>17</v>
      </c>
      <c r="V9" s="5">
        <v>18</v>
      </c>
      <c r="W9" s="5">
        <v>19</v>
      </c>
      <c r="X9" s="5">
        <v>20</v>
      </c>
      <c r="Y9" s="5">
        <v>21</v>
      </c>
      <c r="Z9" s="5">
        <v>22</v>
      </c>
      <c r="AA9" s="5">
        <v>23</v>
      </c>
      <c r="AB9" s="5">
        <v>24</v>
      </c>
      <c r="AC9" s="5">
        <v>25</v>
      </c>
      <c r="AD9" s="5">
        <v>26</v>
      </c>
      <c r="AE9" s="5">
        <v>27</v>
      </c>
      <c r="AF9" s="5">
        <v>28</v>
      </c>
      <c r="AG9" s="5">
        <v>29</v>
      </c>
      <c r="AH9" s="5">
        <v>30</v>
      </c>
      <c r="AI9" s="5">
        <v>31</v>
      </c>
      <c r="AJ9" s="5">
        <v>32</v>
      </c>
      <c r="AK9" s="5">
        <v>33</v>
      </c>
      <c r="AL9" s="5">
        <v>34</v>
      </c>
      <c r="AM9" s="5">
        <v>35</v>
      </c>
      <c r="AN9" s="5">
        <v>36</v>
      </c>
      <c r="AO9" s="5">
        <v>37</v>
      </c>
      <c r="AP9" s="5">
        <v>38</v>
      </c>
      <c r="AQ9" s="5">
        <v>39</v>
      </c>
      <c r="AR9" s="5">
        <v>40</v>
      </c>
    </row>
    <row r="10" spans="1:44" ht="12" thickBot="1" x14ac:dyDescent="0.25">
      <c r="B10" s="6" t="s">
        <v>33</v>
      </c>
      <c r="C10" s="354" t="s">
        <v>9</v>
      </c>
      <c r="D10" s="751">
        <v>2025</v>
      </c>
      <c r="E10" s="7">
        <f>$D$10+E9</f>
        <v>2026</v>
      </c>
      <c r="F10" s="7">
        <f t="shared" ref="F10:AR10" si="0">$D$10+F9</f>
        <v>2027</v>
      </c>
      <c r="G10" s="7">
        <f t="shared" si="0"/>
        <v>2028</v>
      </c>
      <c r="H10" s="7">
        <f t="shared" si="0"/>
        <v>2029</v>
      </c>
      <c r="I10" s="7">
        <f t="shared" si="0"/>
        <v>2030</v>
      </c>
      <c r="J10" s="7">
        <f t="shared" si="0"/>
        <v>2031</v>
      </c>
      <c r="K10" s="7">
        <f t="shared" si="0"/>
        <v>2032</v>
      </c>
      <c r="L10" s="7">
        <f t="shared" si="0"/>
        <v>2033</v>
      </c>
      <c r="M10" s="7">
        <f t="shared" si="0"/>
        <v>2034</v>
      </c>
      <c r="N10" s="7">
        <f t="shared" si="0"/>
        <v>2035</v>
      </c>
      <c r="O10" s="7">
        <f t="shared" si="0"/>
        <v>2036</v>
      </c>
      <c r="P10" s="7">
        <f t="shared" si="0"/>
        <v>2037</v>
      </c>
      <c r="Q10" s="7">
        <f t="shared" si="0"/>
        <v>2038</v>
      </c>
      <c r="R10" s="7">
        <f t="shared" si="0"/>
        <v>2039</v>
      </c>
      <c r="S10" s="7">
        <f t="shared" si="0"/>
        <v>2040</v>
      </c>
      <c r="T10" s="7">
        <f t="shared" si="0"/>
        <v>2041</v>
      </c>
      <c r="U10" s="7">
        <f t="shared" si="0"/>
        <v>2042</v>
      </c>
      <c r="V10" s="7">
        <f t="shared" si="0"/>
        <v>2043</v>
      </c>
      <c r="W10" s="7">
        <f t="shared" si="0"/>
        <v>2044</v>
      </c>
      <c r="X10" s="7">
        <f t="shared" si="0"/>
        <v>2045</v>
      </c>
      <c r="Y10" s="7">
        <f t="shared" si="0"/>
        <v>2046</v>
      </c>
      <c r="Z10" s="7">
        <f t="shared" si="0"/>
        <v>2047</v>
      </c>
      <c r="AA10" s="7">
        <f t="shared" si="0"/>
        <v>2048</v>
      </c>
      <c r="AB10" s="7">
        <f t="shared" si="0"/>
        <v>2049</v>
      </c>
      <c r="AC10" s="7">
        <f t="shared" si="0"/>
        <v>2050</v>
      </c>
      <c r="AD10" s="7">
        <f t="shared" si="0"/>
        <v>2051</v>
      </c>
      <c r="AE10" s="7">
        <f t="shared" si="0"/>
        <v>2052</v>
      </c>
      <c r="AF10" s="7">
        <f t="shared" si="0"/>
        <v>2053</v>
      </c>
      <c r="AG10" s="7">
        <f t="shared" si="0"/>
        <v>2054</v>
      </c>
      <c r="AH10" s="7">
        <f t="shared" si="0"/>
        <v>2055</v>
      </c>
      <c r="AI10" s="7">
        <f t="shared" si="0"/>
        <v>2056</v>
      </c>
      <c r="AJ10" s="7">
        <f t="shared" si="0"/>
        <v>2057</v>
      </c>
      <c r="AK10" s="7">
        <f t="shared" si="0"/>
        <v>2058</v>
      </c>
      <c r="AL10" s="7">
        <f t="shared" si="0"/>
        <v>2059</v>
      </c>
      <c r="AM10" s="7">
        <f t="shared" si="0"/>
        <v>2060</v>
      </c>
      <c r="AN10" s="7">
        <f t="shared" si="0"/>
        <v>2061</v>
      </c>
      <c r="AO10" s="7">
        <f t="shared" si="0"/>
        <v>2062</v>
      </c>
      <c r="AP10" s="7">
        <f t="shared" si="0"/>
        <v>2063</v>
      </c>
      <c r="AQ10" s="7">
        <f t="shared" si="0"/>
        <v>2064</v>
      </c>
      <c r="AR10" s="7">
        <f t="shared" si="0"/>
        <v>2065</v>
      </c>
    </row>
    <row r="11" spans="1:44" ht="13.35" customHeight="1" x14ac:dyDescent="0.2">
      <c r="B11" s="349" t="s">
        <v>685</v>
      </c>
      <c r="C11" s="284">
        <f>SUM(E11:AR11)</f>
        <v>225973232.80036795</v>
      </c>
      <c r="D11" s="750">
        <f>D5/2</f>
        <v>5073558.6513790553</v>
      </c>
      <c r="E11" s="9">
        <f>D11*1.01</f>
        <v>5124294.2378928456</v>
      </c>
      <c r="F11" s="9">
        <f t="shared" ref="F11:S11" si="1">E11*1.01</f>
        <v>5175537.1802717745</v>
      </c>
      <c r="G11" s="9">
        <f t="shared" si="1"/>
        <v>5227292.552074492</v>
      </c>
      <c r="H11" s="9">
        <f t="shared" si="1"/>
        <v>5279565.4775952371</v>
      </c>
      <c r="I11" s="9">
        <f t="shared" si="1"/>
        <v>5332361.1323711891</v>
      </c>
      <c r="J11" s="9">
        <f t="shared" si="1"/>
        <v>5385684.7436949015</v>
      </c>
      <c r="K11" s="9">
        <f t="shared" si="1"/>
        <v>5439541.5911318501</v>
      </c>
      <c r="L11" s="9">
        <f t="shared" si="1"/>
        <v>5493937.0070431689</v>
      </c>
      <c r="M11" s="9">
        <f t="shared" si="1"/>
        <v>5548876.3771136003</v>
      </c>
      <c r="N11" s="9">
        <f t="shared" si="1"/>
        <v>5604365.1408847366</v>
      </c>
      <c r="O11" s="9">
        <f t="shared" si="1"/>
        <v>5660408.792293584</v>
      </c>
      <c r="P11" s="9">
        <f t="shared" si="1"/>
        <v>5717012.8802165203</v>
      </c>
      <c r="Q11" s="9">
        <f t="shared" si="1"/>
        <v>5774183.0090186857</v>
      </c>
      <c r="R11" s="9">
        <f t="shared" si="1"/>
        <v>5831924.8391088722</v>
      </c>
      <c r="S11" s="9">
        <f t="shared" si="1"/>
        <v>5890244.0874999613</v>
      </c>
      <c r="T11" s="9">
        <f>S11*0.998</f>
        <v>5878463.5993249612</v>
      </c>
      <c r="U11" s="9">
        <f t="shared" ref="U11:AR11" si="2">T11*0.998</f>
        <v>5866706.6721263109</v>
      </c>
      <c r="V11" s="9">
        <f t="shared" si="2"/>
        <v>5854973.258782058</v>
      </c>
      <c r="W11" s="9">
        <f t="shared" si="2"/>
        <v>5843263.3122644937</v>
      </c>
      <c r="X11" s="9">
        <f t="shared" si="2"/>
        <v>5831576.785639965</v>
      </c>
      <c r="Y11" s="9">
        <f t="shared" si="2"/>
        <v>5819913.6320686853</v>
      </c>
      <c r="Z11" s="9">
        <f t="shared" si="2"/>
        <v>5808273.8048045477</v>
      </c>
      <c r="AA11" s="9">
        <f t="shared" si="2"/>
        <v>5796657.2571949381</v>
      </c>
      <c r="AB11" s="9">
        <f t="shared" si="2"/>
        <v>5785063.9426805479</v>
      </c>
      <c r="AC11" s="9">
        <f t="shared" si="2"/>
        <v>5773493.8147951867</v>
      </c>
      <c r="AD11" s="9">
        <f t="shared" si="2"/>
        <v>5761946.8271655962</v>
      </c>
      <c r="AE11" s="9">
        <f t="shared" si="2"/>
        <v>5750422.9335112646</v>
      </c>
      <c r="AF11" s="9">
        <f t="shared" si="2"/>
        <v>5738922.0876442418</v>
      </c>
      <c r="AG11" s="9">
        <f t="shared" si="2"/>
        <v>5727444.2434689533</v>
      </c>
      <c r="AH11" s="9">
        <f t="shared" si="2"/>
        <v>5715989.3549820157</v>
      </c>
      <c r="AI11" s="9">
        <f t="shared" si="2"/>
        <v>5704557.3762720516</v>
      </c>
      <c r="AJ11" s="9">
        <f t="shared" si="2"/>
        <v>5693148.2615195075</v>
      </c>
      <c r="AK11" s="9">
        <f t="shared" si="2"/>
        <v>5681761.9649964683</v>
      </c>
      <c r="AL11" s="9">
        <f t="shared" si="2"/>
        <v>5670398.4410664756</v>
      </c>
      <c r="AM11" s="9">
        <f t="shared" si="2"/>
        <v>5659057.6441843426</v>
      </c>
      <c r="AN11" s="9">
        <f t="shared" si="2"/>
        <v>5647739.5288959742</v>
      </c>
      <c r="AO11" s="9">
        <f t="shared" si="2"/>
        <v>5636444.0498381825</v>
      </c>
      <c r="AP11" s="9">
        <f t="shared" si="2"/>
        <v>5625171.1617385065</v>
      </c>
      <c r="AQ11" s="9">
        <f t="shared" si="2"/>
        <v>5613920.8194150291</v>
      </c>
      <c r="AR11" s="9">
        <f t="shared" si="2"/>
        <v>5602692.9777761986</v>
      </c>
    </row>
    <row r="14" spans="1:44" x14ac:dyDescent="0.2">
      <c r="B14" s="3"/>
      <c r="C14" s="3"/>
      <c r="D14" s="3" t="s">
        <v>10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">
      <c r="B15" s="4" t="s">
        <v>530</v>
      </c>
      <c r="C15" s="4"/>
      <c r="D15" s="5">
        <v>0</v>
      </c>
      <c r="E15" s="5">
        <v>1</v>
      </c>
      <c r="F15" s="5">
        <v>2</v>
      </c>
      <c r="G15" s="5">
        <v>3</v>
      </c>
      <c r="H15" s="5">
        <v>4</v>
      </c>
      <c r="I15" s="5">
        <v>5</v>
      </c>
      <c r="J15" s="5">
        <v>6</v>
      </c>
      <c r="K15" s="5">
        <v>7</v>
      </c>
      <c r="L15" s="5">
        <v>8</v>
      </c>
      <c r="M15" s="5">
        <v>9</v>
      </c>
      <c r="N15" s="5">
        <v>10</v>
      </c>
      <c r="O15" s="5">
        <v>11</v>
      </c>
      <c r="P15" s="5">
        <v>12</v>
      </c>
      <c r="Q15" s="5">
        <v>13</v>
      </c>
      <c r="R15" s="5">
        <v>14</v>
      </c>
      <c r="S15" s="5">
        <v>15</v>
      </c>
      <c r="T15" s="5">
        <v>16</v>
      </c>
      <c r="U15" s="5">
        <v>17</v>
      </c>
      <c r="V15" s="5">
        <v>18</v>
      </c>
      <c r="W15" s="5">
        <v>19</v>
      </c>
      <c r="X15" s="5">
        <v>20</v>
      </c>
      <c r="Y15" s="5">
        <v>21</v>
      </c>
      <c r="Z15" s="5">
        <v>22</v>
      </c>
      <c r="AA15" s="5">
        <v>23</v>
      </c>
      <c r="AB15" s="5">
        <v>24</v>
      </c>
      <c r="AC15" s="5">
        <v>25</v>
      </c>
      <c r="AD15" s="5">
        <v>26</v>
      </c>
      <c r="AE15" s="5">
        <v>27</v>
      </c>
      <c r="AF15" s="5">
        <v>28</v>
      </c>
      <c r="AG15" s="5">
        <v>29</v>
      </c>
      <c r="AH15" s="5">
        <v>30</v>
      </c>
      <c r="AI15" s="5">
        <v>31</v>
      </c>
      <c r="AJ15" s="5">
        <v>32</v>
      </c>
      <c r="AK15" s="5">
        <v>33</v>
      </c>
      <c r="AL15" s="5">
        <v>34</v>
      </c>
      <c r="AM15" s="5">
        <v>35</v>
      </c>
      <c r="AN15" s="5">
        <v>36</v>
      </c>
      <c r="AO15" s="5">
        <v>37</v>
      </c>
      <c r="AP15" s="5">
        <v>38</v>
      </c>
      <c r="AQ15" s="5">
        <v>39</v>
      </c>
      <c r="AR15" s="5">
        <v>40</v>
      </c>
    </row>
    <row r="16" spans="1:44" ht="12" thickBot="1" x14ac:dyDescent="0.25">
      <c r="B16" s="350" t="s">
        <v>33</v>
      </c>
      <c r="C16" s="6" t="s">
        <v>9</v>
      </c>
      <c r="D16" s="751">
        <v>2025</v>
      </c>
      <c r="E16" s="356">
        <f>$D$10+E15</f>
        <v>2026</v>
      </c>
      <c r="F16" s="356">
        <f t="shared" ref="F16:AR16" si="3">$D$10+F15</f>
        <v>2027</v>
      </c>
      <c r="G16" s="356">
        <f t="shared" si="3"/>
        <v>2028</v>
      </c>
      <c r="H16" s="356">
        <f t="shared" si="3"/>
        <v>2029</v>
      </c>
      <c r="I16" s="356">
        <f t="shared" si="3"/>
        <v>2030</v>
      </c>
      <c r="J16" s="356">
        <f t="shared" si="3"/>
        <v>2031</v>
      </c>
      <c r="K16" s="356">
        <f t="shared" si="3"/>
        <v>2032</v>
      </c>
      <c r="L16" s="356">
        <f t="shared" si="3"/>
        <v>2033</v>
      </c>
      <c r="M16" s="356">
        <f t="shared" si="3"/>
        <v>2034</v>
      </c>
      <c r="N16" s="356">
        <f t="shared" si="3"/>
        <v>2035</v>
      </c>
      <c r="O16" s="356">
        <f t="shared" si="3"/>
        <v>2036</v>
      </c>
      <c r="P16" s="356">
        <f t="shared" si="3"/>
        <v>2037</v>
      </c>
      <c r="Q16" s="356">
        <f t="shared" si="3"/>
        <v>2038</v>
      </c>
      <c r="R16" s="356">
        <f t="shared" si="3"/>
        <v>2039</v>
      </c>
      <c r="S16" s="356">
        <f t="shared" si="3"/>
        <v>2040</v>
      </c>
      <c r="T16" s="356">
        <f t="shared" si="3"/>
        <v>2041</v>
      </c>
      <c r="U16" s="356">
        <f t="shared" si="3"/>
        <v>2042</v>
      </c>
      <c r="V16" s="356">
        <f t="shared" si="3"/>
        <v>2043</v>
      </c>
      <c r="W16" s="356">
        <f t="shared" si="3"/>
        <v>2044</v>
      </c>
      <c r="X16" s="356">
        <f t="shared" si="3"/>
        <v>2045</v>
      </c>
      <c r="Y16" s="356">
        <f t="shared" si="3"/>
        <v>2046</v>
      </c>
      <c r="Z16" s="356">
        <f t="shared" si="3"/>
        <v>2047</v>
      </c>
      <c r="AA16" s="356">
        <f t="shared" si="3"/>
        <v>2048</v>
      </c>
      <c r="AB16" s="356">
        <f t="shared" si="3"/>
        <v>2049</v>
      </c>
      <c r="AC16" s="356">
        <f t="shared" si="3"/>
        <v>2050</v>
      </c>
      <c r="AD16" s="356">
        <f t="shared" si="3"/>
        <v>2051</v>
      </c>
      <c r="AE16" s="356">
        <f t="shared" si="3"/>
        <v>2052</v>
      </c>
      <c r="AF16" s="356">
        <f t="shared" si="3"/>
        <v>2053</v>
      </c>
      <c r="AG16" s="356">
        <f t="shared" si="3"/>
        <v>2054</v>
      </c>
      <c r="AH16" s="356">
        <f t="shared" si="3"/>
        <v>2055</v>
      </c>
      <c r="AI16" s="356">
        <f t="shared" si="3"/>
        <v>2056</v>
      </c>
      <c r="AJ16" s="356">
        <f t="shared" si="3"/>
        <v>2057</v>
      </c>
      <c r="AK16" s="356">
        <f t="shared" si="3"/>
        <v>2058</v>
      </c>
      <c r="AL16" s="356">
        <f t="shared" si="3"/>
        <v>2059</v>
      </c>
      <c r="AM16" s="356">
        <f t="shared" si="3"/>
        <v>2060</v>
      </c>
      <c r="AN16" s="356">
        <f t="shared" si="3"/>
        <v>2061</v>
      </c>
      <c r="AO16" s="356">
        <f t="shared" si="3"/>
        <v>2062</v>
      </c>
      <c r="AP16" s="356">
        <f t="shared" si="3"/>
        <v>2063</v>
      </c>
      <c r="AQ16" s="356">
        <f t="shared" si="3"/>
        <v>2064</v>
      </c>
      <c r="AR16" s="356">
        <f t="shared" si="3"/>
        <v>2065</v>
      </c>
    </row>
    <row r="17" spans="1:44" x14ac:dyDescent="0.2">
      <c r="B17" s="349" t="s">
        <v>685</v>
      </c>
      <c r="C17" s="284">
        <f>SUM(E17:AR17)</f>
        <v>714967016.37455261</v>
      </c>
      <c r="D17" s="750">
        <f>D11*$K$5*$M$5</f>
        <v>16052463.587943479</v>
      </c>
      <c r="E17" s="9">
        <f t="shared" ref="E17:AR17" si="4">E11*$K$5*$M$5</f>
        <v>16212988.223822912</v>
      </c>
      <c r="F17" s="9">
        <f t="shared" si="4"/>
        <v>16375118.106061142</v>
      </c>
      <c r="G17" s="9">
        <f t="shared" si="4"/>
        <v>16538869.287121752</v>
      </c>
      <c r="H17" s="9">
        <f t="shared" si="4"/>
        <v>16704257.979992973</v>
      </c>
      <c r="I17" s="9">
        <f t="shared" si="4"/>
        <v>16871300.559792899</v>
      </c>
      <c r="J17" s="9">
        <f t="shared" si="4"/>
        <v>17040013.565390829</v>
      </c>
      <c r="K17" s="9">
        <f t="shared" si="4"/>
        <v>17210413.701044738</v>
      </c>
      <c r="L17" s="9">
        <f t="shared" si="4"/>
        <v>17382517.838055186</v>
      </c>
      <c r="M17" s="9">
        <f t="shared" si="4"/>
        <v>17556343.016435739</v>
      </c>
      <c r="N17" s="9">
        <f t="shared" si="4"/>
        <v>17731906.446600094</v>
      </c>
      <c r="O17" s="9">
        <f t="shared" si="4"/>
        <v>17909225.511066094</v>
      </c>
      <c r="P17" s="9">
        <f t="shared" si="4"/>
        <v>18088317.766176756</v>
      </c>
      <c r="Q17" s="9">
        <f t="shared" si="4"/>
        <v>18269200.943838526</v>
      </c>
      <c r="R17" s="9">
        <f t="shared" si="4"/>
        <v>18451892.95327691</v>
      </c>
      <c r="S17" s="9">
        <f t="shared" si="4"/>
        <v>18636411.88280968</v>
      </c>
      <c r="T17" s="9">
        <f t="shared" si="4"/>
        <v>18599139.059044059</v>
      </c>
      <c r="U17" s="9">
        <f t="shared" si="4"/>
        <v>18561940.780925971</v>
      </c>
      <c r="V17" s="9">
        <f t="shared" si="4"/>
        <v>18524816.899364118</v>
      </c>
      <c r="W17" s="9">
        <f t="shared" si="4"/>
        <v>18487767.265565388</v>
      </c>
      <c r="X17" s="9">
        <f t="shared" si="4"/>
        <v>18450791.73103426</v>
      </c>
      <c r="Y17" s="9">
        <f t="shared" si="4"/>
        <v>18413890.147572193</v>
      </c>
      <c r="Z17" s="9">
        <f t="shared" si="4"/>
        <v>18377062.367277049</v>
      </c>
      <c r="AA17" s="9">
        <f t="shared" si="4"/>
        <v>18340308.24254249</v>
      </c>
      <c r="AB17" s="9">
        <f t="shared" si="4"/>
        <v>18303627.626057405</v>
      </c>
      <c r="AC17" s="9">
        <f t="shared" si="4"/>
        <v>18267020.370805293</v>
      </c>
      <c r="AD17" s="9">
        <f t="shared" si="4"/>
        <v>18230486.330063682</v>
      </c>
      <c r="AE17" s="9">
        <f t="shared" si="4"/>
        <v>18194025.35740355</v>
      </c>
      <c r="AF17" s="9">
        <f t="shared" si="4"/>
        <v>18157637.306688741</v>
      </c>
      <c r="AG17" s="9">
        <f t="shared" si="4"/>
        <v>18121322.032075368</v>
      </c>
      <c r="AH17" s="9">
        <f t="shared" si="4"/>
        <v>18085079.388011217</v>
      </c>
      <c r="AI17" s="9">
        <f t="shared" si="4"/>
        <v>18048909.229235195</v>
      </c>
      <c r="AJ17" s="9">
        <f t="shared" si="4"/>
        <v>18012811.410776723</v>
      </c>
      <c r="AK17" s="9">
        <f t="shared" si="4"/>
        <v>17976785.787955169</v>
      </c>
      <c r="AL17" s="9">
        <f t="shared" si="4"/>
        <v>17940832.216379259</v>
      </c>
      <c r="AM17" s="9">
        <f t="shared" si="4"/>
        <v>17904950.551946498</v>
      </c>
      <c r="AN17" s="9">
        <f t="shared" si="4"/>
        <v>17869140.650842611</v>
      </c>
      <c r="AO17" s="9">
        <f t="shared" si="4"/>
        <v>17833402.369540922</v>
      </c>
      <c r="AP17" s="9">
        <f t="shared" si="4"/>
        <v>17797735.564801846</v>
      </c>
      <c r="AQ17" s="9">
        <f t="shared" si="4"/>
        <v>17762140.093672238</v>
      </c>
      <c r="AR17" s="9">
        <f t="shared" si="4"/>
        <v>17726615.813484892</v>
      </c>
    </row>
    <row r="19" spans="1:44" x14ac:dyDescent="0.2">
      <c r="A19" s="357"/>
    </row>
    <row r="20" spans="1:44" x14ac:dyDescent="0.2">
      <c r="A20" s="357"/>
      <c r="B20" s="3"/>
      <c r="C20" s="3"/>
      <c r="D20" s="3" t="s">
        <v>10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2">
      <c r="A21" s="357"/>
      <c r="B21" s="4" t="s">
        <v>555</v>
      </c>
      <c r="C21" s="4"/>
      <c r="D21" s="5">
        <v>0</v>
      </c>
      <c r="E21" s="5">
        <v>1</v>
      </c>
      <c r="F21" s="5">
        <v>2</v>
      </c>
      <c r="G21" s="5">
        <v>3</v>
      </c>
      <c r="H21" s="5">
        <v>4</v>
      </c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5">
        <v>12</v>
      </c>
      <c r="Q21" s="5">
        <v>13</v>
      </c>
      <c r="R21" s="5">
        <v>14</v>
      </c>
      <c r="S21" s="5">
        <v>15</v>
      </c>
      <c r="T21" s="5">
        <v>16</v>
      </c>
      <c r="U21" s="5">
        <v>17</v>
      </c>
      <c r="V21" s="5">
        <v>18</v>
      </c>
      <c r="W21" s="5">
        <v>19</v>
      </c>
      <c r="X21" s="5">
        <v>20</v>
      </c>
      <c r="Y21" s="5">
        <v>21</v>
      </c>
      <c r="Z21" s="5">
        <v>22</v>
      </c>
      <c r="AA21" s="5">
        <v>23</v>
      </c>
      <c r="AB21" s="5">
        <v>24</v>
      </c>
      <c r="AC21" s="5">
        <v>25</v>
      </c>
      <c r="AD21" s="5">
        <v>26</v>
      </c>
      <c r="AE21" s="5">
        <v>27</v>
      </c>
      <c r="AF21" s="5">
        <v>28</v>
      </c>
      <c r="AG21" s="5">
        <v>29</v>
      </c>
      <c r="AH21" s="5">
        <v>30</v>
      </c>
      <c r="AI21" s="5">
        <v>31</v>
      </c>
      <c r="AJ21" s="5">
        <v>32</v>
      </c>
      <c r="AK21" s="5">
        <v>33</v>
      </c>
      <c r="AL21" s="5">
        <v>34</v>
      </c>
      <c r="AM21" s="5">
        <v>35</v>
      </c>
      <c r="AN21" s="5">
        <v>36</v>
      </c>
      <c r="AO21" s="5">
        <v>37</v>
      </c>
      <c r="AP21" s="5">
        <v>38</v>
      </c>
      <c r="AQ21" s="5">
        <v>39</v>
      </c>
      <c r="AR21" s="5">
        <v>40</v>
      </c>
    </row>
    <row r="22" spans="1:44" ht="12" thickBot="1" x14ac:dyDescent="0.25">
      <c r="A22" s="357"/>
      <c r="B22" s="6" t="s">
        <v>33</v>
      </c>
      <c r="C22" s="354" t="s">
        <v>9</v>
      </c>
      <c r="D22" s="751">
        <v>2025</v>
      </c>
      <c r="E22" s="7">
        <f>$D$10+E21</f>
        <v>2026</v>
      </c>
      <c r="F22" s="7">
        <f t="shared" ref="F22:AR22" si="5">$D$10+F21</f>
        <v>2027</v>
      </c>
      <c r="G22" s="7">
        <f t="shared" si="5"/>
        <v>2028</v>
      </c>
      <c r="H22" s="7">
        <f t="shared" si="5"/>
        <v>2029</v>
      </c>
      <c r="I22" s="7">
        <f t="shared" si="5"/>
        <v>2030</v>
      </c>
      <c r="J22" s="7">
        <f t="shared" si="5"/>
        <v>2031</v>
      </c>
      <c r="K22" s="7">
        <f t="shared" si="5"/>
        <v>2032</v>
      </c>
      <c r="L22" s="7">
        <f t="shared" si="5"/>
        <v>2033</v>
      </c>
      <c r="M22" s="7">
        <f t="shared" si="5"/>
        <v>2034</v>
      </c>
      <c r="N22" s="7">
        <f t="shared" si="5"/>
        <v>2035</v>
      </c>
      <c r="O22" s="7">
        <f t="shared" si="5"/>
        <v>2036</v>
      </c>
      <c r="P22" s="7">
        <f t="shared" si="5"/>
        <v>2037</v>
      </c>
      <c r="Q22" s="7">
        <f t="shared" si="5"/>
        <v>2038</v>
      </c>
      <c r="R22" s="7">
        <f t="shared" si="5"/>
        <v>2039</v>
      </c>
      <c r="S22" s="7">
        <f t="shared" si="5"/>
        <v>2040</v>
      </c>
      <c r="T22" s="7">
        <f t="shared" si="5"/>
        <v>2041</v>
      </c>
      <c r="U22" s="7">
        <f t="shared" si="5"/>
        <v>2042</v>
      </c>
      <c r="V22" s="7">
        <f t="shared" si="5"/>
        <v>2043</v>
      </c>
      <c r="W22" s="7">
        <f t="shared" si="5"/>
        <v>2044</v>
      </c>
      <c r="X22" s="7">
        <f t="shared" si="5"/>
        <v>2045</v>
      </c>
      <c r="Y22" s="7">
        <f t="shared" si="5"/>
        <v>2046</v>
      </c>
      <c r="Z22" s="7">
        <f t="shared" si="5"/>
        <v>2047</v>
      </c>
      <c r="AA22" s="7">
        <f t="shared" si="5"/>
        <v>2048</v>
      </c>
      <c r="AB22" s="7">
        <f t="shared" si="5"/>
        <v>2049</v>
      </c>
      <c r="AC22" s="7">
        <f t="shared" si="5"/>
        <v>2050</v>
      </c>
      <c r="AD22" s="7">
        <f t="shared" si="5"/>
        <v>2051</v>
      </c>
      <c r="AE22" s="7">
        <f t="shared" si="5"/>
        <v>2052</v>
      </c>
      <c r="AF22" s="7">
        <f t="shared" si="5"/>
        <v>2053</v>
      </c>
      <c r="AG22" s="7">
        <f t="shared" si="5"/>
        <v>2054</v>
      </c>
      <c r="AH22" s="7">
        <f t="shared" si="5"/>
        <v>2055</v>
      </c>
      <c r="AI22" s="7">
        <f t="shared" si="5"/>
        <v>2056</v>
      </c>
      <c r="AJ22" s="7">
        <f t="shared" si="5"/>
        <v>2057</v>
      </c>
      <c r="AK22" s="7">
        <f t="shared" si="5"/>
        <v>2058</v>
      </c>
      <c r="AL22" s="7">
        <f t="shared" si="5"/>
        <v>2059</v>
      </c>
      <c r="AM22" s="7">
        <f t="shared" si="5"/>
        <v>2060</v>
      </c>
      <c r="AN22" s="7">
        <f t="shared" si="5"/>
        <v>2061</v>
      </c>
      <c r="AO22" s="7">
        <f t="shared" si="5"/>
        <v>2062</v>
      </c>
      <c r="AP22" s="7">
        <f t="shared" si="5"/>
        <v>2063</v>
      </c>
      <c r="AQ22" s="7">
        <f t="shared" si="5"/>
        <v>2064</v>
      </c>
      <c r="AR22" s="7">
        <f t="shared" si="5"/>
        <v>2065</v>
      </c>
    </row>
    <row r="23" spans="1:44" x14ac:dyDescent="0.2">
      <c r="A23" s="357"/>
      <c r="B23" s="349" t="s">
        <v>685</v>
      </c>
      <c r="C23" s="284">
        <f>SUM(E23:AR23)</f>
        <v>29436012820.863262</v>
      </c>
      <c r="D23" s="355"/>
      <c r="E23" s="9">
        <f>E11*$K$5</f>
        <v>667507337.10901701</v>
      </c>
      <c r="F23" s="9">
        <f t="shared" ref="F23:AR23" si="6">F11*$K$5</f>
        <v>674182410.48010719</v>
      </c>
      <c r="G23" s="9">
        <f t="shared" si="6"/>
        <v>680924234.58490825</v>
      </c>
      <c r="H23" s="9">
        <f t="shared" si="6"/>
        <v>687733476.9307574</v>
      </c>
      <c r="I23" s="9">
        <f t="shared" si="6"/>
        <v>694610811.7000649</v>
      </c>
      <c r="J23" s="9">
        <f t="shared" si="6"/>
        <v>701556919.8170656</v>
      </c>
      <c r="K23" s="9">
        <f t="shared" si="6"/>
        <v>708572489.01523626</v>
      </c>
      <c r="L23" s="9">
        <f t="shared" si="6"/>
        <v>715658213.90538859</v>
      </c>
      <c r="M23" s="9">
        <f t="shared" si="6"/>
        <v>722814796.04444253</v>
      </c>
      <c r="N23" s="9">
        <f t="shared" si="6"/>
        <v>730042944.00488698</v>
      </c>
      <c r="O23" s="9">
        <f t="shared" si="6"/>
        <v>737343373.4449358</v>
      </c>
      <c r="P23" s="9">
        <f t="shared" si="6"/>
        <v>744716807.17938519</v>
      </c>
      <c r="Q23" s="9">
        <f t="shared" si="6"/>
        <v>752163975.2511791</v>
      </c>
      <c r="R23" s="9">
        <f t="shared" si="6"/>
        <v>759685615.00369084</v>
      </c>
      <c r="S23" s="9">
        <f t="shared" si="6"/>
        <v>767282471.15372777</v>
      </c>
      <c r="T23" s="9">
        <f t="shared" si="6"/>
        <v>765747906.2114203</v>
      </c>
      <c r="U23" s="9">
        <f t="shared" si="6"/>
        <v>764216410.39899743</v>
      </c>
      <c r="V23" s="9">
        <f t="shared" si="6"/>
        <v>762687977.57819939</v>
      </c>
      <c r="W23" s="9">
        <f t="shared" si="6"/>
        <v>761162601.62304294</v>
      </c>
      <c r="X23" s="9">
        <f t="shared" si="6"/>
        <v>759640276.41979694</v>
      </c>
      <c r="Y23" s="9">
        <f t="shared" si="6"/>
        <v>758120995.86695743</v>
      </c>
      <c r="Z23" s="9">
        <f t="shared" si="6"/>
        <v>756604753.8752234</v>
      </c>
      <c r="AA23" s="9">
        <f t="shared" si="6"/>
        <v>755091544.36747289</v>
      </c>
      <c r="AB23" s="9">
        <f t="shared" si="6"/>
        <v>753581361.2787379</v>
      </c>
      <c r="AC23" s="9">
        <f t="shared" si="6"/>
        <v>752074198.55618048</v>
      </c>
      <c r="AD23" s="9">
        <f t="shared" si="6"/>
        <v>750570050.15906811</v>
      </c>
      <c r="AE23" s="9">
        <f t="shared" si="6"/>
        <v>749068910.05874991</v>
      </c>
      <c r="AF23" s="9">
        <f t="shared" si="6"/>
        <v>747570772.23863232</v>
      </c>
      <c r="AG23" s="9">
        <f t="shared" si="6"/>
        <v>746075630.6941551</v>
      </c>
      <c r="AH23" s="9">
        <f t="shared" si="6"/>
        <v>744583479.4327668</v>
      </c>
      <c r="AI23" s="9">
        <f t="shared" si="6"/>
        <v>743094312.47390127</v>
      </c>
      <c r="AJ23" s="9">
        <f t="shared" si="6"/>
        <v>741608123.84895349</v>
      </c>
      <c r="AK23" s="9">
        <f t="shared" si="6"/>
        <v>740124907.60125554</v>
      </c>
      <c r="AL23" s="9">
        <f t="shared" si="6"/>
        <v>738644657.78605306</v>
      </c>
      <c r="AM23" s="9">
        <f t="shared" si="6"/>
        <v>737167368.47048092</v>
      </c>
      <c r="AN23" s="9">
        <f t="shared" si="6"/>
        <v>735693033.73354006</v>
      </c>
      <c r="AO23" s="9">
        <f t="shared" si="6"/>
        <v>734221647.66607296</v>
      </c>
      <c r="AP23" s="9">
        <f t="shared" si="6"/>
        <v>732753204.37074089</v>
      </c>
      <c r="AQ23" s="9">
        <f t="shared" si="6"/>
        <v>731287697.9619993</v>
      </c>
      <c r="AR23" s="9">
        <f t="shared" si="6"/>
        <v>729825122.56607533</v>
      </c>
    </row>
    <row r="26" spans="1:44" x14ac:dyDescent="0.2">
      <c r="B26" s="3"/>
      <c r="C26" s="3"/>
      <c r="D26" s="3" t="s">
        <v>10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2">
      <c r="B27" s="4" t="s">
        <v>556</v>
      </c>
      <c r="C27" s="4"/>
      <c r="D27" s="5">
        <v>0</v>
      </c>
      <c r="E27" s="5">
        <v>1</v>
      </c>
      <c r="F27" s="5">
        <v>2</v>
      </c>
      <c r="G27" s="5">
        <v>3</v>
      </c>
      <c r="H27" s="5">
        <v>4</v>
      </c>
      <c r="I27" s="5">
        <v>5</v>
      </c>
      <c r="J27" s="5">
        <v>6</v>
      </c>
      <c r="K27" s="5">
        <v>7</v>
      </c>
      <c r="L27" s="5">
        <v>8</v>
      </c>
      <c r="M27" s="5">
        <v>9</v>
      </c>
      <c r="N27" s="5">
        <v>10</v>
      </c>
      <c r="O27" s="5">
        <v>11</v>
      </c>
      <c r="P27" s="5">
        <v>12</v>
      </c>
      <c r="Q27" s="5">
        <v>13</v>
      </c>
      <c r="R27" s="5">
        <v>14</v>
      </c>
      <c r="S27" s="5">
        <v>15</v>
      </c>
      <c r="T27" s="5">
        <v>16</v>
      </c>
      <c r="U27" s="5">
        <v>17</v>
      </c>
      <c r="V27" s="5">
        <v>18</v>
      </c>
      <c r="W27" s="5">
        <v>19</v>
      </c>
      <c r="X27" s="5">
        <v>20</v>
      </c>
      <c r="Y27" s="5">
        <v>21</v>
      </c>
      <c r="Z27" s="5">
        <v>22</v>
      </c>
      <c r="AA27" s="5">
        <v>23</v>
      </c>
      <c r="AB27" s="5">
        <v>24</v>
      </c>
      <c r="AC27" s="5">
        <v>25</v>
      </c>
      <c r="AD27" s="5">
        <v>26</v>
      </c>
      <c r="AE27" s="5">
        <v>27</v>
      </c>
      <c r="AF27" s="5">
        <v>28</v>
      </c>
      <c r="AG27" s="5">
        <v>29</v>
      </c>
      <c r="AH27" s="5">
        <v>30</v>
      </c>
      <c r="AI27" s="5">
        <v>31</v>
      </c>
      <c r="AJ27" s="5">
        <v>32</v>
      </c>
      <c r="AK27" s="5">
        <v>33</v>
      </c>
      <c r="AL27" s="5">
        <v>34</v>
      </c>
      <c r="AM27" s="5">
        <v>35</v>
      </c>
      <c r="AN27" s="5">
        <v>36</v>
      </c>
      <c r="AO27" s="5">
        <v>37</v>
      </c>
      <c r="AP27" s="5">
        <v>38</v>
      </c>
      <c r="AQ27" s="5">
        <v>39</v>
      </c>
      <c r="AR27" s="5">
        <v>40</v>
      </c>
    </row>
    <row r="28" spans="1:44" ht="12" thickBot="1" x14ac:dyDescent="0.25">
      <c r="B28" s="6" t="s">
        <v>33</v>
      </c>
      <c r="C28" s="354" t="s">
        <v>9</v>
      </c>
      <c r="D28" s="751">
        <v>2025</v>
      </c>
      <c r="E28" s="7">
        <f>$D$10+E27</f>
        <v>2026</v>
      </c>
      <c r="F28" s="7">
        <f t="shared" ref="F28:AR28" si="7">$D$10+F27</f>
        <v>2027</v>
      </c>
      <c r="G28" s="7">
        <f t="shared" si="7"/>
        <v>2028</v>
      </c>
      <c r="H28" s="7">
        <f t="shared" si="7"/>
        <v>2029</v>
      </c>
      <c r="I28" s="7">
        <f t="shared" si="7"/>
        <v>2030</v>
      </c>
      <c r="J28" s="7">
        <f t="shared" si="7"/>
        <v>2031</v>
      </c>
      <c r="K28" s="7">
        <f t="shared" si="7"/>
        <v>2032</v>
      </c>
      <c r="L28" s="7">
        <f t="shared" si="7"/>
        <v>2033</v>
      </c>
      <c r="M28" s="7">
        <f t="shared" si="7"/>
        <v>2034</v>
      </c>
      <c r="N28" s="7">
        <f t="shared" si="7"/>
        <v>2035</v>
      </c>
      <c r="O28" s="7">
        <f t="shared" si="7"/>
        <v>2036</v>
      </c>
      <c r="P28" s="7">
        <f t="shared" si="7"/>
        <v>2037</v>
      </c>
      <c r="Q28" s="7">
        <f t="shared" si="7"/>
        <v>2038</v>
      </c>
      <c r="R28" s="7">
        <f t="shared" si="7"/>
        <v>2039</v>
      </c>
      <c r="S28" s="7">
        <f t="shared" si="7"/>
        <v>2040</v>
      </c>
      <c r="T28" s="7">
        <f t="shared" si="7"/>
        <v>2041</v>
      </c>
      <c r="U28" s="7">
        <f t="shared" si="7"/>
        <v>2042</v>
      </c>
      <c r="V28" s="7">
        <f t="shared" si="7"/>
        <v>2043</v>
      </c>
      <c r="W28" s="7">
        <f t="shared" si="7"/>
        <v>2044</v>
      </c>
      <c r="X28" s="7">
        <f t="shared" si="7"/>
        <v>2045</v>
      </c>
      <c r="Y28" s="7">
        <f t="shared" si="7"/>
        <v>2046</v>
      </c>
      <c r="Z28" s="7">
        <f t="shared" si="7"/>
        <v>2047</v>
      </c>
      <c r="AA28" s="7">
        <f t="shared" si="7"/>
        <v>2048</v>
      </c>
      <c r="AB28" s="7">
        <f t="shared" si="7"/>
        <v>2049</v>
      </c>
      <c r="AC28" s="7">
        <f t="shared" si="7"/>
        <v>2050</v>
      </c>
      <c r="AD28" s="7">
        <f t="shared" si="7"/>
        <v>2051</v>
      </c>
      <c r="AE28" s="7">
        <f t="shared" si="7"/>
        <v>2052</v>
      </c>
      <c r="AF28" s="7">
        <f t="shared" si="7"/>
        <v>2053</v>
      </c>
      <c r="AG28" s="7">
        <f t="shared" si="7"/>
        <v>2054</v>
      </c>
      <c r="AH28" s="7">
        <f t="shared" si="7"/>
        <v>2055</v>
      </c>
      <c r="AI28" s="7">
        <f t="shared" si="7"/>
        <v>2056</v>
      </c>
      <c r="AJ28" s="7">
        <f t="shared" si="7"/>
        <v>2057</v>
      </c>
      <c r="AK28" s="7">
        <f t="shared" si="7"/>
        <v>2058</v>
      </c>
      <c r="AL28" s="7">
        <f t="shared" si="7"/>
        <v>2059</v>
      </c>
      <c r="AM28" s="7">
        <f t="shared" si="7"/>
        <v>2060</v>
      </c>
      <c r="AN28" s="7">
        <f t="shared" si="7"/>
        <v>2061</v>
      </c>
      <c r="AO28" s="7">
        <f t="shared" si="7"/>
        <v>2062</v>
      </c>
      <c r="AP28" s="7">
        <f t="shared" si="7"/>
        <v>2063</v>
      </c>
      <c r="AQ28" s="7">
        <f t="shared" si="7"/>
        <v>2064</v>
      </c>
      <c r="AR28" s="7">
        <f t="shared" si="7"/>
        <v>2065</v>
      </c>
    </row>
    <row r="29" spans="1:44" x14ac:dyDescent="0.2">
      <c r="B29" s="349" t="s">
        <v>685</v>
      </c>
      <c r="C29" s="284">
        <f>SUM(E29:AR29)</f>
        <v>361009747.85821664</v>
      </c>
      <c r="D29" s="355"/>
      <c r="E29" s="9">
        <f t="shared" ref="E29:AR29" si="8">E11*$O$5</f>
        <v>8186457.0765657369</v>
      </c>
      <c r="F29" s="9">
        <f t="shared" si="8"/>
        <v>8268321.6473313952</v>
      </c>
      <c r="G29" s="9">
        <f t="shared" si="8"/>
        <v>8351004.8638047082</v>
      </c>
      <c r="H29" s="9">
        <f t="shared" si="8"/>
        <v>8434514.9124427568</v>
      </c>
      <c r="I29" s="9">
        <f t="shared" si="8"/>
        <v>8518860.0615671836</v>
      </c>
      <c r="J29" s="9">
        <f t="shared" si="8"/>
        <v>8604048.6621828564</v>
      </c>
      <c r="K29" s="9">
        <f t="shared" si="8"/>
        <v>8690089.1488046832</v>
      </c>
      <c r="L29" s="9">
        <f t="shared" si="8"/>
        <v>8776990.0402927306</v>
      </c>
      <c r="M29" s="9">
        <f t="shared" si="8"/>
        <v>8864759.9406956583</v>
      </c>
      <c r="N29" s="9">
        <f t="shared" si="8"/>
        <v>8953407.5401026141</v>
      </c>
      <c r="O29" s="9">
        <f t="shared" si="8"/>
        <v>9042941.6155036408</v>
      </c>
      <c r="P29" s="9">
        <f t="shared" si="8"/>
        <v>9133371.0316586774</v>
      </c>
      <c r="Q29" s="9">
        <f t="shared" si="8"/>
        <v>9224704.7419752646</v>
      </c>
      <c r="R29" s="9">
        <f t="shared" si="8"/>
        <v>9316951.7893950175</v>
      </c>
      <c r="S29" s="9">
        <f t="shared" si="8"/>
        <v>9410121.3072889689</v>
      </c>
      <c r="T29" s="9">
        <f t="shared" si="8"/>
        <v>9391301.0646743905</v>
      </c>
      <c r="U29" s="9">
        <f t="shared" si="8"/>
        <v>9372518.462545041</v>
      </c>
      <c r="V29" s="9">
        <f t="shared" si="8"/>
        <v>9353773.4256199505</v>
      </c>
      <c r="W29" s="9">
        <f t="shared" si="8"/>
        <v>9335065.8787687104</v>
      </c>
      <c r="X29" s="9">
        <f t="shared" si="8"/>
        <v>9316395.7470111735</v>
      </c>
      <c r="Y29" s="9">
        <f t="shared" si="8"/>
        <v>9297762.9555171505</v>
      </c>
      <c r="Z29" s="9">
        <f t="shared" si="8"/>
        <v>9279167.4296061154</v>
      </c>
      <c r="AA29" s="9">
        <f t="shared" si="8"/>
        <v>9260609.0947469026</v>
      </c>
      <c r="AB29" s="9">
        <f t="shared" si="8"/>
        <v>9242087.8765574098</v>
      </c>
      <c r="AC29" s="9">
        <f t="shared" si="8"/>
        <v>9223603.7008042932</v>
      </c>
      <c r="AD29" s="9">
        <f t="shared" si="8"/>
        <v>9205156.4934026841</v>
      </c>
      <c r="AE29" s="9">
        <f t="shared" si="8"/>
        <v>9186746.1804158799</v>
      </c>
      <c r="AF29" s="9">
        <f t="shared" si="8"/>
        <v>9168372.6880550459</v>
      </c>
      <c r="AG29" s="9">
        <f t="shared" si="8"/>
        <v>9150035.9426789358</v>
      </c>
      <c r="AH29" s="9">
        <f t="shared" si="8"/>
        <v>9131735.8707935791</v>
      </c>
      <c r="AI29" s="9">
        <f t="shared" si="8"/>
        <v>9113472.3990519922</v>
      </c>
      <c r="AJ29" s="9">
        <f t="shared" si="8"/>
        <v>9095245.4542538878</v>
      </c>
      <c r="AK29" s="9">
        <f t="shared" si="8"/>
        <v>9077054.9633453805</v>
      </c>
      <c r="AL29" s="9">
        <f t="shared" si="8"/>
        <v>9058900.8534186892</v>
      </c>
      <c r="AM29" s="9">
        <f t="shared" si="8"/>
        <v>9040783.0517118517</v>
      </c>
      <c r="AN29" s="9">
        <f t="shared" si="8"/>
        <v>9022701.4856084287</v>
      </c>
      <c r="AO29" s="9">
        <f t="shared" si="8"/>
        <v>9004656.0826372132</v>
      </c>
      <c r="AP29" s="9">
        <f t="shared" si="8"/>
        <v>8986646.770471938</v>
      </c>
      <c r="AQ29" s="9">
        <f t="shared" si="8"/>
        <v>8968673.4769309945</v>
      </c>
      <c r="AR29" s="9">
        <f t="shared" si="8"/>
        <v>8950736.1299771313</v>
      </c>
    </row>
    <row r="32" spans="1:44" x14ac:dyDescent="0.2">
      <c r="B32" s="3"/>
      <c r="C32" s="3"/>
      <c r="D32" s="3" t="s">
        <v>10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2:44" x14ac:dyDescent="0.2">
      <c r="B33" s="4" t="s">
        <v>557</v>
      </c>
      <c r="C33" s="4"/>
      <c r="D33" s="5">
        <v>0</v>
      </c>
      <c r="E33" s="5">
        <v>1</v>
      </c>
      <c r="F33" s="5">
        <v>2</v>
      </c>
      <c r="G33" s="5">
        <v>3</v>
      </c>
      <c r="H33" s="5">
        <v>4</v>
      </c>
      <c r="I33" s="5">
        <v>5</v>
      </c>
      <c r="J33" s="5">
        <v>6</v>
      </c>
      <c r="K33" s="5">
        <v>7</v>
      </c>
      <c r="L33" s="5">
        <v>8</v>
      </c>
      <c r="M33" s="5">
        <v>9</v>
      </c>
      <c r="N33" s="5">
        <v>10</v>
      </c>
      <c r="O33" s="5">
        <v>11</v>
      </c>
      <c r="P33" s="5">
        <v>12</v>
      </c>
      <c r="Q33" s="5">
        <v>13</v>
      </c>
      <c r="R33" s="5">
        <v>14</v>
      </c>
      <c r="S33" s="5">
        <v>15</v>
      </c>
      <c r="T33" s="5">
        <v>16</v>
      </c>
      <c r="U33" s="5">
        <v>17</v>
      </c>
      <c r="V33" s="5">
        <v>18</v>
      </c>
      <c r="W33" s="5">
        <v>19</v>
      </c>
      <c r="X33" s="5">
        <v>20</v>
      </c>
      <c r="Y33" s="5">
        <v>21</v>
      </c>
      <c r="Z33" s="5">
        <v>22</v>
      </c>
      <c r="AA33" s="5">
        <v>23</v>
      </c>
      <c r="AB33" s="5">
        <v>24</v>
      </c>
      <c r="AC33" s="5">
        <v>25</v>
      </c>
      <c r="AD33" s="5">
        <v>26</v>
      </c>
      <c r="AE33" s="5">
        <v>27</v>
      </c>
      <c r="AF33" s="5">
        <v>28</v>
      </c>
      <c r="AG33" s="5">
        <v>29</v>
      </c>
      <c r="AH33" s="5">
        <v>30</v>
      </c>
      <c r="AI33" s="5">
        <v>31</v>
      </c>
      <c r="AJ33" s="5">
        <v>32</v>
      </c>
      <c r="AK33" s="5">
        <v>33</v>
      </c>
      <c r="AL33" s="5">
        <v>34</v>
      </c>
      <c r="AM33" s="5">
        <v>35</v>
      </c>
      <c r="AN33" s="5">
        <v>36</v>
      </c>
      <c r="AO33" s="5">
        <v>37</v>
      </c>
      <c r="AP33" s="5">
        <v>38</v>
      </c>
      <c r="AQ33" s="5">
        <v>39</v>
      </c>
      <c r="AR33" s="5">
        <v>40</v>
      </c>
    </row>
    <row r="34" spans="2:44" ht="12" thickBot="1" x14ac:dyDescent="0.25">
      <c r="B34" s="6" t="s">
        <v>34</v>
      </c>
      <c r="C34" s="354" t="s">
        <v>9</v>
      </c>
      <c r="D34" s="751">
        <v>2025</v>
      </c>
      <c r="E34" s="7">
        <f>$D$10+E33</f>
        <v>2026</v>
      </c>
      <c r="F34" s="7">
        <f t="shared" ref="F34:AR34" si="9">$D$10+F33</f>
        <v>2027</v>
      </c>
      <c r="G34" s="7">
        <f t="shared" si="9"/>
        <v>2028</v>
      </c>
      <c r="H34" s="7">
        <f t="shared" si="9"/>
        <v>2029</v>
      </c>
      <c r="I34" s="7">
        <f t="shared" si="9"/>
        <v>2030</v>
      </c>
      <c r="J34" s="7">
        <f t="shared" si="9"/>
        <v>2031</v>
      </c>
      <c r="K34" s="7">
        <f t="shared" si="9"/>
        <v>2032</v>
      </c>
      <c r="L34" s="7">
        <f t="shared" si="9"/>
        <v>2033</v>
      </c>
      <c r="M34" s="7">
        <f t="shared" si="9"/>
        <v>2034</v>
      </c>
      <c r="N34" s="7">
        <f t="shared" si="9"/>
        <v>2035</v>
      </c>
      <c r="O34" s="7">
        <f t="shared" si="9"/>
        <v>2036</v>
      </c>
      <c r="P34" s="7">
        <f t="shared" si="9"/>
        <v>2037</v>
      </c>
      <c r="Q34" s="7">
        <f t="shared" si="9"/>
        <v>2038</v>
      </c>
      <c r="R34" s="7">
        <f t="shared" si="9"/>
        <v>2039</v>
      </c>
      <c r="S34" s="7">
        <f t="shared" si="9"/>
        <v>2040</v>
      </c>
      <c r="T34" s="7">
        <f t="shared" si="9"/>
        <v>2041</v>
      </c>
      <c r="U34" s="7">
        <f t="shared" si="9"/>
        <v>2042</v>
      </c>
      <c r="V34" s="7">
        <f t="shared" si="9"/>
        <v>2043</v>
      </c>
      <c r="W34" s="7">
        <f t="shared" si="9"/>
        <v>2044</v>
      </c>
      <c r="X34" s="7">
        <f t="shared" si="9"/>
        <v>2045</v>
      </c>
      <c r="Y34" s="7">
        <f t="shared" si="9"/>
        <v>2046</v>
      </c>
      <c r="Z34" s="7">
        <f t="shared" si="9"/>
        <v>2047</v>
      </c>
      <c r="AA34" s="7">
        <f t="shared" si="9"/>
        <v>2048</v>
      </c>
      <c r="AB34" s="7">
        <f t="shared" si="9"/>
        <v>2049</v>
      </c>
      <c r="AC34" s="7">
        <f t="shared" si="9"/>
        <v>2050</v>
      </c>
      <c r="AD34" s="7">
        <f t="shared" si="9"/>
        <v>2051</v>
      </c>
      <c r="AE34" s="7">
        <f t="shared" si="9"/>
        <v>2052</v>
      </c>
      <c r="AF34" s="7">
        <f t="shared" si="9"/>
        <v>2053</v>
      </c>
      <c r="AG34" s="7">
        <f t="shared" si="9"/>
        <v>2054</v>
      </c>
      <c r="AH34" s="7">
        <f t="shared" si="9"/>
        <v>2055</v>
      </c>
      <c r="AI34" s="7">
        <f t="shared" si="9"/>
        <v>2056</v>
      </c>
      <c r="AJ34" s="7">
        <f t="shared" si="9"/>
        <v>2057</v>
      </c>
      <c r="AK34" s="7">
        <f t="shared" si="9"/>
        <v>2058</v>
      </c>
      <c r="AL34" s="7">
        <f t="shared" si="9"/>
        <v>2059</v>
      </c>
      <c r="AM34" s="7">
        <f t="shared" si="9"/>
        <v>2060</v>
      </c>
      <c r="AN34" s="7">
        <f t="shared" si="9"/>
        <v>2061</v>
      </c>
      <c r="AO34" s="7">
        <f t="shared" si="9"/>
        <v>2062</v>
      </c>
      <c r="AP34" s="7">
        <f t="shared" si="9"/>
        <v>2063</v>
      </c>
      <c r="AQ34" s="7">
        <f t="shared" si="9"/>
        <v>2064</v>
      </c>
      <c r="AR34" s="7">
        <f t="shared" si="9"/>
        <v>2065</v>
      </c>
    </row>
    <row r="35" spans="2:44" x14ac:dyDescent="0.2">
      <c r="B35" s="349" t="s">
        <v>685</v>
      </c>
      <c r="C35" s="284">
        <f>SUM(E35:AR35)</f>
        <v>826969.97459038289</v>
      </c>
      <c r="D35" s="355"/>
      <c r="E35" s="9">
        <v>0</v>
      </c>
      <c r="F35" s="9">
        <v>0</v>
      </c>
      <c r="G35" s="9">
        <v>0</v>
      </c>
      <c r="H35" s="9">
        <f>0.18%*H11</f>
        <v>9503.2178596714257</v>
      </c>
      <c r="I35" s="9">
        <f>0.34%*I11</f>
        <v>18130.027850062044</v>
      </c>
      <c r="J35" s="9">
        <f t="shared" ref="J35:AR35" si="10">J11*$Q$5</f>
        <v>21542.738974779608</v>
      </c>
      <c r="K35" s="9">
        <f t="shared" si="10"/>
        <v>21758.166364527402</v>
      </c>
      <c r="L35" s="9">
        <f t="shared" si="10"/>
        <v>21975.748028172675</v>
      </c>
      <c r="M35" s="9">
        <f t="shared" si="10"/>
        <v>22195.5055084544</v>
      </c>
      <c r="N35" s="9">
        <f t="shared" si="10"/>
        <v>22417.460563538945</v>
      </c>
      <c r="O35" s="9">
        <f t="shared" si="10"/>
        <v>22641.635169174337</v>
      </c>
      <c r="P35" s="9">
        <f t="shared" si="10"/>
        <v>22868.05152086608</v>
      </c>
      <c r="Q35" s="9">
        <f t="shared" si="10"/>
        <v>23096.732036074744</v>
      </c>
      <c r="R35" s="9">
        <f t="shared" si="10"/>
        <v>23327.699356435489</v>
      </c>
      <c r="S35" s="9">
        <f t="shared" si="10"/>
        <v>23560.976349999844</v>
      </c>
      <c r="T35" s="9">
        <f t="shared" si="10"/>
        <v>23513.854397299845</v>
      </c>
      <c r="U35" s="9">
        <f t="shared" si="10"/>
        <v>23466.826688505244</v>
      </c>
      <c r="V35" s="9">
        <f t="shared" si="10"/>
        <v>23419.893035128232</v>
      </c>
      <c r="W35" s="9">
        <f t="shared" si="10"/>
        <v>23373.053249057975</v>
      </c>
      <c r="X35" s="9">
        <f t="shared" si="10"/>
        <v>23326.307142559861</v>
      </c>
      <c r="Y35" s="9">
        <f t="shared" si="10"/>
        <v>23279.654528274743</v>
      </c>
      <c r="Z35" s="9">
        <f t="shared" si="10"/>
        <v>23233.09521921819</v>
      </c>
      <c r="AA35" s="9">
        <f t="shared" si="10"/>
        <v>23186.629028779753</v>
      </c>
      <c r="AB35" s="9">
        <f t="shared" si="10"/>
        <v>23140.255770722193</v>
      </c>
      <c r="AC35" s="9">
        <f t="shared" si="10"/>
        <v>23093.975259180748</v>
      </c>
      <c r="AD35" s="9">
        <f t="shared" si="10"/>
        <v>23047.787308662384</v>
      </c>
      <c r="AE35" s="9">
        <f t="shared" si="10"/>
        <v>23001.69173404506</v>
      </c>
      <c r="AF35" s="9">
        <f t="shared" si="10"/>
        <v>22955.688350576969</v>
      </c>
      <c r="AG35" s="9">
        <f t="shared" si="10"/>
        <v>22909.776973875814</v>
      </c>
      <c r="AH35" s="9">
        <f t="shared" si="10"/>
        <v>22863.957419928061</v>
      </c>
      <c r="AI35" s="9">
        <f t="shared" si="10"/>
        <v>22818.229505088206</v>
      </c>
      <c r="AJ35" s="9">
        <f t="shared" si="10"/>
        <v>22772.593046078029</v>
      </c>
      <c r="AK35" s="9">
        <f t="shared" si="10"/>
        <v>22727.047859985872</v>
      </c>
      <c r="AL35" s="9">
        <f t="shared" si="10"/>
        <v>22681.593764265905</v>
      </c>
      <c r="AM35" s="9">
        <f t="shared" si="10"/>
        <v>22636.230576737369</v>
      </c>
      <c r="AN35" s="9">
        <f t="shared" si="10"/>
        <v>22590.958115583897</v>
      </c>
      <c r="AO35" s="9">
        <f t="shared" si="10"/>
        <v>22545.776199352731</v>
      </c>
      <c r="AP35" s="9">
        <f t="shared" si="10"/>
        <v>22500.684646954025</v>
      </c>
      <c r="AQ35" s="9">
        <f t="shared" si="10"/>
        <v>22455.683277660119</v>
      </c>
      <c r="AR35" s="9">
        <f t="shared" si="10"/>
        <v>22410.771911104795</v>
      </c>
    </row>
    <row r="38" spans="2:44" x14ac:dyDescent="0.2">
      <c r="B38" s="3"/>
      <c r="C38" s="3"/>
      <c r="D38" s="3" t="s">
        <v>10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2:44" x14ac:dyDescent="0.2">
      <c r="B39" s="4" t="s">
        <v>558</v>
      </c>
      <c r="C39" s="4"/>
      <c r="D39" s="5">
        <v>0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5">
        <v>39</v>
      </c>
      <c r="AR39" s="5">
        <v>40</v>
      </c>
    </row>
    <row r="40" spans="2:44" ht="12" thickBot="1" x14ac:dyDescent="0.25">
      <c r="B40" s="6" t="s">
        <v>34</v>
      </c>
      <c r="C40" s="354" t="s">
        <v>9</v>
      </c>
      <c r="D40" s="751">
        <v>2025</v>
      </c>
      <c r="E40" s="7">
        <f>$D$10+E39</f>
        <v>2026</v>
      </c>
      <c r="F40" s="7">
        <f t="shared" ref="F40:AR40" si="11">$D$10+F39</f>
        <v>2027</v>
      </c>
      <c r="G40" s="7">
        <f t="shared" si="11"/>
        <v>2028</v>
      </c>
      <c r="H40" s="7">
        <f t="shared" si="11"/>
        <v>2029</v>
      </c>
      <c r="I40" s="7">
        <f t="shared" si="11"/>
        <v>2030</v>
      </c>
      <c r="J40" s="7">
        <f t="shared" si="11"/>
        <v>2031</v>
      </c>
      <c r="K40" s="7">
        <f t="shared" si="11"/>
        <v>2032</v>
      </c>
      <c r="L40" s="7">
        <f t="shared" si="11"/>
        <v>2033</v>
      </c>
      <c r="M40" s="7">
        <f t="shared" si="11"/>
        <v>2034</v>
      </c>
      <c r="N40" s="7">
        <f t="shared" si="11"/>
        <v>2035</v>
      </c>
      <c r="O40" s="7">
        <f t="shared" si="11"/>
        <v>2036</v>
      </c>
      <c r="P40" s="7">
        <f t="shared" si="11"/>
        <v>2037</v>
      </c>
      <c r="Q40" s="7">
        <f t="shared" si="11"/>
        <v>2038</v>
      </c>
      <c r="R40" s="7">
        <f t="shared" si="11"/>
        <v>2039</v>
      </c>
      <c r="S40" s="7">
        <f t="shared" si="11"/>
        <v>2040</v>
      </c>
      <c r="T40" s="7">
        <f t="shared" si="11"/>
        <v>2041</v>
      </c>
      <c r="U40" s="7">
        <f t="shared" si="11"/>
        <v>2042</v>
      </c>
      <c r="V40" s="7">
        <f t="shared" si="11"/>
        <v>2043</v>
      </c>
      <c r="W40" s="7">
        <f t="shared" si="11"/>
        <v>2044</v>
      </c>
      <c r="X40" s="7">
        <f t="shared" si="11"/>
        <v>2045</v>
      </c>
      <c r="Y40" s="7">
        <f t="shared" si="11"/>
        <v>2046</v>
      </c>
      <c r="Z40" s="7">
        <f t="shared" si="11"/>
        <v>2047</v>
      </c>
      <c r="AA40" s="7">
        <f t="shared" si="11"/>
        <v>2048</v>
      </c>
      <c r="AB40" s="7">
        <f t="shared" si="11"/>
        <v>2049</v>
      </c>
      <c r="AC40" s="7">
        <f t="shared" si="11"/>
        <v>2050</v>
      </c>
      <c r="AD40" s="7">
        <f t="shared" si="11"/>
        <v>2051</v>
      </c>
      <c r="AE40" s="7">
        <f t="shared" si="11"/>
        <v>2052</v>
      </c>
      <c r="AF40" s="7">
        <f t="shared" si="11"/>
        <v>2053</v>
      </c>
      <c r="AG40" s="7">
        <f t="shared" si="11"/>
        <v>2054</v>
      </c>
      <c r="AH40" s="7">
        <f t="shared" si="11"/>
        <v>2055</v>
      </c>
      <c r="AI40" s="7">
        <f t="shared" si="11"/>
        <v>2056</v>
      </c>
      <c r="AJ40" s="7">
        <f t="shared" si="11"/>
        <v>2057</v>
      </c>
      <c r="AK40" s="7">
        <f t="shared" si="11"/>
        <v>2058</v>
      </c>
      <c r="AL40" s="7">
        <f t="shared" si="11"/>
        <v>2059</v>
      </c>
      <c r="AM40" s="7">
        <f t="shared" si="11"/>
        <v>2060</v>
      </c>
      <c r="AN40" s="7">
        <f t="shared" si="11"/>
        <v>2061</v>
      </c>
      <c r="AO40" s="7">
        <f t="shared" si="11"/>
        <v>2062</v>
      </c>
      <c r="AP40" s="7">
        <f t="shared" si="11"/>
        <v>2063</v>
      </c>
      <c r="AQ40" s="7">
        <f t="shared" si="11"/>
        <v>2064</v>
      </c>
      <c r="AR40" s="7">
        <f t="shared" si="11"/>
        <v>2065</v>
      </c>
    </row>
    <row r="41" spans="2:44" x14ac:dyDescent="0.2">
      <c r="B41" s="349" t="s">
        <v>685</v>
      </c>
      <c r="C41" s="284">
        <f>SUM(E41:AR41)</f>
        <v>226800202.77495831</v>
      </c>
      <c r="D41" s="355"/>
      <c r="E41" s="9">
        <f t="shared" ref="E41:AR41" si="12">E11+E35</f>
        <v>5124294.2378928456</v>
      </c>
      <c r="F41" s="9">
        <f t="shared" si="12"/>
        <v>5175537.1802717745</v>
      </c>
      <c r="G41" s="9">
        <f t="shared" si="12"/>
        <v>5227292.552074492</v>
      </c>
      <c r="H41" s="9">
        <f t="shared" si="12"/>
        <v>5289068.6954549085</v>
      </c>
      <c r="I41" s="9">
        <f t="shared" si="12"/>
        <v>5350491.1602212507</v>
      </c>
      <c r="J41" s="9">
        <f t="shared" si="12"/>
        <v>5407227.4826696813</v>
      </c>
      <c r="K41" s="9">
        <f t="shared" si="12"/>
        <v>5461299.7574963775</v>
      </c>
      <c r="L41" s="9">
        <f t="shared" si="12"/>
        <v>5515912.755071342</v>
      </c>
      <c r="M41" s="9">
        <f t="shared" si="12"/>
        <v>5571071.8826220548</v>
      </c>
      <c r="N41" s="9">
        <f t="shared" si="12"/>
        <v>5626782.6014482751</v>
      </c>
      <c r="O41" s="9">
        <f t="shared" si="12"/>
        <v>5683050.4274627585</v>
      </c>
      <c r="P41" s="9">
        <f t="shared" si="12"/>
        <v>5739880.9317373866</v>
      </c>
      <c r="Q41" s="9">
        <f t="shared" si="12"/>
        <v>5797279.7410547603</v>
      </c>
      <c r="R41" s="9">
        <f t="shared" si="12"/>
        <v>5855252.538465308</v>
      </c>
      <c r="S41" s="9">
        <f t="shared" si="12"/>
        <v>5913805.0638499614</v>
      </c>
      <c r="T41" s="9">
        <f t="shared" si="12"/>
        <v>5901977.4537222609</v>
      </c>
      <c r="U41" s="9">
        <f t="shared" si="12"/>
        <v>5890173.4988148157</v>
      </c>
      <c r="V41" s="9">
        <f t="shared" si="12"/>
        <v>5878393.1518171858</v>
      </c>
      <c r="W41" s="9">
        <f t="shared" si="12"/>
        <v>5866636.365513552</v>
      </c>
      <c r="X41" s="9">
        <f t="shared" si="12"/>
        <v>5854903.0927825244</v>
      </c>
      <c r="Y41" s="9">
        <f t="shared" si="12"/>
        <v>5843193.2865969604</v>
      </c>
      <c r="Z41" s="9">
        <f t="shared" si="12"/>
        <v>5831506.9000237659</v>
      </c>
      <c r="AA41" s="9">
        <f t="shared" si="12"/>
        <v>5819843.8862237176</v>
      </c>
      <c r="AB41" s="9">
        <f t="shared" si="12"/>
        <v>5808204.1984512703</v>
      </c>
      <c r="AC41" s="9">
        <f t="shared" si="12"/>
        <v>5796587.7900543679</v>
      </c>
      <c r="AD41" s="9">
        <f t="shared" si="12"/>
        <v>5784994.6144742584</v>
      </c>
      <c r="AE41" s="9">
        <f t="shared" si="12"/>
        <v>5773424.6252453094</v>
      </c>
      <c r="AF41" s="9">
        <f t="shared" si="12"/>
        <v>5761877.7759948187</v>
      </c>
      <c r="AG41" s="9">
        <f t="shared" si="12"/>
        <v>5750354.0204428295</v>
      </c>
      <c r="AH41" s="9">
        <f t="shared" si="12"/>
        <v>5738853.3124019438</v>
      </c>
      <c r="AI41" s="9">
        <f t="shared" si="12"/>
        <v>5727375.6057771398</v>
      </c>
      <c r="AJ41" s="9">
        <f t="shared" si="12"/>
        <v>5715920.854565586</v>
      </c>
      <c r="AK41" s="9">
        <f t="shared" si="12"/>
        <v>5704489.0128564546</v>
      </c>
      <c r="AL41" s="9">
        <f t="shared" si="12"/>
        <v>5693080.0348307416</v>
      </c>
      <c r="AM41" s="9">
        <f t="shared" si="12"/>
        <v>5681693.8747610804</v>
      </c>
      <c r="AN41" s="9">
        <f t="shared" si="12"/>
        <v>5670330.4870115584</v>
      </c>
      <c r="AO41" s="9">
        <f t="shared" si="12"/>
        <v>5658989.8260375354</v>
      </c>
      <c r="AP41" s="9">
        <f t="shared" si="12"/>
        <v>5647671.8463854603</v>
      </c>
      <c r="AQ41" s="9">
        <f t="shared" si="12"/>
        <v>5636376.5026926892</v>
      </c>
      <c r="AR41" s="9">
        <f t="shared" si="12"/>
        <v>5625103.7496873038</v>
      </c>
    </row>
    <row r="44" spans="2:44" x14ac:dyDescent="0.2">
      <c r="B44" s="3"/>
      <c r="C44" s="3"/>
      <c r="D44" s="3" t="s">
        <v>10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2:44" x14ac:dyDescent="0.2">
      <c r="B45" s="4" t="s">
        <v>559</v>
      </c>
      <c r="C45" s="4"/>
      <c r="D45" s="5">
        <v>0</v>
      </c>
      <c r="E45" s="5">
        <v>1</v>
      </c>
      <c r="F45" s="5">
        <v>2</v>
      </c>
      <c r="G45" s="5">
        <v>3</v>
      </c>
      <c r="H45" s="5">
        <v>4</v>
      </c>
      <c r="I45" s="5">
        <v>5</v>
      </c>
      <c r="J45" s="5">
        <v>6</v>
      </c>
      <c r="K45" s="5">
        <v>7</v>
      </c>
      <c r="L45" s="5">
        <v>8</v>
      </c>
      <c r="M45" s="5">
        <v>9</v>
      </c>
      <c r="N45" s="5">
        <v>10</v>
      </c>
      <c r="O45" s="5">
        <v>11</v>
      </c>
      <c r="P45" s="5">
        <v>12</v>
      </c>
      <c r="Q45" s="5">
        <v>13</v>
      </c>
      <c r="R45" s="5">
        <v>14</v>
      </c>
      <c r="S45" s="5">
        <v>15</v>
      </c>
      <c r="T45" s="5">
        <v>16</v>
      </c>
      <c r="U45" s="5">
        <v>17</v>
      </c>
      <c r="V45" s="5">
        <v>18</v>
      </c>
      <c r="W45" s="5">
        <v>19</v>
      </c>
      <c r="X45" s="5">
        <v>20</v>
      </c>
      <c r="Y45" s="5">
        <v>21</v>
      </c>
      <c r="Z45" s="5">
        <v>22</v>
      </c>
      <c r="AA45" s="5">
        <v>23</v>
      </c>
      <c r="AB45" s="5">
        <v>24</v>
      </c>
      <c r="AC45" s="5">
        <v>25</v>
      </c>
      <c r="AD45" s="5">
        <v>26</v>
      </c>
      <c r="AE45" s="5">
        <v>27</v>
      </c>
      <c r="AF45" s="5">
        <v>28</v>
      </c>
      <c r="AG45" s="5">
        <v>29</v>
      </c>
      <c r="AH45" s="5">
        <v>30</v>
      </c>
      <c r="AI45" s="5">
        <v>31</v>
      </c>
      <c r="AJ45" s="5">
        <v>32</v>
      </c>
      <c r="AK45" s="5">
        <v>33</v>
      </c>
      <c r="AL45" s="5">
        <v>34</v>
      </c>
      <c r="AM45" s="5">
        <v>35</v>
      </c>
      <c r="AN45" s="5">
        <v>36</v>
      </c>
      <c r="AO45" s="5">
        <v>37</v>
      </c>
      <c r="AP45" s="5">
        <v>38</v>
      </c>
      <c r="AQ45" s="5">
        <v>39</v>
      </c>
      <c r="AR45" s="5">
        <v>40</v>
      </c>
    </row>
    <row r="46" spans="2:44" ht="12" thickBot="1" x14ac:dyDescent="0.25">
      <c r="B46" s="6" t="s">
        <v>34</v>
      </c>
      <c r="C46" s="354" t="s">
        <v>9</v>
      </c>
      <c r="D46" s="751">
        <v>2025</v>
      </c>
      <c r="E46" s="7">
        <f>$D$10+E45</f>
        <v>2026</v>
      </c>
      <c r="F46" s="7">
        <f t="shared" ref="F46:AR46" si="13">$D$10+F45</f>
        <v>2027</v>
      </c>
      <c r="G46" s="7">
        <f t="shared" si="13"/>
        <v>2028</v>
      </c>
      <c r="H46" s="7">
        <f t="shared" si="13"/>
        <v>2029</v>
      </c>
      <c r="I46" s="7">
        <f t="shared" si="13"/>
        <v>2030</v>
      </c>
      <c r="J46" s="7">
        <f t="shared" si="13"/>
        <v>2031</v>
      </c>
      <c r="K46" s="7">
        <f t="shared" si="13"/>
        <v>2032</v>
      </c>
      <c r="L46" s="7">
        <f t="shared" si="13"/>
        <v>2033</v>
      </c>
      <c r="M46" s="7">
        <f t="shared" si="13"/>
        <v>2034</v>
      </c>
      <c r="N46" s="7">
        <f t="shared" si="13"/>
        <v>2035</v>
      </c>
      <c r="O46" s="7">
        <f t="shared" si="13"/>
        <v>2036</v>
      </c>
      <c r="P46" s="7">
        <f t="shared" si="13"/>
        <v>2037</v>
      </c>
      <c r="Q46" s="7">
        <f t="shared" si="13"/>
        <v>2038</v>
      </c>
      <c r="R46" s="7">
        <f t="shared" si="13"/>
        <v>2039</v>
      </c>
      <c r="S46" s="7">
        <f t="shared" si="13"/>
        <v>2040</v>
      </c>
      <c r="T46" s="7">
        <f t="shared" si="13"/>
        <v>2041</v>
      </c>
      <c r="U46" s="7">
        <f t="shared" si="13"/>
        <v>2042</v>
      </c>
      <c r="V46" s="7">
        <f t="shared" si="13"/>
        <v>2043</v>
      </c>
      <c r="W46" s="7">
        <f t="shared" si="13"/>
        <v>2044</v>
      </c>
      <c r="X46" s="7">
        <f t="shared" si="13"/>
        <v>2045</v>
      </c>
      <c r="Y46" s="7">
        <f t="shared" si="13"/>
        <v>2046</v>
      </c>
      <c r="Z46" s="7">
        <f t="shared" si="13"/>
        <v>2047</v>
      </c>
      <c r="AA46" s="7">
        <f t="shared" si="13"/>
        <v>2048</v>
      </c>
      <c r="AB46" s="7">
        <f t="shared" si="13"/>
        <v>2049</v>
      </c>
      <c r="AC46" s="7">
        <f t="shared" si="13"/>
        <v>2050</v>
      </c>
      <c r="AD46" s="7">
        <f t="shared" si="13"/>
        <v>2051</v>
      </c>
      <c r="AE46" s="7">
        <f t="shared" si="13"/>
        <v>2052</v>
      </c>
      <c r="AF46" s="7">
        <f t="shared" si="13"/>
        <v>2053</v>
      </c>
      <c r="AG46" s="7">
        <f t="shared" si="13"/>
        <v>2054</v>
      </c>
      <c r="AH46" s="7">
        <f t="shared" si="13"/>
        <v>2055</v>
      </c>
      <c r="AI46" s="7">
        <f t="shared" si="13"/>
        <v>2056</v>
      </c>
      <c r="AJ46" s="7">
        <f t="shared" si="13"/>
        <v>2057</v>
      </c>
      <c r="AK46" s="7">
        <f t="shared" si="13"/>
        <v>2058</v>
      </c>
      <c r="AL46" s="7">
        <f t="shared" si="13"/>
        <v>2059</v>
      </c>
      <c r="AM46" s="7">
        <f t="shared" si="13"/>
        <v>2060</v>
      </c>
      <c r="AN46" s="7">
        <f t="shared" si="13"/>
        <v>2061</v>
      </c>
      <c r="AO46" s="7">
        <f t="shared" si="13"/>
        <v>2062</v>
      </c>
      <c r="AP46" s="7">
        <f t="shared" si="13"/>
        <v>2063</v>
      </c>
      <c r="AQ46" s="7">
        <f t="shared" si="13"/>
        <v>2064</v>
      </c>
      <c r="AR46" s="7">
        <f t="shared" si="13"/>
        <v>2065</v>
      </c>
    </row>
    <row r="47" spans="2:44" x14ac:dyDescent="0.2">
      <c r="B47" s="349" t="s">
        <v>685</v>
      </c>
      <c r="C47" s="284">
        <f>SUM(E47:AR47)</f>
        <v>717583504.38969076</v>
      </c>
      <c r="D47" s="355"/>
      <c r="E47" s="9">
        <f t="shared" ref="E47:AR47" si="14">E41*$K$5*$M$5</f>
        <v>16212988.223822912</v>
      </c>
      <c r="F47" s="9">
        <f t="shared" si="14"/>
        <v>16375118.106061142</v>
      </c>
      <c r="G47" s="9">
        <f t="shared" si="14"/>
        <v>16538869.287121752</v>
      </c>
      <c r="H47" s="9">
        <f t="shared" si="14"/>
        <v>16734325.644356959</v>
      </c>
      <c r="I47" s="9">
        <f t="shared" si="14"/>
        <v>16928662.981696196</v>
      </c>
      <c r="J47" s="9">
        <f t="shared" si="14"/>
        <v>17108173.619652394</v>
      </c>
      <c r="K47" s="9">
        <f t="shared" si="14"/>
        <v>17279255.355848916</v>
      </c>
      <c r="L47" s="9">
        <f t="shared" si="14"/>
        <v>17452047.909407411</v>
      </c>
      <c r="M47" s="9">
        <f t="shared" si="14"/>
        <v>17626568.38850148</v>
      </c>
      <c r="N47" s="9">
        <f t="shared" si="14"/>
        <v>17802834.072386496</v>
      </c>
      <c r="O47" s="9">
        <f t="shared" si="14"/>
        <v>17980862.413110361</v>
      </c>
      <c r="P47" s="9">
        <f t="shared" si="14"/>
        <v>18160671.037241466</v>
      </c>
      <c r="Q47" s="9">
        <f t="shared" si="14"/>
        <v>18342277.747613881</v>
      </c>
      <c r="R47" s="9">
        <f t="shared" si="14"/>
        <v>18525700.52509002</v>
      </c>
      <c r="S47" s="9">
        <f t="shared" si="14"/>
        <v>18710957.530340921</v>
      </c>
      <c r="T47" s="9">
        <f t="shared" si="14"/>
        <v>18673535.615280237</v>
      </c>
      <c r="U47" s="9">
        <f t="shared" si="14"/>
        <v>18636188.544049677</v>
      </c>
      <c r="V47" s="9">
        <f t="shared" si="14"/>
        <v>18598916.166961573</v>
      </c>
      <c r="W47" s="9">
        <f t="shared" si="14"/>
        <v>18561718.334627651</v>
      </c>
      <c r="X47" s="9">
        <f t="shared" si="14"/>
        <v>18524594.897958398</v>
      </c>
      <c r="Y47" s="9">
        <f t="shared" si="14"/>
        <v>18487545.708162483</v>
      </c>
      <c r="Z47" s="9">
        <f t="shared" si="14"/>
        <v>18450570.616746154</v>
      </c>
      <c r="AA47" s="9">
        <f t="shared" si="14"/>
        <v>18413669.475512661</v>
      </c>
      <c r="AB47" s="9">
        <f t="shared" si="14"/>
        <v>18376842.136561636</v>
      </c>
      <c r="AC47" s="9">
        <f t="shared" si="14"/>
        <v>18340088.452288512</v>
      </c>
      <c r="AD47" s="9">
        <f t="shared" si="14"/>
        <v>18303408.275383934</v>
      </c>
      <c r="AE47" s="9">
        <f t="shared" si="14"/>
        <v>18266801.458833165</v>
      </c>
      <c r="AF47" s="9">
        <f t="shared" si="14"/>
        <v>18230267.855915498</v>
      </c>
      <c r="AG47" s="9">
        <f t="shared" si="14"/>
        <v>18193807.320203666</v>
      </c>
      <c r="AH47" s="9">
        <f t="shared" si="14"/>
        <v>18157419.705563258</v>
      </c>
      <c r="AI47" s="9">
        <f t="shared" si="14"/>
        <v>18121104.866152134</v>
      </c>
      <c r="AJ47" s="9">
        <f t="shared" si="14"/>
        <v>18084862.656419832</v>
      </c>
      <c r="AK47" s="9">
        <f t="shared" si="14"/>
        <v>18048692.931106992</v>
      </c>
      <c r="AL47" s="9">
        <f t="shared" si="14"/>
        <v>18012595.545244776</v>
      </c>
      <c r="AM47" s="9">
        <f t="shared" si="14"/>
        <v>17976570.354154289</v>
      </c>
      <c r="AN47" s="9">
        <f t="shared" si="14"/>
        <v>17940617.21344598</v>
      </c>
      <c r="AO47" s="9">
        <f t="shared" si="14"/>
        <v>17904735.979019087</v>
      </c>
      <c r="AP47" s="9">
        <f t="shared" si="14"/>
        <v>17868926.507061049</v>
      </c>
      <c r="AQ47" s="9">
        <f t="shared" si="14"/>
        <v>17833188.654046927</v>
      </c>
      <c r="AR47" s="9">
        <f t="shared" si="14"/>
        <v>17797522.276738834</v>
      </c>
    </row>
    <row r="50" spans="2:44" x14ac:dyDescent="0.2">
      <c r="B50" s="3"/>
      <c r="C50" s="3"/>
      <c r="D50" s="3" t="s">
        <v>10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2:44" x14ac:dyDescent="0.2">
      <c r="B51" s="4" t="s">
        <v>566</v>
      </c>
      <c r="C51" s="4"/>
      <c r="D51" s="5">
        <v>0</v>
      </c>
      <c r="E51" s="5">
        <v>1</v>
      </c>
      <c r="F51" s="5">
        <v>2</v>
      </c>
      <c r="G51" s="5">
        <v>3</v>
      </c>
      <c r="H51" s="5">
        <v>4</v>
      </c>
      <c r="I51" s="5">
        <v>5</v>
      </c>
      <c r="J51" s="5">
        <v>6</v>
      </c>
      <c r="K51" s="5">
        <v>7</v>
      </c>
      <c r="L51" s="5">
        <v>8</v>
      </c>
      <c r="M51" s="5">
        <v>9</v>
      </c>
      <c r="N51" s="5">
        <v>10</v>
      </c>
      <c r="O51" s="5">
        <v>11</v>
      </c>
      <c r="P51" s="5">
        <v>12</v>
      </c>
      <c r="Q51" s="5">
        <v>13</v>
      </c>
      <c r="R51" s="5">
        <v>14</v>
      </c>
      <c r="S51" s="5">
        <v>15</v>
      </c>
      <c r="T51" s="5">
        <v>16</v>
      </c>
      <c r="U51" s="5">
        <v>17</v>
      </c>
      <c r="V51" s="5">
        <v>18</v>
      </c>
      <c r="W51" s="5">
        <v>19</v>
      </c>
      <c r="X51" s="5">
        <v>20</v>
      </c>
      <c r="Y51" s="5">
        <v>21</v>
      </c>
      <c r="Z51" s="5">
        <v>22</v>
      </c>
      <c r="AA51" s="5">
        <v>23</v>
      </c>
      <c r="AB51" s="5">
        <v>24</v>
      </c>
      <c r="AC51" s="5">
        <v>25</v>
      </c>
      <c r="AD51" s="5">
        <v>26</v>
      </c>
      <c r="AE51" s="5">
        <v>27</v>
      </c>
      <c r="AF51" s="5">
        <v>28</v>
      </c>
      <c r="AG51" s="5">
        <v>29</v>
      </c>
      <c r="AH51" s="5">
        <v>30</v>
      </c>
      <c r="AI51" s="5">
        <v>31</v>
      </c>
      <c r="AJ51" s="5">
        <v>32</v>
      </c>
      <c r="AK51" s="5">
        <v>33</v>
      </c>
      <c r="AL51" s="5">
        <v>34</v>
      </c>
      <c r="AM51" s="5">
        <v>35</v>
      </c>
      <c r="AN51" s="5">
        <v>36</v>
      </c>
      <c r="AO51" s="5">
        <v>37</v>
      </c>
      <c r="AP51" s="5">
        <v>38</v>
      </c>
      <c r="AQ51" s="5">
        <v>39</v>
      </c>
      <c r="AR51" s="5">
        <v>40</v>
      </c>
    </row>
    <row r="52" spans="2:44" ht="12" thickBot="1" x14ac:dyDescent="0.25">
      <c r="B52" s="6" t="s">
        <v>34</v>
      </c>
      <c r="C52" s="354" t="s">
        <v>9</v>
      </c>
      <c r="D52" s="751">
        <v>2025</v>
      </c>
      <c r="E52" s="7">
        <f>$D$10+E51</f>
        <v>2026</v>
      </c>
      <c r="F52" s="7">
        <f t="shared" ref="F52:AR52" si="15">$D$10+F51</f>
        <v>2027</v>
      </c>
      <c r="G52" s="7">
        <f t="shared" si="15"/>
        <v>2028</v>
      </c>
      <c r="H52" s="7">
        <f t="shared" si="15"/>
        <v>2029</v>
      </c>
      <c r="I52" s="7">
        <f t="shared" si="15"/>
        <v>2030</v>
      </c>
      <c r="J52" s="7">
        <f t="shared" si="15"/>
        <v>2031</v>
      </c>
      <c r="K52" s="7">
        <f t="shared" si="15"/>
        <v>2032</v>
      </c>
      <c r="L52" s="7">
        <f t="shared" si="15"/>
        <v>2033</v>
      </c>
      <c r="M52" s="7">
        <f t="shared" si="15"/>
        <v>2034</v>
      </c>
      <c r="N52" s="7">
        <f t="shared" si="15"/>
        <v>2035</v>
      </c>
      <c r="O52" s="7">
        <f t="shared" si="15"/>
        <v>2036</v>
      </c>
      <c r="P52" s="7">
        <f t="shared" si="15"/>
        <v>2037</v>
      </c>
      <c r="Q52" s="7">
        <f t="shared" si="15"/>
        <v>2038</v>
      </c>
      <c r="R52" s="7">
        <f t="shared" si="15"/>
        <v>2039</v>
      </c>
      <c r="S52" s="7">
        <f t="shared" si="15"/>
        <v>2040</v>
      </c>
      <c r="T52" s="7">
        <f t="shared" si="15"/>
        <v>2041</v>
      </c>
      <c r="U52" s="7">
        <f t="shared" si="15"/>
        <v>2042</v>
      </c>
      <c r="V52" s="7">
        <f t="shared" si="15"/>
        <v>2043</v>
      </c>
      <c r="W52" s="7">
        <f t="shared" si="15"/>
        <v>2044</v>
      </c>
      <c r="X52" s="7">
        <f t="shared" si="15"/>
        <v>2045</v>
      </c>
      <c r="Y52" s="7">
        <f t="shared" si="15"/>
        <v>2046</v>
      </c>
      <c r="Z52" s="7">
        <f t="shared" si="15"/>
        <v>2047</v>
      </c>
      <c r="AA52" s="7">
        <f t="shared" si="15"/>
        <v>2048</v>
      </c>
      <c r="AB52" s="7">
        <f t="shared" si="15"/>
        <v>2049</v>
      </c>
      <c r="AC52" s="7">
        <f t="shared" si="15"/>
        <v>2050</v>
      </c>
      <c r="AD52" s="7">
        <f t="shared" si="15"/>
        <v>2051</v>
      </c>
      <c r="AE52" s="7">
        <f t="shared" si="15"/>
        <v>2052</v>
      </c>
      <c r="AF52" s="7">
        <f t="shared" si="15"/>
        <v>2053</v>
      </c>
      <c r="AG52" s="7">
        <f t="shared" si="15"/>
        <v>2054</v>
      </c>
      <c r="AH52" s="7">
        <f t="shared" si="15"/>
        <v>2055</v>
      </c>
      <c r="AI52" s="7">
        <f t="shared" si="15"/>
        <v>2056</v>
      </c>
      <c r="AJ52" s="7">
        <f t="shared" si="15"/>
        <v>2057</v>
      </c>
      <c r="AK52" s="7">
        <f t="shared" si="15"/>
        <v>2058</v>
      </c>
      <c r="AL52" s="7">
        <f t="shared" si="15"/>
        <v>2059</v>
      </c>
      <c r="AM52" s="7">
        <f t="shared" si="15"/>
        <v>2060</v>
      </c>
      <c r="AN52" s="7">
        <f t="shared" si="15"/>
        <v>2061</v>
      </c>
      <c r="AO52" s="7">
        <f t="shared" si="15"/>
        <v>2062</v>
      </c>
      <c r="AP52" s="7">
        <f t="shared" si="15"/>
        <v>2063</v>
      </c>
      <c r="AQ52" s="7">
        <f t="shared" si="15"/>
        <v>2064</v>
      </c>
      <c r="AR52" s="7">
        <f t="shared" si="15"/>
        <v>2065</v>
      </c>
    </row>
    <row r="53" spans="2:44" x14ac:dyDescent="0.2">
      <c r="B53" s="349" t="s">
        <v>685</v>
      </c>
      <c r="C53" s="284">
        <f>SUM(E53:AR53)</f>
        <v>29543736636.08176</v>
      </c>
      <c r="D53" s="355"/>
      <c r="E53" s="9">
        <f t="shared" ref="E53:AR53" si="16">E41*$K$5</f>
        <v>667507337.10901701</v>
      </c>
      <c r="F53" s="9">
        <f t="shared" si="16"/>
        <v>674182410.48010719</v>
      </c>
      <c r="G53" s="9">
        <f t="shared" si="16"/>
        <v>680924234.58490825</v>
      </c>
      <c r="H53" s="9">
        <f t="shared" si="16"/>
        <v>688971397.18923271</v>
      </c>
      <c r="I53" s="9">
        <f t="shared" si="16"/>
        <v>696972488.45984507</v>
      </c>
      <c r="J53" s="9">
        <f t="shared" si="16"/>
        <v>704363147.49633396</v>
      </c>
      <c r="K53" s="9">
        <f t="shared" si="16"/>
        <v>711406778.97129714</v>
      </c>
      <c r="L53" s="9">
        <f t="shared" si="16"/>
        <v>718520846.76101029</v>
      </c>
      <c r="M53" s="9">
        <f t="shared" si="16"/>
        <v>725706055.22862029</v>
      </c>
      <c r="N53" s="9">
        <f t="shared" si="16"/>
        <v>732963115.78090644</v>
      </c>
      <c r="O53" s="9">
        <f t="shared" si="16"/>
        <v>740292746.93871558</v>
      </c>
      <c r="P53" s="9">
        <f t="shared" si="16"/>
        <v>747695674.40810275</v>
      </c>
      <c r="Q53" s="9">
        <f t="shared" si="16"/>
        <v>755172631.15218377</v>
      </c>
      <c r="R53" s="9">
        <f t="shared" si="16"/>
        <v>762724357.46370566</v>
      </c>
      <c r="S53" s="9">
        <f t="shared" si="16"/>
        <v>770351601.03834271</v>
      </c>
      <c r="T53" s="9">
        <f t="shared" si="16"/>
        <v>768810897.83626604</v>
      </c>
      <c r="U53" s="9">
        <f t="shared" si="16"/>
        <v>767273276.04059339</v>
      </c>
      <c r="V53" s="9">
        <f t="shared" si="16"/>
        <v>765738729.48851216</v>
      </c>
      <c r="W53" s="9">
        <f t="shared" si="16"/>
        <v>764207252.02953517</v>
      </c>
      <c r="X53" s="9">
        <f t="shared" si="16"/>
        <v>762678837.5254761</v>
      </c>
      <c r="Y53" s="9">
        <f t="shared" si="16"/>
        <v>761153479.85042524</v>
      </c>
      <c r="Z53" s="9">
        <f t="shared" si="16"/>
        <v>759631172.8907243</v>
      </c>
      <c r="AA53" s="9">
        <f t="shared" si="16"/>
        <v>758111910.54494274</v>
      </c>
      <c r="AB53" s="9">
        <f t="shared" si="16"/>
        <v>756595686.72385287</v>
      </c>
      <c r="AC53" s="9">
        <f t="shared" si="16"/>
        <v>755082495.35040522</v>
      </c>
      <c r="AD53" s="9">
        <f t="shared" si="16"/>
        <v>753572330.35970438</v>
      </c>
      <c r="AE53" s="9">
        <f t="shared" si="16"/>
        <v>752065185.69898486</v>
      </c>
      <c r="AF53" s="9">
        <f t="shared" si="16"/>
        <v>750561055.32758689</v>
      </c>
      <c r="AG53" s="9">
        <f t="shared" si="16"/>
        <v>749059933.2169317</v>
      </c>
      <c r="AH53" s="9">
        <f t="shared" si="16"/>
        <v>747561813.35049784</v>
      </c>
      <c r="AI53" s="9">
        <f t="shared" si="16"/>
        <v>746066689.72379684</v>
      </c>
      <c r="AJ53" s="9">
        <f t="shared" si="16"/>
        <v>744574556.34434938</v>
      </c>
      <c r="AK53" s="9">
        <f t="shared" si="16"/>
        <v>743085407.2316606</v>
      </c>
      <c r="AL53" s="9">
        <f t="shared" si="16"/>
        <v>741599236.41719723</v>
      </c>
      <c r="AM53" s="9">
        <f t="shared" si="16"/>
        <v>740116037.94436288</v>
      </c>
      <c r="AN53" s="9">
        <f t="shared" si="16"/>
        <v>738635805.86847425</v>
      </c>
      <c r="AO53" s="9">
        <f t="shared" si="16"/>
        <v>737158534.25673723</v>
      </c>
      <c r="AP53" s="9">
        <f t="shared" si="16"/>
        <v>735684217.18822384</v>
      </c>
      <c r="AQ53" s="9">
        <f t="shared" si="16"/>
        <v>734212848.75384736</v>
      </c>
      <c r="AR53" s="9">
        <f t="shared" si="16"/>
        <v>732744423.05633962</v>
      </c>
    </row>
    <row r="56" spans="2:44" x14ac:dyDescent="0.2">
      <c r="B56" s="3"/>
      <c r="C56" s="3"/>
      <c r="D56" s="3" t="s">
        <v>10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2:44" x14ac:dyDescent="0.2">
      <c r="B57" s="4" t="s">
        <v>567</v>
      </c>
      <c r="C57" s="4"/>
      <c r="D57" s="5">
        <v>0</v>
      </c>
      <c r="E57" s="5">
        <v>1</v>
      </c>
      <c r="F57" s="5">
        <v>2</v>
      </c>
      <c r="G57" s="5">
        <v>3</v>
      </c>
      <c r="H57" s="5">
        <v>4</v>
      </c>
      <c r="I57" s="5">
        <v>5</v>
      </c>
      <c r="J57" s="5">
        <v>6</v>
      </c>
      <c r="K57" s="5">
        <v>7</v>
      </c>
      <c r="L57" s="5">
        <v>8</v>
      </c>
      <c r="M57" s="5">
        <v>9</v>
      </c>
      <c r="N57" s="5">
        <v>10</v>
      </c>
      <c r="O57" s="5">
        <v>11</v>
      </c>
      <c r="P57" s="5">
        <v>12</v>
      </c>
      <c r="Q57" s="5">
        <v>13</v>
      </c>
      <c r="R57" s="5">
        <v>14</v>
      </c>
      <c r="S57" s="5">
        <v>15</v>
      </c>
      <c r="T57" s="5">
        <v>16</v>
      </c>
      <c r="U57" s="5">
        <v>17</v>
      </c>
      <c r="V57" s="5">
        <v>18</v>
      </c>
      <c r="W57" s="5">
        <v>19</v>
      </c>
      <c r="X57" s="5">
        <v>20</v>
      </c>
      <c r="Y57" s="5">
        <v>21</v>
      </c>
      <c r="Z57" s="5">
        <v>22</v>
      </c>
      <c r="AA57" s="5">
        <v>23</v>
      </c>
      <c r="AB57" s="5">
        <v>24</v>
      </c>
      <c r="AC57" s="5">
        <v>25</v>
      </c>
      <c r="AD57" s="5">
        <v>26</v>
      </c>
      <c r="AE57" s="5">
        <v>27</v>
      </c>
      <c r="AF57" s="5">
        <v>28</v>
      </c>
      <c r="AG57" s="5">
        <v>29</v>
      </c>
      <c r="AH57" s="5">
        <v>30</v>
      </c>
      <c r="AI57" s="5">
        <v>31</v>
      </c>
      <c r="AJ57" s="5">
        <v>32</v>
      </c>
      <c r="AK57" s="5">
        <v>33</v>
      </c>
      <c r="AL57" s="5">
        <v>34</v>
      </c>
      <c r="AM57" s="5">
        <v>35</v>
      </c>
      <c r="AN57" s="5">
        <v>36</v>
      </c>
      <c r="AO57" s="5">
        <v>37</v>
      </c>
      <c r="AP57" s="5">
        <v>38</v>
      </c>
      <c r="AQ57" s="5">
        <v>39</v>
      </c>
      <c r="AR57" s="5">
        <v>40</v>
      </c>
    </row>
    <row r="58" spans="2:44" x14ac:dyDescent="0.2">
      <c r="B58" s="350" t="s">
        <v>34</v>
      </c>
      <c r="C58" s="354" t="s">
        <v>9</v>
      </c>
      <c r="D58" s="751">
        <v>2025</v>
      </c>
      <c r="E58" s="7">
        <f>$D$10+E57</f>
        <v>2026</v>
      </c>
      <c r="F58" s="7">
        <f t="shared" ref="F58:AR58" si="17">$D$10+F57</f>
        <v>2027</v>
      </c>
      <c r="G58" s="7">
        <f t="shared" si="17"/>
        <v>2028</v>
      </c>
      <c r="H58" s="7">
        <f t="shared" si="17"/>
        <v>2029</v>
      </c>
      <c r="I58" s="7">
        <f t="shared" si="17"/>
        <v>2030</v>
      </c>
      <c r="J58" s="7">
        <f t="shared" si="17"/>
        <v>2031</v>
      </c>
      <c r="K58" s="7">
        <f t="shared" si="17"/>
        <v>2032</v>
      </c>
      <c r="L58" s="7">
        <f t="shared" si="17"/>
        <v>2033</v>
      </c>
      <c r="M58" s="7">
        <f t="shared" si="17"/>
        <v>2034</v>
      </c>
      <c r="N58" s="7">
        <f t="shared" si="17"/>
        <v>2035</v>
      </c>
      <c r="O58" s="7">
        <f t="shared" si="17"/>
        <v>2036</v>
      </c>
      <c r="P58" s="7">
        <f t="shared" si="17"/>
        <v>2037</v>
      </c>
      <c r="Q58" s="7">
        <f t="shared" si="17"/>
        <v>2038</v>
      </c>
      <c r="R58" s="7">
        <f t="shared" si="17"/>
        <v>2039</v>
      </c>
      <c r="S58" s="7">
        <f t="shared" si="17"/>
        <v>2040</v>
      </c>
      <c r="T58" s="7">
        <f t="shared" si="17"/>
        <v>2041</v>
      </c>
      <c r="U58" s="7">
        <f t="shared" si="17"/>
        <v>2042</v>
      </c>
      <c r="V58" s="7">
        <f t="shared" si="17"/>
        <v>2043</v>
      </c>
      <c r="W58" s="7">
        <f t="shared" si="17"/>
        <v>2044</v>
      </c>
      <c r="X58" s="7">
        <f t="shared" si="17"/>
        <v>2045</v>
      </c>
      <c r="Y58" s="7">
        <f t="shared" si="17"/>
        <v>2046</v>
      </c>
      <c r="Z58" s="7">
        <f t="shared" si="17"/>
        <v>2047</v>
      </c>
      <c r="AA58" s="7">
        <f t="shared" si="17"/>
        <v>2048</v>
      </c>
      <c r="AB58" s="7">
        <f t="shared" si="17"/>
        <v>2049</v>
      </c>
      <c r="AC58" s="7">
        <f t="shared" si="17"/>
        <v>2050</v>
      </c>
      <c r="AD58" s="7">
        <f t="shared" si="17"/>
        <v>2051</v>
      </c>
      <c r="AE58" s="7">
        <f t="shared" si="17"/>
        <v>2052</v>
      </c>
      <c r="AF58" s="7">
        <f t="shared" si="17"/>
        <v>2053</v>
      </c>
      <c r="AG58" s="7">
        <f t="shared" si="17"/>
        <v>2054</v>
      </c>
      <c r="AH58" s="7">
        <f t="shared" si="17"/>
        <v>2055</v>
      </c>
      <c r="AI58" s="7">
        <f t="shared" si="17"/>
        <v>2056</v>
      </c>
      <c r="AJ58" s="7">
        <f t="shared" si="17"/>
        <v>2057</v>
      </c>
      <c r="AK58" s="7">
        <f t="shared" si="17"/>
        <v>2058</v>
      </c>
      <c r="AL58" s="7">
        <f t="shared" si="17"/>
        <v>2059</v>
      </c>
      <c r="AM58" s="7">
        <f t="shared" si="17"/>
        <v>2060</v>
      </c>
      <c r="AN58" s="7">
        <f t="shared" si="17"/>
        <v>2061</v>
      </c>
      <c r="AO58" s="7">
        <f t="shared" si="17"/>
        <v>2062</v>
      </c>
      <c r="AP58" s="7">
        <f t="shared" si="17"/>
        <v>2063</v>
      </c>
      <c r="AQ58" s="7">
        <f t="shared" si="17"/>
        <v>2064</v>
      </c>
      <c r="AR58" s="7">
        <f t="shared" si="17"/>
        <v>2065</v>
      </c>
    </row>
    <row r="59" spans="2:44" x14ac:dyDescent="0.2">
      <c r="B59" s="351" t="s">
        <v>685</v>
      </c>
      <c r="C59" s="284">
        <f>SUM(E59:AR59)</f>
        <v>361009747.85821664</v>
      </c>
      <c r="D59" s="355"/>
      <c r="E59" s="9">
        <f>E29</f>
        <v>8186457.0765657369</v>
      </c>
      <c r="F59" s="9">
        <f>F29</f>
        <v>8268321.6473313952</v>
      </c>
      <c r="G59" s="9">
        <f>G29</f>
        <v>8351004.8638047082</v>
      </c>
      <c r="H59" s="9">
        <f>H29</f>
        <v>8434514.9124427568</v>
      </c>
      <c r="I59" s="9">
        <f t="shared" ref="I59:AR59" si="18">I11*$R$5</f>
        <v>8518860.0615671836</v>
      </c>
      <c r="J59" s="9">
        <f t="shared" si="18"/>
        <v>8604048.6621828564</v>
      </c>
      <c r="K59" s="9">
        <f t="shared" si="18"/>
        <v>8690089.1488046832</v>
      </c>
      <c r="L59" s="9">
        <f t="shared" si="18"/>
        <v>8776990.0402927306</v>
      </c>
      <c r="M59" s="9">
        <f t="shared" si="18"/>
        <v>8864759.9406956583</v>
      </c>
      <c r="N59" s="9">
        <f t="shared" si="18"/>
        <v>8953407.5401026141</v>
      </c>
      <c r="O59" s="9">
        <f t="shared" si="18"/>
        <v>9042941.6155036408</v>
      </c>
      <c r="P59" s="9">
        <f t="shared" si="18"/>
        <v>9133371.0316586774</v>
      </c>
      <c r="Q59" s="9">
        <f t="shared" si="18"/>
        <v>9224704.7419752646</v>
      </c>
      <c r="R59" s="9">
        <f t="shared" si="18"/>
        <v>9316951.7893950175</v>
      </c>
      <c r="S59" s="9">
        <f t="shared" si="18"/>
        <v>9410121.3072889689</v>
      </c>
      <c r="T59" s="9">
        <f t="shared" si="18"/>
        <v>9391301.0646743905</v>
      </c>
      <c r="U59" s="9">
        <f t="shared" si="18"/>
        <v>9372518.462545041</v>
      </c>
      <c r="V59" s="9">
        <f t="shared" si="18"/>
        <v>9353773.4256199505</v>
      </c>
      <c r="W59" s="9">
        <f t="shared" si="18"/>
        <v>9335065.8787687104</v>
      </c>
      <c r="X59" s="9">
        <f t="shared" si="18"/>
        <v>9316395.7470111735</v>
      </c>
      <c r="Y59" s="9">
        <f t="shared" si="18"/>
        <v>9297762.9555171505</v>
      </c>
      <c r="Z59" s="9">
        <f t="shared" si="18"/>
        <v>9279167.4296061154</v>
      </c>
      <c r="AA59" s="9">
        <f t="shared" si="18"/>
        <v>9260609.0947469026</v>
      </c>
      <c r="AB59" s="9">
        <f t="shared" si="18"/>
        <v>9242087.8765574098</v>
      </c>
      <c r="AC59" s="9">
        <f t="shared" si="18"/>
        <v>9223603.7008042932</v>
      </c>
      <c r="AD59" s="9">
        <f t="shared" si="18"/>
        <v>9205156.4934026841</v>
      </c>
      <c r="AE59" s="9">
        <f t="shared" si="18"/>
        <v>9186746.1804158799</v>
      </c>
      <c r="AF59" s="9">
        <f t="shared" si="18"/>
        <v>9168372.6880550459</v>
      </c>
      <c r="AG59" s="9">
        <f t="shared" si="18"/>
        <v>9150035.9426789358</v>
      </c>
      <c r="AH59" s="9">
        <f t="shared" si="18"/>
        <v>9131735.8707935791</v>
      </c>
      <c r="AI59" s="9">
        <f t="shared" si="18"/>
        <v>9113472.3990519922</v>
      </c>
      <c r="AJ59" s="9">
        <f t="shared" si="18"/>
        <v>9095245.4542538878</v>
      </c>
      <c r="AK59" s="9">
        <f t="shared" si="18"/>
        <v>9077054.9633453805</v>
      </c>
      <c r="AL59" s="9">
        <f t="shared" si="18"/>
        <v>9058900.8534186892</v>
      </c>
      <c r="AM59" s="9">
        <f t="shared" si="18"/>
        <v>9040783.0517118517</v>
      </c>
      <c r="AN59" s="9">
        <f t="shared" si="18"/>
        <v>9022701.4856084287</v>
      </c>
      <c r="AO59" s="9">
        <f t="shared" si="18"/>
        <v>9004656.0826372132</v>
      </c>
      <c r="AP59" s="9">
        <f t="shared" si="18"/>
        <v>8986646.770471938</v>
      </c>
      <c r="AQ59" s="9">
        <f t="shared" si="18"/>
        <v>8968673.4769309945</v>
      </c>
      <c r="AR59" s="9">
        <f t="shared" si="18"/>
        <v>8950736.1299771313</v>
      </c>
    </row>
    <row r="60" spans="2:44" ht="22.5" x14ac:dyDescent="0.2">
      <c r="B60" s="351" t="s">
        <v>721</v>
      </c>
      <c r="C60" s="8">
        <f>SUM(E60:AR60)</f>
        <v>353199025.02198482</v>
      </c>
      <c r="D60" s="355"/>
      <c r="E60" s="9">
        <f>E59</f>
        <v>8186457.0765657369</v>
      </c>
      <c r="F60" s="9">
        <f t="shared" ref="F60:G60" si="19">F59</f>
        <v>8268321.6473313952</v>
      </c>
      <c r="G60" s="9">
        <f t="shared" si="19"/>
        <v>8351004.8638047082</v>
      </c>
      <c r="H60" s="9">
        <f>H59-(H59/8*6*P5/60)</f>
        <v>8199402.8092584154</v>
      </c>
      <c r="I60" s="9">
        <f>I59-(I59/8*3*P5/60)</f>
        <v>8400128.4494590908</v>
      </c>
      <c r="J60" s="9">
        <f>J59-J41*$P$5/60</f>
        <v>8403080.0407436341</v>
      </c>
      <c r="K60" s="9">
        <f t="shared" ref="K60:AR60" si="20">K59-K41*$P$5/60</f>
        <v>8487110.841151068</v>
      </c>
      <c r="L60" s="9">
        <f t="shared" si="20"/>
        <v>8571981.9495625794</v>
      </c>
      <c r="M60" s="9">
        <f t="shared" si="20"/>
        <v>8657701.7690582052</v>
      </c>
      <c r="N60" s="9">
        <f t="shared" si="20"/>
        <v>8744278.7867487874</v>
      </c>
      <c r="O60" s="9">
        <f t="shared" si="20"/>
        <v>8831721.5746162757</v>
      </c>
      <c r="P60" s="9">
        <f t="shared" si="20"/>
        <v>8920038.7903624382</v>
      </c>
      <c r="Q60" s="9">
        <f t="shared" si="20"/>
        <v>9009239.1782660633</v>
      </c>
      <c r="R60" s="9">
        <f t="shared" si="20"/>
        <v>9099331.5700487234</v>
      </c>
      <c r="S60" s="9">
        <f t="shared" si="20"/>
        <v>9190324.8857492115</v>
      </c>
      <c r="T60" s="9">
        <f t="shared" si="20"/>
        <v>9171944.235977713</v>
      </c>
      <c r="U60" s="9">
        <f t="shared" si="20"/>
        <v>9153600.3475057576</v>
      </c>
      <c r="V60" s="9">
        <f t="shared" si="20"/>
        <v>9135293.1468107458</v>
      </c>
      <c r="W60" s="9">
        <f t="shared" si="20"/>
        <v>9117022.560517123</v>
      </c>
      <c r="X60" s="9">
        <f t="shared" si="20"/>
        <v>9098788.5153960902</v>
      </c>
      <c r="Y60" s="9">
        <f t="shared" si="20"/>
        <v>9080590.9383652974</v>
      </c>
      <c r="Z60" s="9">
        <f t="shared" si="20"/>
        <v>9062429.7564885654</v>
      </c>
      <c r="AA60" s="9">
        <f t="shared" si="20"/>
        <v>9044304.8969755881</v>
      </c>
      <c r="AB60" s="9">
        <f t="shared" si="20"/>
        <v>9026216.2871816382</v>
      </c>
      <c r="AC60" s="9">
        <f t="shared" si="20"/>
        <v>9008163.8546072729</v>
      </c>
      <c r="AD60" s="9">
        <f t="shared" si="20"/>
        <v>8990147.5268980581</v>
      </c>
      <c r="AE60" s="9">
        <f t="shared" si="20"/>
        <v>8972167.2318442632</v>
      </c>
      <c r="AF60" s="9">
        <f t="shared" si="20"/>
        <v>8954222.8973805718</v>
      </c>
      <c r="AG60" s="9">
        <f t="shared" si="20"/>
        <v>8936314.4515858106</v>
      </c>
      <c r="AH60" s="9">
        <f t="shared" si="20"/>
        <v>8918441.8226826396</v>
      </c>
      <c r="AI60" s="9">
        <f t="shared" si="20"/>
        <v>8900604.9390372746</v>
      </c>
      <c r="AJ60" s="9">
        <f t="shared" si="20"/>
        <v>8882803.7291592006</v>
      </c>
      <c r="AK60" s="9">
        <f t="shared" si="20"/>
        <v>8865038.1217008829</v>
      </c>
      <c r="AL60" s="9">
        <f t="shared" si="20"/>
        <v>8847308.0454574805</v>
      </c>
      <c r="AM60" s="9">
        <f t="shared" si="20"/>
        <v>8829613.4293665644</v>
      </c>
      <c r="AN60" s="9">
        <f t="shared" si="20"/>
        <v>8811954.202507833</v>
      </c>
      <c r="AO60" s="9">
        <f t="shared" si="20"/>
        <v>8794330.2941028178</v>
      </c>
      <c r="AP60" s="9">
        <f t="shared" si="20"/>
        <v>8776741.6335146111</v>
      </c>
      <c r="AQ60" s="9">
        <f t="shared" si="20"/>
        <v>8759188.1502475832</v>
      </c>
      <c r="AR60" s="9">
        <f t="shared" si="20"/>
        <v>8741669.7739470862</v>
      </c>
    </row>
    <row r="63" spans="2:44" x14ac:dyDescent="0.2">
      <c r="B63" s="3"/>
      <c r="C63" s="3"/>
      <c r="D63" s="3" t="s">
        <v>10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44" x14ac:dyDescent="0.2">
      <c r="B64" s="4" t="s">
        <v>568</v>
      </c>
      <c r="C64" s="4"/>
      <c r="D64" s="5">
        <v>0</v>
      </c>
      <c r="E64" s="5">
        <v>1</v>
      </c>
      <c r="F64" s="5">
        <v>2</v>
      </c>
      <c r="G64" s="5">
        <v>3</v>
      </c>
      <c r="H64" s="5">
        <v>4</v>
      </c>
      <c r="I64" s="5">
        <v>5</v>
      </c>
      <c r="J64" s="5">
        <v>6</v>
      </c>
      <c r="K64" s="5">
        <v>7</v>
      </c>
      <c r="L64" s="5">
        <v>8</v>
      </c>
      <c r="M64" s="5">
        <v>9</v>
      </c>
      <c r="N64" s="5">
        <v>10</v>
      </c>
      <c r="O64" s="5">
        <v>11</v>
      </c>
      <c r="P64" s="5">
        <v>12</v>
      </c>
      <c r="Q64" s="5">
        <v>13</v>
      </c>
      <c r="R64" s="5">
        <v>14</v>
      </c>
      <c r="S64" s="5">
        <v>15</v>
      </c>
      <c r="T64" s="5">
        <v>16</v>
      </c>
      <c r="U64" s="5">
        <v>17</v>
      </c>
      <c r="V64" s="5">
        <v>18</v>
      </c>
      <c r="W64" s="5">
        <v>19</v>
      </c>
      <c r="X64" s="5">
        <v>20</v>
      </c>
      <c r="Y64" s="5">
        <v>21</v>
      </c>
      <c r="Z64" s="5">
        <v>22</v>
      </c>
      <c r="AA64" s="5">
        <v>23</v>
      </c>
      <c r="AB64" s="5">
        <v>24</v>
      </c>
      <c r="AC64" s="5">
        <v>25</v>
      </c>
      <c r="AD64" s="5">
        <v>26</v>
      </c>
      <c r="AE64" s="5">
        <v>27</v>
      </c>
      <c r="AF64" s="5">
        <v>28</v>
      </c>
      <c r="AG64" s="5">
        <v>29</v>
      </c>
      <c r="AH64" s="5">
        <v>30</v>
      </c>
      <c r="AI64" s="5">
        <v>31</v>
      </c>
      <c r="AJ64" s="5">
        <v>32</v>
      </c>
      <c r="AK64" s="5">
        <v>33</v>
      </c>
      <c r="AL64" s="5">
        <v>34</v>
      </c>
      <c r="AM64" s="5">
        <v>35</v>
      </c>
      <c r="AN64" s="5">
        <v>36</v>
      </c>
      <c r="AO64" s="5">
        <v>37</v>
      </c>
      <c r="AP64" s="5">
        <v>38</v>
      </c>
      <c r="AQ64" s="5">
        <v>39</v>
      </c>
      <c r="AR64" s="5">
        <v>40</v>
      </c>
    </row>
    <row r="65" spans="2:44" ht="12" thickBot="1" x14ac:dyDescent="0.25">
      <c r="B65" s="6" t="s">
        <v>34</v>
      </c>
      <c r="C65" s="354" t="s">
        <v>9</v>
      </c>
      <c r="D65" s="751">
        <v>2025</v>
      </c>
      <c r="E65" s="7">
        <f>$D$10+E64</f>
        <v>2026</v>
      </c>
      <c r="F65" s="7">
        <f t="shared" ref="F65:AR65" si="21">$D$10+F64</f>
        <v>2027</v>
      </c>
      <c r="G65" s="7">
        <f t="shared" si="21"/>
        <v>2028</v>
      </c>
      <c r="H65" s="7">
        <f t="shared" si="21"/>
        <v>2029</v>
      </c>
      <c r="I65" s="7">
        <f t="shared" si="21"/>
        <v>2030</v>
      </c>
      <c r="J65" s="7">
        <f t="shared" si="21"/>
        <v>2031</v>
      </c>
      <c r="K65" s="7">
        <f t="shared" si="21"/>
        <v>2032</v>
      </c>
      <c r="L65" s="7">
        <f t="shared" si="21"/>
        <v>2033</v>
      </c>
      <c r="M65" s="7">
        <f t="shared" si="21"/>
        <v>2034</v>
      </c>
      <c r="N65" s="7">
        <f t="shared" si="21"/>
        <v>2035</v>
      </c>
      <c r="O65" s="7">
        <f t="shared" si="21"/>
        <v>2036</v>
      </c>
      <c r="P65" s="7">
        <f t="shared" si="21"/>
        <v>2037</v>
      </c>
      <c r="Q65" s="7">
        <f t="shared" si="21"/>
        <v>2038</v>
      </c>
      <c r="R65" s="7">
        <f t="shared" si="21"/>
        <v>2039</v>
      </c>
      <c r="S65" s="7">
        <f t="shared" si="21"/>
        <v>2040</v>
      </c>
      <c r="T65" s="7">
        <f t="shared" si="21"/>
        <v>2041</v>
      </c>
      <c r="U65" s="7">
        <f t="shared" si="21"/>
        <v>2042</v>
      </c>
      <c r="V65" s="7">
        <f t="shared" si="21"/>
        <v>2043</v>
      </c>
      <c r="W65" s="7">
        <f t="shared" si="21"/>
        <v>2044</v>
      </c>
      <c r="X65" s="7">
        <f t="shared" si="21"/>
        <v>2045</v>
      </c>
      <c r="Y65" s="7">
        <f t="shared" si="21"/>
        <v>2046</v>
      </c>
      <c r="Z65" s="7">
        <f t="shared" si="21"/>
        <v>2047</v>
      </c>
      <c r="AA65" s="7">
        <f t="shared" si="21"/>
        <v>2048</v>
      </c>
      <c r="AB65" s="7">
        <f t="shared" si="21"/>
        <v>2049</v>
      </c>
      <c r="AC65" s="7">
        <f t="shared" si="21"/>
        <v>2050</v>
      </c>
      <c r="AD65" s="7">
        <f t="shared" si="21"/>
        <v>2051</v>
      </c>
      <c r="AE65" s="7">
        <f t="shared" si="21"/>
        <v>2052</v>
      </c>
      <c r="AF65" s="7">
        <f t="shared" si="21"/>
        <v>2053</v>
      </c>
      <c r="AG65" s="7">
        <f t="shared" si="21"/>
        <v>2054</v>
      </c>
      <c r="AH65" s="7">
        <f t="shared" si="21"/>
        <v>2055</v>
      </c>
      <c r="AI65" s="7">
        <f t="shared" si="21"/>
        <v>2056</v>
      </c>
      <c r="AJ65" s="7">
        <f t="shared" si="21"/>
        <v>2057</v>
      </c>
      <c r="AK65" s="7">
        <f t="shared" si="21"/>
        <v>2058</v>
      </c>
      <c r="AL65" s="7">
        <f t="shared" si="21"/>
        <v>2059</v>
      </c>
      <c r="AM65" s="7">
        <f t="shared" si="21"/>
        <v>2060</v>
      </c>
      <c r="AN65" s="7">
        <f t="shared" si="21"/>
        <v>2061</v>
      </c>
      <c r="AO65" s="7">
        <f t="shared" si="21"/>
        <v>2062</v>
      </c>
      <c r="AP65" s="7">
        <f t="shared" si="21"/>
        <v>2063</v>
      </c>
      <c r="AQ65" s="7">
        <f t="shared" si="21"/>
        <v>2064</v>
      </c>
      <c r="AR65" s="7">
        <f t="shared" si="21"/>
        <v>2065</v>
      </c>
    </row>
    <row r="66" spans="2:44" x14ac:dyDescent="0.2">
      <c r="B66" s="349" t="s">
        <v>685</v>
      </c>
      <c r="C66" s="284">
        <f>SUM(E66:AR66)</f>
        <v>1321148.608237745</v>
      </c>
      <c r="D66" s="355"/>
      <c r="E66" s="9">
        <f t="shared" ref="E66:AR66" si="22">E35*$R$5</f>
        <v>0</v>
      </c>
      <c r="F66" s="9">
        <f t="shared" si="22"/>
        <v>0</v>
      </c>
      <c r="G66" s="9">
        <f t="shared" si="22"/>
        <v>0</v>
      </c>
      <c r="H66" s="9">
        <f t="shared" si="22"/>
        <v>15182.12684239696</v>
      </c>
      <c r="I66" s="9">
        <f t="shared" si="22"/>
        <v>28964.124209328424</v>
      </c>
      <c r="J66" s="9">
        <f t="shared" si="22"/>
        <v>34416.194648731427</v>
      </c>
      <c r="K66" s="9">
        <f t="shared" si="22"/>
        <v>34760.356595218735</v>
      </c>
      <c r="L66" s="9">
        <f t="shared" si="22"/>
        <v>35107.960161170922</v>
      </c>
      <c r="M66" s="9">
        <f t="shared" si="22"/>
        <v>35459.039762782631</v>
      </c>
      <c r="N66" s="9">
        <f t="shared" si="22"/>
        <v>35813.630160410459</v>
      </c>
      <c r="O66" s="9">
        <f t="shared" si="22"/>
        <v>36171.766462014566</v>
      </c>
      <c r="P66" s="9">
        <f t="shared" si="22"/>
        <v>36533.484126634714</v>
      </c>
      <c r="Q66" s="9">
        <f t="shared" si="22"/>
        <v>36898.818967901061</v>
      </c>
      <c r="R66" s="9">
        <f t="shared" si="22"/>
        <v>37267.807157580071</v>
      </c>
      <c r="S66" s="9">
        <f t="shared" si="22"/>
        <v>37640.485229155871</v>
      </c>
      <c r="T66" s="9">
        <f t="shared" si="22"/>
        <v>37565.204258697559</v>
      </c>
      <c r="U66" s="9">
        <f t="shared" si="22"/>
        <v>37490.073850180161</v>
      </c>
      <c r="V66" s="9">
        <f t="shared" si="22"/>
        <v>37415.093702479804</v>
      </c>
      <c r="W66" s="9">
        <f t="shared" si="22"/>
        <v>37340.263515074839</v>
      </c>
      <c r="X66" s="9">
        <f t="shared" si="22"/>
        <v>37265.582988044691</v>
      </c>
      <c r="Y66" s="9">
        <f t="shared" si="22"/>
        <v>37191.051822068606</v>
      </c>
      <c r="Z66" s="9">
        <f t="shared" si="22"/>
        <v>37116.669718424462</v>
      </c>
      <c r="AA66" s="9">
        <f t="shared" si="22"/>
        <v>37042.436378987615</v>
      </c>
      <c r="AB66" s="9">
        <f t="shared" si="22"/>
        <v>36968.351506229636</v>
      </c>
      <c r="AC66" s="9">
        <f t="shared" si="22"/>
        <v>36894.41480321718</v>
      </c>
      <c r="AD66" s="9">
        <f t="shared" si="22"/>
        <v>36820.625973610739</v>
      </c>
      <c r="AE66" s="9">
        <f t="shared" si="22"/>
        <v>36746.984721663517</v>
      </c>
      <c r="AF66" s="9">
        <f t="shared" si="22"/>
        <v>36673.49075222019</v>
      </c>
      <c r="AG66" s="9">
        <f t="shared" si="22"/>
        <v>36600.143770715746</v>
      </c>
      <c r="AH66" s="9">
        <f t="shared" si="22"/>
        <v>36526.943483174313</v>
      </c>
      <c r="AI66" s="9">
        <f t="shared" si="22"/>
        <v>36453.88959620797</v>
      </c>
      <c r="AJ66" s="9">
        <f t="shared" si="22"/>
        <v>36380.981817015549</v>
      </c>
      <c r="AK66" s="9">
        <f t="shared" si="22"/>
        <v>36308.219853381517</v>
      </c>
      <c r="AL66" s="9">
        <f t="shared" si="22"/>
        <v>36235.603413674762</v>
      </c>
      <c r="AM66" s="9">
        <f t="shared" si="22"/>
        <v>36163.132206847404</v>
      </c>
      <c r="AN66" s="9">
        <f t="shared" si="22"/>
        <v>36090.805942433719</v>
      </c>
      <c r="AO66" s="9">
        <f t="shared" si="22"/>
        <v>36018.624330548853</v>
      </c>
      <c r="AP66" s="9">
        <f t="shared" si="22"/>
        <v>35946.587081887752</v>
      </c>
      <c r="AQ66" s="9">
        <f t="shared" si="22"/>
        <v>35874.69390772398</v>
      </c>
      <c r="AR66" s="9">
        <f t="shared" si="22"/>
        <v>35802.944519908524</v>
      </c>
    </row>
    <row r="69" spans="2:44" x14ac:dyDescent="0.2">
      <c r="B69" s="3"/>
      <c r="C69" s="3"/>
      <c r="D69" s="3" t="s">
        <v>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2:44" x14ac:dyDescent="0.2">
      <c r="B70" s="4" t="s">
        <v>573</v>
      </c>
      <c r="C70" s="4"/>
      <c r="D70" s="5">
        <v>0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5">
        <v>39</v>
      </c>
      <c r="AR70" s="5">
        <v>40</v>
      </c>
    </row>
    <row r="71" spans="2:44" ht="12" thickBot="1" x14ac:dyDescent="0.25">
      <c r="B71" s="6" t="s">
        <v>33</v>
      </c>
      <c r="C71" s="354" t="s">
        <v>9</v>
      </c>
      <c r="D71" s="751">
        <v>2025</v>
      </c>
      <c r="E71" s="7">
        <f>$D$10+E70</f>
        <v>2026</v>
      </c>
      <c r="F71" s="7">
        <f t="shared" ref="F71:AR71" si="23">$D$10+F70</f>
        <v>2027</v>
      </c>
      <c r="G71" s="7">
        <f t="shared" si="23"/>
        <v>2028</v>
      </c>
      <c r="H71" s="7">
        <f t="shared" si="23"/>
        <v>2029</v>
      </c>
      <c r="I71" s="7">
        <f t="shared" si="23"/>
        <v>2030</v>
      </c>
      <c r="J71" s="7">
        <f t="shared" si="23"/>
        <v>2031</v>
      </c>
      <c r="K71" s="7">
        <f t="shared" si="23"/>
        <v>2032</v>
      </c>
      <c r="L71" s="7">
        <f t="shared" si="23"/>
        <v>2033</v>
      </c>
      <c r="M71" s="7">
        <f t="shared" si="23"/>
        <v>2034</v>
      </c>
      <c r="N71" s="7">
        <f t="shared" si="23"/>
        <v>2035</v>
      </c>
      <c r="O71" s="7">
        <f t="shared" si="23"/>
        <v>2036</v>
      </c>
      <c r="P71" s="7">
        <f t="shared" si="23"/>
        <v>2037</v>
      </c>
      <c r="Q71" s="7">
        <f t="shared" si="23"/>
        <v>2038</v>
      </c>
      <c r="R71" s="7">
        <f t="shared" si="23"/>
        <v>2039</v>
      </c>
      <c r="S71" s="7">
        <f t="shared" si="23"/>
        <v>2040</v>
      </c>
      <c r="T71" s="7">
        <f t="shared" si="23"/>
        <v>2041</v>
      </c>
      <c r="U71" s="7">
        <f t="shared" si="23"/>
        <v>2042</v>
      </c>
      <c r="V71" s="7">
        <f t="shared" si="23"/>
        <v>2043</v>
      </c>
      <c r="W71" s="7">
        <f t="shared" si="23"/>
        <v>2044</v>
      </c>
      <c r="X71" s="7">
        <f t="shared" si="23"/>
        <v>2045</v>
      </c>
      <c r="Y71" s="7">
        <f t="shared" si="23"/>
        <v>2046</v>
      </c>
      <c r="Z71" s="7">
        <f t="shared" si="23"/>
        <v>2047</v>
      </c>
      <c r="AA71" s="7">
        <f t="shared" si="23"/>
        <v>2048</v>
      </c>
      <c r="AB71" s="7">
        <f t="shared" si="23"/>
        <v>2049</v>
      </c>
      <c r="AC71" s="7">
        <f t="shared" si="23"/>
        <v>2050</v>
      </c>
      <c r="AD71" s="7">
        <f t="shared" si="23"/>
        <v>2051</v>
      </c>
      <c r="AE71" s="7">
        <f t="shared" si="23"/>
        <v>2052</v>
      </c>
      <c r="AF71" s="7">
        <f t="shared" si="23"/>
        <v>2053</v>
      </c>
      <c r="AG71" s="7">
        <f t="shared" si="23"/>
        <v>2054</v>
      </c>
      <c r="AH71" s="7">
        <f t="shared" si="23"/>
        <v>2055</v>
      </c>
      <c r="AI71" s="7">
        <f t="shared" si="23"/>
        <v>2056</v>
      </c>
      <c r="AJ71" s="7">
        <f t="shared" si="23"/>
        <v>2057</v>
      </c>
      <c r="AK71" s="7">
        <f t="shared" si="23"/>
        <v>2058</v>
      </c>
      <c r="AL71" s="7">
        <f t="shared" si="23"/>
        <v>2059</v>
      </c>
      <c r="AM71" s="7">
        <f t="shared" si="23"/>
        <v>2060</v>
      </c>
      <c r="AN71" s="7">
        <f t="shared" si="23"/>
        <v>2061</v>
      </c>
      <c r="AO71" s="7">
        <f t="shared" si="23"/>
        <v>2062</v>
      </c>
      <c r="AP71" s="7">
        <f t="shared" si="23"/>
        <v>2063</v>
      </c>
      <c r="AQ71" s="7">
        <f t="shared" si="23"/>
        <v>2064</v>
      </c>
      <c r="AR71" s="7">
        <f t="shared" si="23"/>
        <v>2065</v>
      </c>
    </row>
    <row r="72" spans="2:44" x14ac:dyDescent="0.2">
      <c r="B72" s="349" t="s">
        <v>685</v>
      </c>
      <c r="C72" s="284">
        <f>SUM(E72:AR72)</f>
        <v>915947.75666656345</v>
      </c>
      <c r="D72" s="355"/>
      <c r="E72" s="9">
        <f>E35*Vstupy!$F$53/Vstupy!$E$53</f>
        <v>0</v>
      </c>
      <c r="F72" s="9">
        <f>F35*Vstupy!$F$53/Vstupy!$E$53</f>
        <v>0</v>
      </c>
      <c r="G72" s="9">
        <f>G35*Vstupy!$F$53/Vstupy!$E$53</f>
        <v>0</v>
      </c>
      <c r="H72" s="9">
        <f>H35*Vstupy!$F$53/Vstupy!$E$53</f>
        <v>10525.715983813288</v>
      </c>
      <c r="I72" s="9">
        <f>I35*Vstupy!$F$53/Vstupy!$E$53</f>
        <v>20080.727049119356</v>
      </c>
      <c r="J72" s="9">
        <f>J35*Vstupy!$F$53/Vstupy!$E$53</f>
        <v>23860.628611306529</v>
      </c>
      <c r="K72" s="9">
        <f>K35*Vstupy!$F$53/Vstupy!$E$53</f>
        <v>24099.234897419588</v>
      </c>
      <c r="L72" s="9">
        <f>L35*Vstupy!$F$53/Vstupy!$E$53</f>
        <v>24340.227246393788</v>
      </c>
      <c r="M72" s="9">
        <f>M35*Vstupy!$F$53/Vstupy!$E$53</f>
        <v>24583.629518857724</v>
      </c>
      <c r="N72" s="9">
        <f>N35*Vstupy!$F$53/Vstupy!$E$53</f>
        <v>24829.465814046303</v>
      </c>
      <c r="O72" s="9">
        <f>O35*Vstupy!$F$53/Vstupy!$E$53</f>
        <v>25077.760472186765</v>
      </c>
      <c r="P72" s="9">
        <f>P35*Vstupy!$F$53/Vstupy!$E$53</f>
        <v>25328.538076908633</v>
      </c>
      <c r="Q72" s="9">
        <f>Q35*Vstupy!$F$53/Vstupy!$E$53</f>
        <v>25581.823457677721</v>
      </c>
      <c r="R72" s="9">
        <f>R35*Vstupy!$F$53/Vstupy!$E$53</f>
        <v>25837.641692254496</v>
      </c>
      <c r="S72" s="9">
        <f>S35*Vstupy!$F$53/Vstupy!$E$53</f>
        <v>26096.018109177043</v>
      </c>
      <c r="T72" s="9">
        <f>T35*Vstupy!$F$53/Vstupy!$E$53</f>
        <v>26043.826072958691</v>
      </c>
      <c r="U72" s="9">
        <f>U35*Vstupy!$F$53/Vstupy!$E$53</f>
        <v>25991.73842081277</v>
      </c>
      <c r="V72" s="9">
        <f>V35*Vstupy!$F$53/Vstupy!$E$53</f>
        <v>25939.754943971147</v>
      </c>
      <c r="W72" s="9">
        <f>W35*Vstupy!$F$53/Vstupy!$E$53</f>
        <v>25887.875434083202</v>
      </c>
      <c r="X72" s="9">
        <f>X35*Vstupy!$F$53/Vstupy!$E$53</f>
        <v>25836.099683215038</v>
      </c>
      <c r="Y72" s="9">
        <f>Y35*Vstupy!$F$53/Vstupy!$E$53</f>
        <v>25784.427483848609</v>
      </c>
      <c r="Z72" s="9">
        <f>Z35*Vstupy!$F$53/Vstupy!$E$53</f>
        <v>25732.858628880906</v>
      </c>
      <c r="AA72" s="9">
        <f>AA35*Vstupy!$F$53/Vstupy!$E$53</f>
        <v>25681.392911623145</v>
      </c>
      <c r="AB72" s="9">
        <f>AB35*Vstupy!$F$53/Vstupy!$E$53</f>
        <v>25630.030125799894</v>
      </c>
      <c r="AC72" s="9">
        <f>AC35*Vstupy!$F$53/Vstupy!$E$53</f>
        <v>25578.770065548299</v>
      </c>
      <c r="AD72" s="9">
        <f>AD35*Vstupy!$F$53/Vstupy!$E$53</f>
        <v>25527.6125254172</v>
      </c>
      <c r="AE72" s="9">
        <f>AE35*Vstupy!$F$53/Vstupy!$E$53</f>
        <v>25476.557300366367</v>
      </c>
      <c r="AF72" s="9">
        <f>AF35*Vstupy!$F$53/Vstupy!$E$53</f>
        <v>25425.604185765631</v>
      </c>
      <c r="AG72" s="9">
        <f>AG35*Vstupy!$F$53/Vstupy!$E$53</f>
        <v>25374.752977394102</v>
      </c>
      <c r="AH72" s="9">
        <f>AH35*Vstupy!$F$53/Vstupy!$E$53</f>
        <v>25324.003471439308</v>
      </c>
      <c r="AI72" s="9">
        <f>AI35*Vstupy!$F$53/Vstupy!$E$53</f>
        <v>25273.355464496432</v>
      </c>
      <c r="AJ72" s="9">
        <f>AJ35*Vstupy!$F$53/Vstupy!$E$53</f>
        <v>25222.808753567439</v>
      </c>
      <c r="AK72" s="9">
        <f>AK35*Vstupy!$F$53/Vstupy!$E$53</f>
        <v>25172.363136060303</v>
      </c>
      <c r="AL72" s="9">
        <f>AL35*Vstupy!$F$53/Vstupy!$E$53</f>
        <v>25122.018409788187</v>
      </c>
      <c r="AM72" s="9">
        <f>AM35*Vstupy!$F$53/Vstupy!$E$53</f>
        <v>25071.774372968604</v>
      </c>
      <c r="AN72" s="9">
        <f>AN35*Vstupy!$F$53/Vstupy!$E$53</f>
        <v>25021.630824222673</v>
      </c>
      <c r="AO72" s="9">
        <f>AO35*Vstupy!$F$53/Vstupy!$E$53</f>
        <v>24971.58756257423</v>
      </c>
      <c r="AP72" s="9">
        <f>AP35*Vstupy!$F$53/Vstupy!$E$53</f>
        <v>24921.644387449076</v>
      </c>
      <c r="AQ72" s="9">
        <f>AQ35*Vstupy!$F$53/Vstupy!$E$53</f>
        <v>24871.801098674187</v>
      </c>
      <c r="AR72" s="9">
        <f>AR35*Vstupy!$F$53/Vstupy!$E$53</f>
        <v>24822.057496476831</v>
      </c>
    </row>
    <row r="75" spans="2:44" x14ac:dyDescent="0.2">
      <c r="B75" s="3"/>
      <c r="C75" s="3"/>
      <c r="D75" s="3" t="s">
        <v>10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2:44" x14ac:dyDescent="0.2">
      <c r="B76" s="4" t="s">
        <v>597</v>
      </c>
      <c r="C76" s="4"/>
      <c r="D76" s="5">
        <v>0</v>
      </c>
      <c r="E76" s="5">
        <v>1</v>
      </c>
      <c r="F76" s="5">
        <v>2</v>
      </c>
      <c r="G76" s="5">
        <v>3</v>
      </c>
      <c r="H76" s="5">
        <v>4</v>
      </c>
      <c r="I76" s="5">
        <v>5</v>
      </c>
      <c r="J76" s="5">
        <v>6</v>
      </c>
      <c r="K76" s="5">
        <v>7</v>
      </c>
      <c r="L76" s="5">
        <v>8</v>
      </c>
      <c r="M76" s="5">
        <v>9</v>
      </c>
      <c r="N76" s="5">
        <v>10</v>
      </c>
      <c r="O76" s="5">
        <v>11</v>
      </c>
      <c r="P76" s="5">
        <v>12</v>
      </c>
      <c r="Q76" s="5">
        <v>13</v>
      </c>
      <c r="R76" s="5">
        <v>14</v>
      </c>
      <c r="S76" s="5">
        <v>15</v>
      </c>
      <c r="T76" s="5">
        <v>16</v>
      </c>
      <c r="U76" s="5">
        <v>17</v>
      </c>
      <c r="V76" s="5">
        <v>18</v>
      </c>
      <c r="W76" s="5">
        <v>19</v>
      </c>
      <c r="X76" s="5">
        <v>20</v>
      </c>
      <c r="Y76" s="5">
        <v>21</v>
      </c>
      <c r="Z76" s="5">
        <v>22</v>
      </c>
      <c r="AA76" s="5">
        <v>23</v>
      </c>
      <c r="AB76" s="5">
        <v>24</v>
      </c>
      <c r="AC76" s="5">
        <v>25</v>
      </c>
      <c r="AD76" s="5">
        <v>26</v>
      </c>
      <c r="AE76" s="5">
        <v>27</v>
      </c>
      <c r="AF76" s="5">
        <v>28</v>
      </c>
      <c r="AG76" s="5">
        <v>29</v>
      </c>
      <c r="AH76" s="5">
        <v>30</v>
      </c>
      <c r="AI76" s="5">
        <v>31</v>
      </c>
      <c r="AJ76" s="5">
        <v>32</v>
      </c>
      <c r="AK76" s="5">
        <v>33</v>
      </c>
      <c r="AL76" s="5">
        <v>34</v>
      </c>
      <c r="AM76" s="5">
        <v>35</v>
      </c>
      <c r="AN76" s="5">
        <v>36</v>
      </c>
      <c r="AO76" s="5">
        <v>37</v>
      </c>
      <c r="AP76" s="5">
        <v>38</v>
      </c>
      <c r="AQ76" s="5">
        <v>39</v>
      </c>
      <c r="AR76" s="5">
        <v>40</v>
      </c>
    </row>
    <row r="77" spans="2:44" ht="12" thickBot="1" x14ac:dyDescent="0.25">
      <c r="B77" s="6" t="s">
        <v>33</v>
      </c>
      <c r="C77" s="354" t="s">
        <v>9</v>
      </c>
      <c r="D77" s="751">
        <v>2025</v>
      </c>
      <c r="E77" s="7">
        <f>$D$10+E76</f>
        <v>2026</v>
      </c>
      <c r="F77" s="7">
        <f t="shared" ref="F77:AR77" si="24">$D$10+F76</f>
        <v>2027</v>
      </c>
      <c r="G77" s="7">
        <f t="shared" si="24"/>
        <v>2028</v>
      </c>
      <c r="H77" s="7">
        <f t="shared" si="24"/>
        <v>2029</v>
      </c>
      <c r="I77" s="7">
        <f t="shared" si="24"/>
        <v>2030</v>
      </c>
      <c r="J77" s="7">
        <f t="shared" si="24"/>
        <v>2031</v>
      </c>
      <c r="K77" s="7">
        <f t="shared" si="24"/>
        <v>2032</v>
      </c>
      <c r="L77" s="7">
        <f t="shared" si="24"/>
        <v>2033</v>
      </c>
      <c r="M77" s="7">
        <f t="shared" si="24"/>
        <v>2034</v>
      </c>
      <c r="N77" s="7">
        <f t="shared" si="24"/>
        <v>2035</v>
      </c>
      <c r="O77" s="7">
        <f t="shared" si="24"/>
        <v>2036</v>
      </c>
      <c r="P77" s="7">
        <f t="shared" si="24"/>
        <v>2037</v>
      </c>
      <c r="Q77" s="7">
        <f t="shared" si="24"/>
        <v>2038</v>
      </c>
      <c r="R77" s="7">
        <f t="shared" si="24"/>
        <v>2039</v>
      </c>
      <c r="S77" s="7">
        <f t="shared" si="24"/>
        <v>2040</v>
      </c>
      <c r="T77" s="7">
        <f t="shared" si="24"/>
        <v>2041</v>
      </c>
      <c r="U77" s="7">
        <f t="shared" si="24"/>
        <v>2042</v>
      </c>
      <c r="V77" s="7">
        <f t="shared" si="24"/>
        <v>2043</v>
      </c>
      <c r="W77" s="7">
        <f t="shared" si="24"/>
        <v>2044</v>
      </c>
      <c r="X77" s="7">
        <f t="shared" si="24"/>
        <v>2045</v>
      </c>
      <c r="Y77" s="7">
        <f t="shared" si="24"/>
        <v>2046</v>
      </c>
      <c r="Z77" s="7">
        <f t="shared" si="24"/>
        <v>2047</v>
      </c>
      <c r="AA77" s="7">
        <f t="shared" si="24"/>
        <v>2048</v>
      </c>
      <c r="AB77" s="7">
        <f t="shared" si="24"/>
        <v>2049</v>
      </c>
      <c r="AC77" s="7">
        <f t="shared" si="24"/>
        <v>2050</v>
      </c>
      <c r="AD77" s="7">
        <f t="shared" si="24"/>
        <v>2051</v>
      </c>
      <c r="AE77" s="7">
        <f t="shared" si="24"/>
        <v>2052</v>
      </c>
      <c r="AF77" s="7">
        <f t="shared" si="24"/>
        <v>2053</v>
      </c>
      <c r="AG77" s="7">
        <f t="shared" si="24"/>
        <v>2054</v>
      </c>
      <c r="AH77" s="7">
        <f t="shared" si="24"/>
        <v>2055</v>
      </c>
      <c r="AI77" s="7">
        <f t="shared" si="24"/>
        <v>2056</v>
      </c>
      <c r="AJ77" s="7">
        <f t="shared" si="24"/>
        <v>2057</v>
      </c>
      <c r="AK77" s="7">
        <f t="shared" si="24"/>
        <v>2058</v>
      </c>
      <c r="AL77" s="7">
        <f t="shared" si="24"/>
        <v>2059</v>
      </c>
      <c r="AM77" s="7">
        <f t="shared" si="24"/>
        <v>2060</v>
      </c>
      <c r="AN77" s="7">
        <f t="shared" si="24"/>
        <v>2061</v>
      </c>
      <c r="AO77" s="7">
        <f t="shared" si="24"/>
        <v>2062</v>
      </c>
      <c r="AP77" s="7">
        <f t="shared" si="24"/>
        <v>2063</v>
      </c>
      <c r="AQ77" s="7">
        <f t="shared" si="24"/>
        <v>2064</v>
      </c>
      <c r="AR77" s="7">
        <f t="shared" si="24"/>
        <v>2065</v>
      </c>
    </row>
    <row r="78" spans="2:44" x14ac:dyDescent="0.2">
      <c r="B78" s="349" t="s">
        <v>685</v>
      </c>
      <c r="C78" s="284">
        <f>SUM(E78:AQ78)</f>
        <v>84478716.281324208</v>
      </c>
      <c r="D78" s="355"/>
      <c r="E78" s="9">
        <f>E35*Vstupy!$F$53</f>
        <v>0</v>
      </c>
      <c r="F78" s="9">
        <f>F35*Vstupy!$F$53</f>
        <v>0</v>
      </c>
      <c r="G78" s="9">
        <f>G35*Vstupy!$F$53</f>
        <v>0</v>
      </c>
      <c r="H78" s="9">
        <f>H35*Vstupy!$F$53</f>
        <v>997837.87526549969</v>
      </c>
      <c r="I78" s="9">
        <f>I35*Vstupy!$F$53</f>
        <v>1903652.9242565148</v>
      </c>
      <c r="J78" s="9">
        <f>J35*Vstupy!$F$53</f>
        <v>2261987.592351859</v>
      </c>
      <c r="K78" s="9">
        <f>K35*Vstupy!$F$53</f>
        <v>2284607.4682753771</v>
      </c>
      <c r="L78" s="9">
        <f>L35*Vstupy!$F$53</f>
        <v>2307453.5429581311</v>
      </c>
      <c r="M78" s="9">
        <f>M35*Vstupy!$F$53</f>
        <v>2330528.0783877121</v>
      </c>
      <c r="N78" s="9">
        <f>N35*Vstupy!$F$53</f>
        <v>2353833.3591715894</v>
      </c>
      <c r="O78" s="9">
        <f>O35*Vstupy!$F$53</f>
        <v>2377371.6927633053</v>
      </c>
      <c r="P78" s="9">
        <f>P35*Vstupy!$F$53</f>
        <v>2401145.4096909384</v>
      </c>
      <c r="Q78" s="9">
        <f>Q35*Vstupy!$F$53</f>
        <v>2425156.863787848</v>
      </c>
      <c r="R78" s="9">
        <f>R35*Vstupy!$F$53</f>
        <v>2449408.4324257262</v>
      </c>
      <c r="S78" s="9">
        <f>S35*Vstupy!$F$53</f>
        <v>2473902.5167499837</v>
      </c>
      <c r="T78" s="9">
        <f>T35*Vstupy!$F$53</f>
        <v>2468954.7117164838</v>
      </c>
      <c r="U78" s="9">
        <f>U35*Vstupy!$F$53</f>
        <v>2464016.8022930506</v>
      </c>
      <c r="V78" s="9">
        <f>V35*Vstupy!$F$53</f>
        <v>2459088.7686884645</v>
      </c>
      <c r="W78" s="9">
        <f>W35*Vstupy!$F$53</f>
        <v>2454170.5911510875</v>
      </c>
      <c r="X78" s="9">
        <f>X35*Vstupy!$F$53</f>
        <v>2449262.2499687853</v>
      </c>
      <c r="Y78" s="9">
        <f>Y35*Vstupy!$F$53</f>
        <v>2444363.7254688479</v>
      </c>
      <c r="Z78" s="9">
        <f>Z35*Vstupy!$F$53</f>
        <v>2439474.9980179099</v>
      </c>
      <c r="AA78" s="9">
        <f>AA35*Vstupy!$F$53</f>
        <v>2434596.0480218739</v>
      </c>
      <c r="AB78" s="9">
        <f>AB35*Vstupy!$F$53</f>
        <v>2429726.8559258301</v>
      </c>
      <c r="AC78" s="9">
        <f>AC35*Vstupy!$F$53</f>
        <v>2424867.4022139786</v>
      </c>
      <c r="AD78" s="9">
        <f>AD35*Vstupy!$F$53</f>
        <v>2420017.6674095504</v>
      </c>
      <c r="AE78" s="9">
        <f>AE35*Vstupy!$F$53</f>
        <v>2415177.6320747314</v>
      </c>
      <c r="AF78" s="9">
        <f>AF35*Vstupy!$F$53</f>
        <v>2410347.2768105818</v>
      </c>
      <c r="AG78" s="9">
        <f>AG35*Vstupy!$F$53</f>
        <v>2405526.5822569607</v>
      </c>
      <c r="AH78" s="9">
        <f>AH35*Vstupy!$F$53</f>
        <v>2400715.5290924464</v>
      </c>
      <c r="AI78" s="9">
        <f>AI35*Vstupy!$F$53</f>
        <v>2395914.0980342617</v>
      </c>
      <c r="AJ78" s="9">
        <f>AJ35*Vstupy!$F$53</f>
        <v>2391122.269838193</v>
      </c>
      <c r="AK78" s="9">
        <f>AK35*Vstupy!$F$53</f>
        <v>2386340.0252985167</v>
      </c>
      <c r="AL78" s="9">
        <f>AL35*Vstupy!$F$53</f>
        <v>2381567.3452479201</v>
      </c>
      <c r="AM78" s="9">
        <f>AM35*Vstupy!$F$53</f>
        <v>2376804.2105574235</v>
      </c>
      <c r="AN78" s="9">
        <f>AN35*Vstupy!$F$53</f>
        <v>2372050.6021363093</v>
      </c>
      <c r="AO78" s="9">
        <f>AO35*Vstupy!$F$53</f>
        <v>2367306.5009320369</v>
      </c>
      <c r="AP78" s="9">
        <f>AP35*Vstupy!$F$53</f>
        <v>2362571.8879301725</v>
      </c>
      <c r="AQ78" s="9">
        <f>AQ35*Vstupy!$F$53</f>
        <v>2357846.7441543126</v>
      </c>
      <c r="AR78" s="9">
        <f>AR35*Vstupy!$F$53</f>
        <v>2353131.0506660035</v>
      </c>
    </row>
  </sheetData>
  <mergeCells count="19">
    <mergeCell ref="R2:R4"/>
    <mergeCell ref="M2:M4"/>
    <mergeCell ref="N2:N4"/>
    <mergeCell ref="O2:O4"/>
    <mergeCell ref="P2:P4"/>
    <mergeCell ref="Q2:Q4"/>
    <mergeCell ref="B3:B4"/>
    <mergeCell ref="C3:C4"/>
    <mergeCell ref="D3:D4"/>
    <mergeCell ref="E3:E4"/>
    <mergeCell ref="F3:F4"/>
    <mergeCell ref="L2:L4"/>
    <mergeCell ref="I2:I4"/>
    <mergeCell ref="J2:J4"/>
    <mergeCell ref="K2:K4"/>
    <mergeCell ref="C2:D2"/>
    <mergeCell ref="E2:F2"/>
    <mergeCell ref="G2:G4"/>
    <mergeCell ref="H2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G29"/>
  <sheetViews>
    <sheetView zoomScale="90" zoomScaleNormal="90" workbookViewId="0"/>
  </sheetViews>
  <sheetFormatPr defaultColWidth="9.140625" defaultRowHeight="11.25" x14ac:dyDescent="0.2"/>
  <cols>
    <col min="1" max="1" width="2.5703125" style="2" customWidth="1"/>
    <col min="2" max="2" width="30.85546875" style="2" customWidth="1"/>
    <col min="3" max="9" width="12.85546875" style="2" customWidth="1"/>
    <col min="10" max="33" width="6.85546875" style="2" customWidth="1"/>
    <col min="34" max="16384" width="9.140625" style="2"/>
  </cols>
  <sheetData>
    <row r="2" spans="2:6" x14ac:dyDescent="0.2">
      <c r="B2" s="6" t="s">
        <v>15</v>
      </c>
      <c r="C2" s="110" t="s">
        <v>28</v>
      </c>
      <c r="D2" s="110" t="s">
        <v>29</v>
      </c>
    </row>
    <row r="3" spans="2:6" x14ac:dyDescent="0.2">
      <c r="B3" s="3" t="s">
        <v>220</v>
      </c>
      <c r="C3" s="113">
        <f>'01 Investičné výdavky NOV200'!C12</f>
        <v>293176264</v>
      </c>
      <c r="D3" s="155">
        <f>'06 Finančná analýza NOV200'!C5</f>
        <v>251957728.48090151</v>
      </c>
      <c r="F3" s="2" t="s">
        <v>186</v>
      </c>
    </row>
    <row r="4" spans="2:6" x14ac:dyDescent="0.2">
      <c r="B4" s="3" t="s">
        <v>16</v>
      </c>
      <c r="C4" s="113">
        <f>'06 Finančná analýza NOV200'!AN8</f>
        <v>156751575.8186667</v>
      </c>
      <c r="D4" s="155">
        <f>'06 Finančná analýza NOV200'!C8</f>
        <v>38195456.128203847</v>
      </c>
    </row>
    <row r="5" spans="2:6" x14ac:dyDescent="0.2">
      <c r="B5" s="3" t="s">
        <v>171</v>
      </c>
      <c r="C5" s="113">
        <f>'04 Prevádzkové príjmy NOV200'!C23</f>
        <v>2616488.0151383411</v>
      </c>
      <c r="D5" s="155">
        <f>'06 Finančná analýza NOV200'!C7</f>
        <v>1178473.6946090504</v>
      </c>
    </row>
    <row r="6" spans="2:6" x14ac:dyDescent="0.2">
      <c r="B6" s="3" t="s">
        <v>57</v>
      </c>
      <c r="C6" s="113">
        <f>'03 Prevádzkové výdavky NOV200'!C32</f>
        <v>-515476690.39350003</v>
      </c>
      <c r="D6" s="155">
        <f>'06 Finančná analýza NOV200'!C6</f>
        <v>-219605178.82663998</v>
      </c>
      <c r="F6" s="742" t="s">
        <v>779</v>
      </c>
    </row>
    <row r="7" spans="2:6" x14ac:dyDescent="0.2">
      <c r="B7" s="3" t="s">
        <v>219</v>
      </c>
      <c r="C7" s="126"/>
      <c r="D7" s="155">
        <f>IF(D6&gt;D5,D4+D5-D6,0)</f>
        <v>0</v>
      </c>
      <c r="F7" s="742" t="s">
        <v>780</v>
      </c>
    </row>
    <row r="8" spans="2:6" x14ac:dyDescent="0.2">
      <c r="B8" s="3" t="s">
        <v>221</v>
      </c>
      <c r="C8" s="127"/>
      <c r="D8" s="155">
        <f>D3-D7</f>
        <v>251957728.48090151</v>
      </c>
    </row>
    <row r="9" spans="2:6" x14ac:dyDescent="0.2">
      <c r="B9" s="3" t="s">
        <v>222</v>
      </c>
      <c r="C9" s="128"/>
      <c r="D9" s="156">
        <f>IFERROR(D8/D3,0)</f>
        <v>1</v>
      </c>
    </row>
    <row r="12" spans="2:6" x14ac:dyDescent="0.2">
      <c r="B12" s="6" t="s">
        <v>18</v>
      </c>
      <c r="C12" s="19"/>
      <c r="D12" s="2" t="s">
        <v>224</v>
      </c>
    </row>
    <row r="13" spans="2:6" x14ac:dyDescent="0.2">
      <c r="B13" s="3" t="s">
        <v>299</v>
      </c>
      <c r="C13" s="8">
        <f>'01 Investičné výdavky NOV200'!C19</f>
        <v>293176264</v>
      </c>
    </row>
    <row r="14" spans="2:6" x14ac:dyDescent="0.2">
      <c r="B14" s="3" t="s">
        <v>300</v>
      </c>
      <c r="C14" s="9"/>
      <c r="D14" s="2" t="s">
        <v>302</v>
      </c>
    </row>
    <row r="15" spans="2:6" x14ac:dyDescent="0.2">
      <c r="B15" s="3" t="s">
        <v>301</v>
      </c>
      <c r="C15" s="8">
        <f>C13+C14</f>
        <v>293176264</v>
      </c>
    </row>
    <row r="16" spans="2:6" x14ac:dyDescent="0.2">
      <c r="B16" s="3" t="s">
        <v>172</v>
      </c>
      <c r="C16" s="8">
        <f>C15*D9</f>
        <v>293176264</v>
      </c>
    </row>
    <row r="17" spans="2:33" x14ac:dyDescent="0.2">
      <c r="B17" s="3" t="s">
        <v>17</v>
      </c>
      <c r="C17" s="24">
        <v>1</v>
      </c>
    </row>
    <row r="18" spans="2:33" x14ac:dyDescent="0.2">
      <c r="B18" s="3" t="s">
        <v>19</v>
      </c>
      <c r="C18" s="8">
        <f>C16*C17</f>
        <v>293176264</v>
      </c>
    </row>
    <row r="19" spans="2:33" x14ac:dyDescent="0.2">
      <c r="B19" s="752" t="s">
        <v>496</v>
      </c>
      <c r="C19" s="753">
        <f>IFERROR(C18/C13,0)</f>
        <v>1</v>
      </c>
    </row>
    <row r="20" spans="2:33" x14ac:dyDescent="0.2">
      <c r="B20" s="15"/>
    </row>
    <row r="21" spans="2:33" x14ac:dyDescent="0.2">
      <c r="B21" s="15"/>
    </row>
    <row r="22" spans="2:33" x14ac:dyDescent="0.2">
      <c r="B22" s="3"/>
      <c r="C22" s="3"/>
      <c r="D22" s="3" t="s">
        <v>10</v>
      </c>
      <c r="E22" s="3"/>
      <c r="F22" s="3"/>
      <c r="G22" s="3"/>
      <c r="H22" s="3"/>
      <c r="I22" s="3"/>
    </row>
    <row r="23" spans="2:33" x14ac:dyDescent="0.2">
      <c r="B23" s="4"/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">
      <c r="B24" s="6" t="s">
        <v>497</v>
      </c>
      <c r="C24" s="110" t="s">
        <v>9</v>
      </c>
      <c r="D24" s="7">
        <f>Parametre!C13</f>
        <v>2026</v>
      </c>
      <c r="E24" s="7">
        <f>$D$24+D23</f>
        <v>2027</v>
      </c>
      <c r="F24" s="7">
        <f>$D$24+E23</f>
        <v>2028</v>
      </c>
      <c r="G24" s="7">
        <f>$D$24+F23</f>
        <v>2029</v>
      </c>
      <c r="H24" s="7">
        <f t="shared" ref="H24:I24" si="0">$D$24+G23</f>
        <v>2030</v>
      </c>
      <c r="I24" s="7">
        <f t="shared" si="0"/>
        <v>2031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">
      <c r="B25" s="3" t="s">
        <v>58</v>
      </c>
      <c r="C25" s="8">
        <f>SUM(D25:AG25)</f>
        <v>360606804.72000003</v>
      </c>
      <c r="D25" s="8">
        <f>'01 Investičné výdavky NOV200'!D17</f>
        <v>0</v>
      </c>
      <c r="E25" s="8">
        <f>'01 Investičné výdavky NOV200'!E17</f>
        <v>0</v>
      </c>
      <c r="F25" s="8">
        <f>'01 Investičné výdavky NOV200'!F17</f>
        <v>0</v>
      </c>
      <c r="G25" s="8">
        <f>'01 Investičné výdavky NOV200'!G17</f>
        <v>135227551.77000001</v>
      </c>
      <c r="H25" s="8">
        <f>'01 Investičné výdavky NOV200'!H17</f>
        <v>135227551.77000001</v>
      </c>
      <c r="I25" s="8">
        <f>'01 Investičné výdavky NOV200'!I17</f>
        <v>90151701.180000007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385</v>
      </c>
      <c r="C26" s="8">
        <f>SUM(D26:AG26)</f>
        <v>0</v>
      </c>
      <c r="D26" s="9"/>
      <c r="E26" s="9"/>
      <c r="F26" s="9"/>
      <c r="G26" s="9"/>
      <c r="H26" s="9"/>
      <c r="I26" s="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3" t="s">
        <v>184</v>
      </c>
      <c r="C27" s="8">
        <f t="shared" ref="C27:C28" si="1">SUM(D27:AG27)</f>
        <v>293176264</v>
      </c>
      <c r="D27" s="8">
        <f>$D$9*$C$17*'01 Investičné výdavky NOV200'!D19</f>
        <v>0</v>
      </c>
      <c r="E27" s="8">
        <f>$D$9*$C$17*'01 Investičné výdavky NOV200'!E19</f>
        <v>0</v>
      </c>
      <c r="F27" s="8">
        <f>$D$9*$C$17*'01 Investičné výdavky NOV200'!F19</f>
        <v>0</v>
      </c>
      <c r="G27" s="8">
        <f>$D$9*$C$17*'01 Investičné výdavky NOV200'!G19</f>
        <v>109941099.00000001</v>
      </c>
      <c r="H27" s="8">
        <f>$D$9*$C$17*'01 Investičné výdavky NOV200'!H19</f>
        <v>109941099.00000001</v>
      </c>
      <c r="I27" s="8">
        <f>$D$9*$C$17*'01 Investičné výdavky NOV200'!I19</f>
        <v>73294066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2">
      <c r="B28" s="3" t="s">
        <v>185</v>
      </c>
      <c r="C28" s="8">
        <f t="shared" si="1"/>
        <v>67430540.719999999</v>
      </c>
      <c r="D28" s="8">
        <f>D25-D27</f>
        <v>0</v>
      </c>
      <c r="E28" s="8">
        <f t="shared" ref="E28:H28" si="2">E25-E27</f>
        <v>0</v>
      </c>
      <c r="F28" s="8">
        <f t="shared" si="2"/>
        <v>0</v>
      </c>
      <c r="G28" s="8">
        <f t="shared" si="2"/>
        <v>25286452.769999996</v>
      </c>
      <c r="H28" s="8">
        <f t="shared" si="2"/>
        <v>25286452.769999996</v>
      </c>
      <c r="I28" s="8">
        <f t="shared" ref="I28" si="3">I25-I27</f>
        <v>16857635.180000007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2">
      <c r="B29" s="1" t="s">
        <v>498</v>
      </c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N60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45.140625" style="2" customWidth="1"/>
    <col min="3" max="3" width="12.5703125" style="2" bestFit="1" customWidth="1"/>
    <col min="4" max="6" width="10.5703125" style="2" bestFit="1" customWidth="1"/>
    <col min="7" max="8" width="11.5703125" style="2" bestFit="1" customWidth="1"/>
    <col min="9" max="14" width="10.5703125" style="2" bestFit="1" customWidth="1"/>
    <col min="15" max="22" width="11.140625" style="2" bestFit="1" customWidth="1"/>
    <col min="23" max="40" width="11.5703125" style="2" bestFit="1" customWidth="1"/>
    <col min="41" max="16384" width="9.140625" style="2"/>
  </cols>
  <sheetData>
    <row r="2" spans="2:40" x14ac:dyDescent="0.2">
      <c r="B2" s="15" t="s">
        <v>24</v>
      </c>
      <c r="C2" s="15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2:40" x14ac:dyDescent="0.2">
      <c r="B3" s="4"/>
      <c r="C3" s="18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</row>
    <row r="4" spans="2:40" x14ac:dyDescent="0.2">
      <c r="B4" s="6" t="s">
        <v>39</v>
      </c>
      <c r="C4" s="110" t="s">
        <v>180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</row>
    <row r="5" spans="2:40" x14ac:dyDescent="0.2">
      <c r="B5" s="3" t="s">
        <v>58</v>
      </c>
      <c r="C5" s="221">
        <f>D5+NPV(Parametre!$C$9,'06 Finančná analýza NOV200'!E5:I5)</f>
        <v>251957728.48090151</v>
      </c>
      <c r="D5" s="116">
        <f>'01 Investičné výdavky NOV200'!D12</f>
        <v>0</v>
      </c>
      <c r="E5" s="116">
        <f>'01 Investičné výdavky NOV200'!E12</f>
        <v>0</v>
      </c>
      <c r="F5" s="116">
        <f>'01 Investičné výdavky NOV200'!F12</f>
        <v>0</v>
      </c>
      <c r="G5" s="116">
        <f>'01 Investičné výdavky NOV200'!G12</f>
        <v>109941099.00000001</v>
      </c>
      <c r="H5" s="116">
        <f>'01 Investičné výdavky NOV200'!H12</f>
        <v>109941099.00000001</v>
      </c>
      <c r="I5" s="116">
        <f>'01 Investičné výdavky NOV200'!I12</f>
        <v>73294066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2:40" x14ac:dyDescent="0.2">
      <c r="B6" s="3" t="s">
        <v>57</v>
      </c>
      <c r="C6" s="221">
        <f>D6+NPV(Parametre!$C$9,'06 Finančná analýza NOV200'!E6:AQ6)</f>
        <v>-219605178.82663998</v>
      </c>
      <c r="D6" s="116">
        <f>'03 Prevádzkové výdavky NOV200'!D32</f>
        <v>0</v>
      </c>
      <c r="E6" s="116">
        <f>'03 Prevádzkové výdavky NOV200'!E32</f>
        <v>0</v>
      </c>
      <c r="F6" s="116">
        <f>'03 Prevádzkové výdavky NOV200'!F32</f>
        <v>0</v>
      </c>
      <c r="G6" s="116">
        <f>'03 Prevádzkové výdavky NOV200'!G32</f>
        <v>0</v>
      </c>
      <c r="H6" s="116">
        <f>'03 Prevádzkové výdavky NOV200'!H32</f>
        <v>-2226751.3005000036</v>
      </c>
      <c r="I6" s="116">
        <f>'03 Prevádzkové výdavky NOV200'!I32</f>
        <v>-31253502.601000004</v>
      </c>
      <c r="J6" s="116">
        <f>'03 Prevádzkové výdavky NOV200'!J32</f>
        <v>-32810962.838</v>
      </c>
      <c r="K6" s="116">
        <f>'03 Prevádzkové výdavky NOV200'!K32</f>
        <v>-6010962.8380000023</v>
      </c>
      <c r="L6" s="116">
        <f>'03 Prevádzkové výdavky NOV200'!L32</f>
        <v>-6010962.8380000023</v>
      </c>
      <c r="M6" s="116">
        <f>'03 Prevádzkové výdavky NOV200'!M32</f>
        <v>-6010962.8380000023</v>
      </c>
      <c r="N6" s="116">
        <f>'03 Prevádzkové výdavky NOV200'!N32</f>
        <v>-6010962.8380000023</v>
      </c>
      <c r="O6" s="116">
        <f>'03 Prevádzkové výdavky NOV200'!O32</f>
        <v>-6010962.8380000023</v>
      </c>
      <c r="P6" s="116">
        <f>'03 Prevádzkové výdavky NOV200'!P32</f>
        <v>-6010962.8380000023</v>
      </c>
      <c r="Q6" s="116">
        <f>'03 Prevádzkové výdavky NOV200'!Q32</f>
        <v>-6010962.8380000023</v>
      </c>
      <c r="R6" s="116">
        <f>'03 Prevádzkové výdavky NOV200'!R32</f>
        <v>-6010962.8380000023</v>
      </c>
      <c r="S6" s="116">
        <f>'03 Prevádzkové výdavky NOV200'!S32</f>
        <v>-59610962.838</v>
      </c>
      <c r="T6" s="116">
        <f>'03 Prevádzkové výdavky NOV200'!T32</f>
        <v>-59610962.838</v>
      </c>
      <c r="U6" s="116">
        <f>'03 Prevádzkové výdavky NOV200'!U32</f>
        <v>-6010962.8380000023</v>
      </c>
      <c r="V6" s="116">
        <f>'03 Prevádzkové výdavky NOV200'!V32</f>
        <v>-6010962.8380000023</v>
      </c>
      <c r="W6" s="116">
        <f>'03 Prevádzkové výdavky NOV200'!W32</f>
        <v>-6010962.8380000023</v>
      </c>
      <c r="X6" s="116">
        <f>'03 Prevádzkové výdavky NOV200'!X32</f>
        <v>-6010962.8380000023</v>
      </c>
      <c r="Y6" s="116">
        <f>'03 Prevádzkové výdavky NOV200'!Y32</f>
        <v>-6010962.8380000023</v>
      </c>
      <c r="Z6" s="116">
        <f>'03 Prevádzkové výdavky NOV200'!Z32</f>
        <v>-6010962.8380000023</v>
      </c>
      <c r="AA6" s="116">
        <f>'03 Prevádzkové výdavky NOV200'!AA32</f>
        <v>-6010962.8380000023</v>
      </c>
      <c r="AB6" s="116">
        <f>'03 Prevádzkové výdavky NOV200'!AB32</f>
        <v>-6010962.8380000023</v>
      </c>
      <c r="AC6" s="116">
        <f>'03 Prevádzkové výdavky NOV200'!AC32</f>
        <v>-9218862.8380000032</v>
      </c>
      <c r="AD6" s="116">
        <f>'03 Prevádzkové výdavky NOV200'!AD32</f>
        <v>-32810962.838</v>
      </c>
      <c r="AE6" s="116">
        <f>'03 Prevádzkové výdavky NOV200'!AE32</f>
        <v>-6010962.8380000023</v>
      </c>
      <c r="AF6" s="116">
        <f>'03 Prevádzkové výdavky NOV200'!AF32</f>
        <v>-6010962.8380000023</v>
      </c>
      <c r="AG6" s="116">
        <f>'03 Prevádzkové výdavky NOV200'!AG32</f>
        <v>-6010962.8380000023</v>
      </c>
      <c r="AH6" s="116">
        <f>'03 Prevádzkové výdavky NOV200'!AH32</f>
        <v>-6010962.8380000023</v>
      </c>
      <c r="AI6" s="116">
        <f>'03 Prevádzkové výdavky NOV200'!AI32</f>
        <v>-6010962.8380000023</v>
      </c>
      <c r="AJ6" s="116">
        <f>'03 Prevádzkové výdavky NOV200'!AJ32</f>
        <v>-6010962.8380000023</v>
      </c>
      <c r="AK6" s="116">
        <f>'03 Prevádzkové výdavky NOV200'!AK32</f>
        <v>-6010962.8380000023</v>
      </c>
      <c r="AL6" s="116">
        <f>'03 Prevádzkové výdavky NOV200'!AL32</f>
        <v>-6010962.8380000023</v>
      </c>
      <c r="AM6" s="116">
        <f>'03 Prevádzkové výdavky NOV200'!AM32</f>
        <v>-12426762.838000003</v>
      </c>
      <c r="AN6" s="116">
        <f>'03 Prevádzkové výdavky NOV200'!AN32</f>
        <v>-59610962.838</v>
      </c>
    </row>
    <row r="7" spans="2:40" x14ac:dyDescent="0.2">
      <c r="B7" s="3" t="s">
        <v>171</v>
      </c>
      <c r="C7" s="221">
        <f>D7+NPV(Parametre!$C$9,'06 Finančná analýza NOV200'!E7:AQ7)</f>
        <v>1178473.6946090504</v>
      </c>
      <c r="D7" s="116">
        <f>'04 Prevádzkové príjmy NOV200'!D23</f>
        <v>0</v>
      </c>
      <c r="E7" s="116">
        <f>'04 Prevádzkové príjmy NOV200'!E23</f>
        <v>0</v>
      </c>
      <c r="F7" s="116">
        <f>'04 Prevádzkové príjmy NOV200'!F23</f>
        <v>0</v>
      </c>
      <c r="G7" s="116">
        <f>'04 Prevádzkové príjmy NOV200'!G23</f>
        <v>30067.664363985881</v>
      </c>
      <c r="H7" s="116">
        <f>'04 Prevádzkové príjmy NOV200'!H23</f>
        <v>57362.421903297305</v>
      </c>
      <c r="I7" s="116">
        <f>'04 Prevádzkové príjmy NOV200'!I23</f>
        <v>68160.054261565208</v>
      </c>
      <c r="J7" s="116">
        <f>'04 Prevádzkové príjmy NOV200'!J23</f>
        <v>68841.654804177582</v>
      </c>
      <c r="K7" s="116">
        <f>'04 Prevádzkové príjmy NOV200'!K23</f>
        <v>69530.071352224797</v>
      </c>
      <c r="L7" s="116">
        <f>'04 Prevádzkové príjmy NOV200'!L23</f>
        <v>70225.372065741569</v>
      </c>
      <c r="M7" s="116">
        <f>'04 Prevádzkové príjmy NOV200'!M23</f>
        <v>70927.625786401331</v>
      </c>
      <c r="N7" s="116">
        <f>'04 Prevádzkové príjmy NOV200'!N23</f>
        <v>71636.902044266462</v>
      </c>
      <c r="O7" s="116">
        <f>'04 Prevádzkové príjmy NOV200'!O23</f>
        <v>72353.271064709872</v>
      </c>
      <c r="P7" s="116">
        <f>'04 Prevádzkové príjmy NOV200'!P23</f>
        <v>73076.80377535522</v>
      </c>
      <c r="Q7" s="116">
        <f>'04 Prevádzkové príjmy NOV200'!Q23</f>
        <v>73807.571813110262</v>
      </c>
      <c r="R7" s="116">
        <f>'04 Prevádzkové príjmy NOV200'!R23</f>
        <v>74545.647531241179</v>
      </c>
      <c r="S7" s="116">
        <f>'04 Prevádzkové príjmy NOV200'!S23</f>
        <v>74396.556236177683</v>
      </c>
      <c r="T7" s="116">
        <f>'04 Prevádzkové príjmy NOV200'!T23</f>
        <v>74247.763123705983</v>
      </c>
      <c r="U7" s="116">
        <f>'04 Prevádzkové príjmy NOV200'!U23</f>
        <v>74099.267597455531</v>
      </c>
      <c r="V7" s="116">
        <f>'04 Prevádzkové príjmy NOV200'!V23</f>
        <v>73951.069062262774</v>
      </c>
      <c r="W7" s="116">
        <f>'04 Prevádzkové príjmy NOV200'!W23</f>
        <v>73803.166924137622</v>
      </c>
      <c r="X7" s="116">
        <f>'04 Prevádzkové príjmy NOV200'!X23</f>
        <v>73655.560590289533</v>
      </c>
      <c r="Y7" s="116">
        <f>'04 Prevádzkové príjmy NOV200'!Y23</f>
        <v>73508.249469105154</v>
      </c>
      <c r="Z7" s="116">
        <f>'04 Prevádzkové príjmy NOV200'!Z23</f>
        <v>73361.232970170677</v>
      </c>
      <c r="AA7" s="116">
        <f>'04 Prevádzkové príjmy NOV200'!AA23</f>
        <v>73214.510504230857</v>
      </c>
      <c r="AB7" s="116">
        <f>'04 Prevádzkové príjmy NOV200'!AB23</f>
        <v>73068.081483218819</v>
      </c>
      <c r="AC7" s="116">
        <f>'04 Prevádzkové príjmy NOV200'!AC23</f>
        <v>72921.945320252329</v>
      </c>
      <c r="AD7" s="116">
        <f>'04 Prevádzkové príjmy NOV200'!AD23</f>
        <v>72776.10142961517</v>
      </c>
      <c r="AE7" s="116">
        <f>'04 Prevádzkové príjmy NOV200'!AE23</f>
        <v>72630.549226757139</v>
      </c>
      <c r="AF7" s="116">
        <f>'04 Prevádzkové príjmy NOV200'!AF23</f>
        <v>72485.288128297776</v>
      </c>
      <c r="AG7" s="116">
        <f>'04 Prevádzkové príjmy NOV200'!AG23</f>
        <v>72340.317552041262</v>
      </c>
      <c r="AH7" s="116">
        <f>'04 Prevádzkové príjmy NOV200'!AH23</f>
        <v>72195.636916939169</v>
      </c>
      <c r="AI7" s="116">
        <f>'04 Prevádzkové príjmy NOV200'!AI23</f>
        <v>72051.245643109083</v>
      </c>
      <c r="AJ7" s="116">
        <f>'04 Prevádzkové príjmy NOV200'!AJ23</f>
        <v>71907.143151823431</v>
      </c>
      <c r="AK7" s="116">
        <f>'04 Prevádzkové príjmy NOV200'!AK23</f>
        <v>71763.328865516931</v>
      </c>
      <c r="AL7" s="116">
        <f>'04 Prevádzkové príjmy NOV200'!AL23</f>
        <v>71619.802207790315</v>
      </c>
      <c r="AM7" s="116">
        <f>'04 Prevádzkové príjmy NOV200'!AM23</f>
        <v>71476.562603369355</v>
      </c>
      <c r="AN7" s="116">
        <f>'04 Prevádzkové príjmy NOV200'!AN23</f>
        <v>71333.609478164464</v>
      </c>
    </row>
    <row r="8" spans="2:40" ht="12" thickBot="1" x14ac:dyDescent="0.25">
      <c r="B8" s="27" t="s">
        <v>16</v>
      </c>
      <c r="C8" s="222">
        <f>D8+NPV(Parametre!$C$9,'06 Finančná analýza NOV200'!E8:AQ8)</f>
        <v>38195456.128203847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20">
        <f>IFERROR('02 Zostatková hodnota NOV200'!H9,0)</f>
        <v>156751575.8186667</v>
      </c>
    </row>
    <row r="9" spans="2:40" ht="12" thickTop="1" x14ac:dyDescent="0.2">
      <c r="B9" s="22" t="s">
        <v>40</v>
      </c>
      <c r="C9" s="223">
        <f>D9+NPV(Parametre!$C$9,'06 Finančná analýza NOV200'!E9:AQ9)</f>
        <v>7021380.16855135</v>
      </c>
      <c r="D9" s="224">
        <f>-D5-D6+D7+D8</f>
        <v>0</v>
      </c>
      <c r="E9" s="224">
        <f t="shared" ref="E9:AG9" si="8">-E5-E6+E7+E8</f>
        <v>0</v>
      </c>
      <c r="F9" s="224">
        <f t="shared" si="8"/>
        <v>0</v>
      </c>
      <c r="G9" s="224">
        <f t="shared" si="8"/>
        <v>-109911031.33563603</v>
      </c>
      <c r="H9" s="224">
        <f t="shared" si="8"/>
        <v>-107656985.27759671</v>
      </c>
      <c r="I9" s="224">
        <f>-I5-I6+I7+I8</f>
        <v>-41972403.344738431</v>
      </c>
      <c r="J9" s="224">
        <f t="shared" si="8"/>
        <v>32879804.492804177</v>
      </c>
      <c r="K9" s="224">
        <f t="shared" si="8"/>
        <v>6080492.9093522271</v>
      </c>
      <c r="L9" s="224">
        <f t="shared" si="8"/>
        <v>6081188.2100657439</v>
      </c>
      <c r="M9" s="224">
        <f t="shared" si="8"/>
        <v>6081890.4637864036</v>
      </c>
      <c r="N9" s="224">
        <f t="shared" si="8"/>
        <v>6082599.7400442688</v>
      </c>
      <c r="O9" s="224">
        <f t="shared" si="8"/>
        <v>6083316.1090647122</v>
      </c>
      <c r="P9" s="224">
        <f t="shared" si="8"/>
        <v>6084039.6417753575</v>
      </c>
      <c r="Q9" s="224">
        <f t="shared" si="8"/>
        <v>6084770.4098131126</v>
      </c>
      <c r="R9" s="224">
        <f t="shared" si="8"/>
        <v>6085508.4855312435</v>
      </c>
      <c r="S9" s="224">
        <f t="shared" si="8"/>
        <v>59685359.394236177</v>
      </c>
      <c r="T9" s="224">
        <f t="shared" si="8"/>
        <v>59685210.601123706</v>
      </c>
      <c r="U9" s="224">
        <f t="shared" si="8"/>
        <v>6085062.1055974578</v>
      </c>
      <c r="V9" s="224">
        <f t="shared" si="8"/>
        <v>6084913.9070622651</v>
      </c>
      <c r="W9" s="224">
        <f t="shared" si="8"/>
        <v>6084766.0049241399</v>
      </c>
      <c r="X9" s="224">
        <f t="shared" si="8"/>
        <v>6084618.3985902919</v>
      </c>
      <c r="Y9" s="224">
        <f t="shared" si="8"/>
        <v>6084471.0874691075</v>
      </c>
      <c r="Z9" s="224">
        <f t="shared" si="8"/>
        <v>6084324.070970173</v>
      </c>
      <c r="AA9" s="224">
        <f t="shared" si="8"/>
        <v>6084177.3485042332</v>
      </c>
      <c r="AB9" s="224">
        <f t="shared" si="8"/>
        <v>6084030.9194832211</v>
      </c>
      <c r="AC9" s="224">
        <f t="shared" si="8"/>
        <v>9291784.7833202556</v>
      </c>
      <c r="AD9" s="224">
        <f t="shared" si="8"/>
        <v>32883738.939429615</v>
      </c>
      <c r="AE9" s="224">
        <f t="shared" si="8"/>
        <v>6083593.3872267595</v>
      </c>
      <c r="AF9" s="224">
        <f t="shared" si="8"/>
        <v>6083448.1261283001</v>
      </c>
      <c r="AG9" s="224">
        <f t="shared" si="8"/>
        <v>6083303.1555520436</v>
      </c>
      <c r="AH9" s="224">
        <f t="shared" ref="AH9:AN9" si="9">-AH5-AH6+AH7+AH8</f>
        <v>6083158.4749169415</v>
      </c>
      <c r="AI9" s="224">
        <f t="shared" si="9"/>
        <v>6083014.0836431114</v>
      </c>
      <c r="AJ9" s="224">
        <f t="shared" si="9"/>
        <v>6082869.9811518257</v>
      </c>
      <c r="AK9" s="224">
        <f t="shared" si="9"/>
        <v>6082726.1668655192</v>
      </c>
      <c r="AL9" s="224">
        <f t="shared" si="9"/>
        <v>6082582.6402077926</v>
      </c>
      <c r="AM9" s="224">
        <f t="shared" si="9"/>
        <v>12498239.400603373</v>
      </c>
      <c r="AN9" s="224">
        <f t="shared" si="9"/>
        <v>216433872.26614487</v>
      </c>
    </row>
    <row r="11" spans="2:40" x14ac:dyDescent="0.2">
      <c r="B11" s="26" t="s">
        <v>20</v>
      </c>
      <c r="C11" s="157">
        <f>-C5-C6+C7+C8</f>
        <v>7021380.1685513668</v>
      </c>
      <c r="D11" s="2" t="s">
        <v>0</v>
      </c>
      <c r="E11" s="25"/>
    </row>
    <row r="12" spans="2:40" x14ac:dyDescent="0.2">
      <c r="B12" s="26" t="s">
        <v>21</v>
      </c>
      <c r="C12" s="158">
        <f>IRR(D9:AQ9,1)</f>
        <v>4.1898711113636855E-2</v>
      </c>
    </row>
    <row r="15" spans="2:40" x14ac:dyDescent="0.2">
      <c r="B15" s="15" t="s">
        <v>25</v>
      </c>
      <c r="C15" s="15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2:40" x14ac:dyDescent="0.2">
      <c r="B16" s="4"/>
      <c r="C16" s="18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  <c r="AH16" s="5">
        <v>31</v>
      </c>
      <c r="AI16" s="5">
        <v>32</v>
      </c>
      <c r="AJ16" s="5">
        <v>33</v>
      </c>
      <c r="AK16" s="5">
        <v>34</v>
      </c>
      <c r="AL16" s="5">
        <v>35</v>
      </c>
      <c r="AM16" s="5">
        <v>36</v>
      </c>
      <c r="AN16" s="5">
        <v>37</v>
      </c>
    </row>
    <row r="17" spans="2:40" x14ac:dyDescent="0.2">
      <c r="B17" s="6" t="s">
        <v>39</v>
      </c>
      <c r="C17" s="110" t="s">
        <v>180</v>
      </c>
      <c r="D17" s="7">
        <f>D4</f>
        <v>2026</v>
      </c>
      <c r="E17" s="7">
        <f>E4</f>
        <v>2027</v>
      </c>
      <c r="F17" s="7">
        <f>F4</f>
        <v>2028</v>
      </c>
      <c r="G17" s="7">
        <f t="shared" ref="G17:AG17" si="10">G4</f>
        <v>2029</v>
      </c>
      <c r="H17" s="7">
        <f t="shared" si="10"/>
        <v>2030</v>
      </c>
      <c r="I17" s="7">
        <f t="shared" si="10"/>
        <v>2031</v>
      </c>
      <c r="J17" s="7">
        <f t="shared" si="10"/>
        <v>2032</v>
      </c>
      <c r="K17" s="7">
        <f t="shared" si="10"/>
        <v>2033</v>
      </c>
      <c r="L17" s="7">
        <f t="shared" si="10"/>
        <v>2034</v>
      </c>
      <c r="M17" s="7">
        <f t="shared" si="10"/>
        <v>2035</v>
      </c>
      <c r="N17" s="7">
        <f t="shared" si="10"/>
        <v>2036</v>
      </c>
      <c r="O17" s="7">
        <f t="shared" si="10"/>
        <v>2037</v>
      </c>
      <c r="P17" s="7">
        <f t="shared" si="10"/>
        <v>2038</v>
      </c>
      <c r="Q17" s="7">
        <f t="shared" si="10"/>
        <v>2039</v>
      </c>
      <c r="R17" s="7">
        <f t="shared" si="10"/>
        <v>2040</v>
      </c>
      <c r="S17" s="7">
        <f t="shared" si="10"/>
        <v>2041</v>
      </c>
      <c r="T17" s="7">
        <f t="shared" si="10"/>
        <v>2042</v>
      </c>
      <c r="U17" s="7">
        <f t="shared" si="10"/>
        <v>2043</v>
      </c>
      <c r="V17" s="7">
        <f t="shared" si="10"/>
        <v>2044</v>
      </c>
      <c r="W17" s="7">
        <f t="shared" si="10"/>
        <v>2045</v>
      </c>
      <c r="X17" s="7">
        <f t="shared" si="10"/>
        <v>2046</v>
      </c>
      <c r="Y17" s="7">
        <f t="shared" si="10"/>
        <v>2047</v>
      </c>
      <c r="Z17" s="7">
        <f t="shared" si="10"/>
        <v>2048</v>
      </c>
      <c r="AA17" s="7">
        <f t="shared" si="10"/>
        <v>2049</v>
      </c>
      <c r="AB17" s="7">
        <f t="shared" si="10"/>
        <v>2050</v>
      </c>
      <c r="AC17" s="7">
        <f t="shared" si="10"/>
        <v>2051</v>
      </c>
      <c r="AD17" s="7">
        <f t="shared" si="10"/>
        <v>2052</v>
      </c>
      <c r="AE17" s="7">
        <f t="shared" si="10"/>
        <v>2053</v>
      </c>
      <c r="AF17" s="7">
        <f t="shared" si="10"/>
        <v>2054</v>
      </c>
      <c r="AG17" s="7">
        <f t="shared" si="10"/>
        <v>2055</v>
      </c>
      <c r="AH17" s="7">
        <f t="shared" ref="AH17:AN17" si="11">AH4</f>
        <v>2056</v>
      </c>
      <c r="AI17" s="7">
        <f t="shared" si="11"/>
        <v>2057</v>
      </c>
      <c r="AJ17" s="7">
        <f t="shared" si="11"/>
        <v>2058</v>
      </c>
      <c r="AK17" s="7">
        <f t="shared" si="11"/>
        <v>2059</v>
      </c>
      <c r="AL17" s="7">
        <f t="shared" si="11"/>
        <v>2060</v>
      </c>
      <c r="AM17" s="7">
        <f t="shared" si="11"/>
        <v>2061</v>
      </c>
      <c r="AN17" s="7">
        <f t="shared" si="11"/>
        <v>2062</v>
      </c>
    </row>
    <row r="18" spans="2:40" x14ac:dyDescent="0.2">
      <c r="B18" s="3" t="s">
        <v>181</v>
      </c>
      <c r="C18" s="221">
        <f>D18+NPV(Parametre!$C$9,'06 Finančná analýza NOV200'!E18:H18)</f>
        <v>44094530.240305282</v>
      </c>
      <c r="D18" s="116">
        <f>'05 Financovanie NOV200'!D28-((1-'05 Financovanie NOV200'!$C$19)*('01 Investičné výdavky NOV200'!D13+'01 Investičné výdavky NOV200'!D14+'01 Investičné výdavky NOV200'!D16))</f>
        <v>0</v>
      </c>
      <c r="E18" s="116">
        <f>'05 Financovanie NOV200'!E28-((1-'05 Financovanie NOV200'!$C$19)*('01 Investičné výdavky NOV200'!E13+'01 Investičné výdavky NOV200'!E14+'01 Investičné výdavky NOV200'!E16))</f>
        <v>0</v>
      </c>
      <c r="F18" s="116">
        <f>'05 Financovanie NOV200'!F28-((1-'05 Financovanie NOV200'!$C$19)*('01 Investičné výdavky NOV200'!F13+'01 Investičné výdavky NOV200'!F14+'01 Investičné výdavky NOV200'!F16))</f>
        <v>0</v>
      </c>
      <c r="G18" s="116">
        <f>'05 Financovanie NOV200'!G28-((1-'05 Financovanie NOV200'!$C$19)*('01 Investičné výdavky NOV200'!G13+'01 Investičné výdavky NOV200'!G14+'01 Investičné výdavky NOV200'!G16))</f>
        <v>25286452.769999996</v>
      </c>
      <c r="H18" s="116">
        <f>'05 Financovanie NOV200'!H28-((1-'05 Financovanie NOV200'!$C$19)*('01 Investičné výdavky NOV200'!H13+'01 Investičné výdavky NOV200'!H14+'01 Investičné výdavky NOV200'!H16))</f>
        <v>25286452.769999996</v>
      </c>
      <c r="I18" s="116">
        <f>'05 Financovanie NOV200'!I28-((1-'05 Financovanie NOV200'!$C$19)*('01 Investičné výdavky NOV200'!I13+'01 Investičné výdavky NOV200'!I14+'01 Investičné výdavky NOV200'!I16))</f>
        <v>16857635.180000007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</row>
    <row r="19" spans="2:40" x14ac:dyDescent="0.2">
      <c r="B19" s="3" t="s">
        <v>57</v>
      </c>
      <c r="C19" s="221">
        <f>D19+NPV(Parametre!$C$9,'06 Finančná analýza NOV200'!E19:AQ19)</f>
        <v>-219605178.82663998</v>
      </c>
      <c r="D19" s="116">
        <f>'03 Prevádzkové výdavky NOV200'!D32</f>
        <v>0</v>
      </c>
      <c r="E19" s="116">
        <f>'03 Prevádzkové výdavky NOV200'!E32</f>
        <v>0</v>
      </c>
      <c r="F19" s="116">
        <f>'03 Prevádzkové výdavky NOV200'!F32</f>
        <v>0</v>
      </c>
      <c r="G19" s="116">
        <f>'03 Prevádzkové výdavky NOV200'!G32</f>
        <v>0</v>
      </c>
      <c r="H19" s="116">
        <f>'03 Prevádzkové výdavky NOV200'!H32</f>
        <v>-2226751.3005000036</v>
      </c>
      <c r="I19" s="116">
        <f>'03 Prevádzkové výdavky NOV200'!I32</f>
        <v>-31253502.601000004</v>
      </c>
      <c r="J19" s="116">
        <f>'03 Prevádzkové výdavky NOV200'!J32</f>
        <v>-32810962.838</v>
      </c>
      <c r="K19" s="116">
        <f>'03 Prevádzkové výdavky NOV200'!K32</f>
        <v>-6010962.8380000023</v>
      </c>
      <c r="L19" s="116">
        <f>'03 Prevádzkové výdavky NOV200'!L32</f>
        <v>-6010962.8380000023</v>
      </c>
      <c r="M19" s="116">
        <f>'03 Prevádzkové výdavky NOV200'!M32</f>
        <v>-6010962.8380000023</v>
      </c>
      <c r="N19" s="116">
        <f>'03 Prevádzkové výdavky NOV200'!N32</f>
        <v>-6010962.8380000023</v>
      </c>
      <c r="O19" s="116">
        <f>'03 Prevádzkové výdavky NOV200'!O32</f>
        <v>-6010962.8380000023</v>
      </c>
      <c r="P19" s="116">
        <f>'03 Prevádzkové výdavky NOV200'!P32</f>
        <v>-6010962.8380000023</v>
      </c>
      <c r="Q19" s="116">
        <f>'03 Prevádzkové výdavky NOV200'!Q32</f>
        <v>-6010962.8380000023</v>
      </c>
      <c r="R19" s="116">
        <f>'03 Prevádzkové výdavky NOV200'!R32</f>
        <v>-6010962.8380000023</v>
      </c>
      <c r="S19" s="116">
        <f>'03 Prevádzkové výdavky NOV200'!S32</f>
        <v>-59610962.838</v>
      </c>
      <c r="T19" s="116">
        <f>'03 Prevádzkové výdavky NOV200'!T32</f>
        <v>-59610962.838</v>
      </c>
      <c r="U19" s="116">
        <f>'03 Prevádzkové výdavky NOV200'!U32</f>
        <v>-6010962.8380000023</v>
      </c>
      <c r="V19" s="116">
        <f>'03 Prevádzkové výdavky NOV200'!V32</f>
        <v>-6010962.8380000023</v>
      </c>
      <c r="W19" s="116">
        <f>'03 Prevádzkové výdavky NOV200'!W32</f>
        <v>-6010962.8380000023</v>
      </c>
      <c r="X19" s="116">
        <f>'03 Prevádzkové výdavky NOV200'!X32</f>
        <v>-6010962.8380000023</v>
      </c>
      <c r="Y19" s="116">
        <f>'03 Prevádzkové výdavky NOV200'!Y32</f>
        <v>-6010962.8380000023</v>
      </c>
      <c r="Z19" s="116">
        <f>'03 Prevádzkové výdavky NOV200'!Z32</f>
        <v>-6010962.8380000023</v>
      </c>
      <c r="AA19" s="116">
        <f>'03 Prevádzkové výdavky NOV200'!AA32</f>
        <v>-6010962.8380000023</v>
      </c>
      <c r="AB19" s="116">
        <f>'03 Prevádzkové výdavky NOV200'!AB32</f>
        <v>-6010962.8380000023</v>
      </c>
      <c r="AC19" s="116">
        <f>'03 Prevádzkové výdavky NOV200'!AC32</f>
        <v>-9218862.8380000032</v>
      </c>
      <c r="AD19" s="116">
        <f>'03 Prevádzkové výdavky NOV200'!AD32</f>
        <v>-32810962.838</v>
      </c>
      <c r="AE19" s="116">
        <f>'03 Prevádzkové výdavky NOV200'!AE32</f>
        <v>-6010962.8380000023</v>
      </c>
      <c r="AF19" s="116">
        <f>'03 Prevádzkové výdavky NOV200'!AF32</f>
        <v>-6010962.8380000023</v>
      </c>
      <c r="AG19" s="116">
        <f>'03 Prevádzkové výdavky NOV200'!AG32</f>
        <v>-6010962.8380000023</v>
      </c>
      <c r="AH19" s="116">
        <f>'03 Prevádzkové výdavky NOV200'!AH32</f>
        <v>-6010962.8380000023</v>
      </c>
      <c r="AI19" s="116">
        <f>'03 Prevádzkové výdavky NOV200'!AI32</f>
        <v>-6010962.8380000023</v>
      </c>
      <c r="AJ19" s="116">
        <f>'03 Prevádzkové výdavky NOV200'!AJ32</f>
        <v>-6010962.8380000023</v>
      </c>
      <c r="AK19" s="116">
        <f>'03 Prevádzkové výdavky NOV200'!AK32</f>
        <v>-6010962.8380000023</v>
      </c>
      <c r="AL19" s="116">
        <f>'03 Prevádzkové výdavky NOV200'!AL32</f>
        <v>-6010962.8380000023</v>
      </c>
      <c r="AM19" s="116">
        <f>'03 Prevádzkové výdavky NOV200'!AM32</f>
        <v>-12426762.838000003</v>
      </c>
      <c r="AN19" s="116">
        <f>'03 Prevádzkové výdavky NOV200'!AN32</f>
        <v>-59610962.838</v>
      </c>
    </row>
    <row r="20" spans="2:40" x14ac:dyDescent="0.2">
      <c r="B20" s="3" t="s">
        <v>189</v>
      </c>
      <c r="C20" s="221">
        <f>D20+NPV(Parametre!$C$9,'06 Finančná analýza NOV200'!E20:AQ20)</f>
        <v>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</row>
    <row r="21" spans="2:40" x14ac:dyDescent="0.2">
      <c r="B21" s="3" t="s">
        <v>13</v>
      </c>
      <c r="C21" s="221">
        <f>D21+NPV(Parametre!$C$9,'06 Finančná analýza NOV200'!E21:AQ21)</f>
        <v>1178473.6946090504</v>
      </c>
      <c r="D21" s="118">
        <f>'04 Prevádzkové príjmy NOV200'!D23</f>
        <v>0</v>
      </c>
      <c r="E21" s="118">
        <f>'04 Prevádzkové príjmy NOV200'!E23</f>
        <v>0</v>
      </c>
      <c r="F21" s="118">
        <f>'04 Prevádzkové príjmy NOV200'!F23</f>
        <v>0</v>
      </c>
      <c r="G21" s="118">
        <f>'04 Prevádzkové príjmy NOV200'!G23</f>
        <v>30067.664363985881</v>
      </c>
      <c r="H21" s="118">
        <f>'04 Prevádzkové príjmy NOV200'!H23</f>
        <v>57362.421903297305</v>
      </c>
      <c r="I21" s="118">
        <f>'04 Prevádzkové príjmy NOV200'!I23</f>
        <v>68160.054261565208</v>
      </c>
      <c r="J21" s="118">
        <f>'04 Prevádzkové príjmy NOV200'!J23</f>
        <v>68841.654804177582</v>
      </c>
      <c r="K21" s="118">
        <f>'04 Prevádzkové príjmy NOV200'!K23</f>
        <v>69530.071352224797</v>
      </c>
      <c r="L21" s="118">
        <f>'04 Prevádzkové príjmy NOV200'!L23</f>
        <v>70225.372065741569</v>
      </c>
      <c r="M21" s="118">
        <f>'04 Prevádzkové príjmy NOV200'!M23</f>
        <v>70927.625786401331</v>
      </c>
      <c r="N21" s="118">
        <f>'04 Prevádzkové príjmy NOV200'!N23</f>
        <v>71636.902044266462</v>
      </c>
      <c r="O21" s="118">
        <f>'04 Prevádzkové príjmy NOV200'!O23</f>
        <v>72353.271064709872</v>
      </c>
      <c r="P21" s="118">
        <f>'04 Prevádzkové príjmy NOV200'!P23</f>
        <v>73076.80377535522</v>
      </c>
      <c r="Q21" s="118">
        <f>'04 Prevádzkové príjmy NOV200'!Q23</f>
        <v>73807.571813110262</v>
      </c>
      <c r="R21" s="118">
        <f>'04 Prevádzkové príjmy NOV200'!R23</f>
        <v>74545.647531241179</v>
      </c>
      <c r="S21" s="118">
        <f>'04 Prevádzkové príjmy NOV200'!S23</f>
        <v>74396.556236177683</v>
      </c>
      <c r="T21" s="118">
        <f>'04 Prevádzkové príjmy NOV200'!T23</f>
        <v>74247.763123705983</v>
      </c>
      <c r="U21" s="118">
        <f>'04 Prevádzkové príjmy NOV200'!U23</f>
        <v>74099.267597455531</v>
      </c>
      <c r="V21" s="118">
        <f>'04 Prevádzkové príjmy NOV200'!V23</f>
        <v>73951.069062262774</v>
      </c>
      <c r="W21" s="118">
        <f>'04 Prevádzkové príjmy NOV200'!W23</f>
        <v>73803.166924137622</v>
      </c>
      <c r="X21" s="118">
        <f>'04 Prevádzkové príjmy NOV200'!X23</f>
        <v>73655.560590289533</v>
      </c>
      <c r="Y21" s="118">
        <f>'04 Prevádzkové príjmy NOV200'!Y23</f>
        <v>73508.249469105154</v>
      </c>
      <c r="Z21" s="118">
        <f>'04 Prevádzkové príjmy NOV200'!Z23</f>
        <v>73361.232970170677</v>
      </c>
      <c r="AA21" s="118">
        <f>'04 Prevádzkové príjmy NOV200'!AA23</f>
        <v>73214.510504230857</v>
      </c>
      <c r="AB21" s="118">
        <f>'04 Prevádzkové príjmy NOV200'!AB23</f>
        <v>73068.081483218819</v>
      </c>
      <c r="AC21" s="118">
        <f>'04 Prevádzkové príjmy NOV200'!AC23</f>
        <v>72921.945320252329</v>
      </c>
      <c r="AD21" s="118">
        <f>'04 Prevádzkové príjmy NOV200'!AD23</f>
        <v>72776.10142961517</v>
      </c>
      <c r="AE21" s="118">
        <f>'04 Prevádzkové príjmy NOV200'!AE23</f>
        <v>72630.549226757139</v>
      </c>
      <c r="AF21" s="118">
        <f>'04 Prevádzkové príjmy NOV200'!AF23</f>
        <v>72485.288128297776</v>
      </c>
      <c r="AG21" s="118">
        <f>'04 Prevádzkové príjmy NOV200'!AG23</f>
        <v>72340.317552041262</v>
      </c>
      <c r="AH21" s="118">
        <f>'04 Prevádzkové príjmy NOV200'!AH23</f>
        <v>72195.636916939169</v>
      </c>
      <c r="AI21" s="118">
        <f>'04 Prevádzkové príjmy NOV200'!AI23</f>
        <v>72051.245643109083</v>
      </c>
      <c r="AJ21" s="118">
        <f>'04 Prevádzkové príjmy NOV200'!AJ23</f>
        <v>71907.143151823431</v>
      </c>
      <c r="AK21" s="118">
        <f>'04 Prevádzkové príjmy NOV200'!AK23</f>
        <v>71763.328865516931</v>
      </c>
      <c r="AL21" s="118">
        <f>'04 Prevádzkové príjmy NOV200'!AL23</f>
        <v>71619.802207790315</v>
      </c>
      <c r="AM21" s="118">
        <f>'04 Prevádzkové príjmy NOV200'!AM23</f>
        <v>71476.562603369355</v>
      </c>
      <c r="AN21" s="118">
        <f>'04 Prevádzkové príjmy NOV200'!AN23</f>
        <v>71333.609478164464</v>
      </c>
    </row>
    <row r="22" spans="2:40" ht="12" thickBot="1" x14ac:dyDescent="0.25">
      <c r="B22" s="27" t="s">
        <v>16</v>
      </c>
      <c r="C22" s="222">
        <f>D22+NPV(Parametre!$C$9,'06 Finančná analýza NOV200'!E22:AQ22)</f>
        <v>38195456.128203847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f>AG8</f>
        <v>0</v>
      </c>
      <c r="AH22" s="117">
        <f t="shared" ref="AH22:AN22" si="12">AH8</f>
        <v>0</v>
      </c>
      <c r="AI22" s="117">
        <f t="shared" si="12"/>
        <v>0</v>
      </c>
      <c r="AJ22" s="117">
        <f t="shared" si="12"/>
        <v>0</v>
      </c>
      <c r="AK22" s="117">
        <f t="shared" si="12"/>
        <v>0</v>
      </c>
      <c r="AL22" s="117">
        <f t="shared" si="12"/>
        <v>0</v>
      </c>
      <c r="AM22" s="117">
        <f t="shared" si="12"/>
        <v>0</v>
      </c>
      <c r="AN22" s="117">
        <f t="shared" si="12"/>
        <v>156751575.8186667</v>
      </c>
    </row>
    <row r="23" spans="2:40" ht="12" thickTop="1" x14ac:dyDescent="0.2">
      <c r="B23" s="22" t="s">
        <v>40</v>
      </c>
      <c r="C23" s="225">
        <f>D23+NPV(Parametre!$C$9,'06 Finančná analýza NOV200'!E23:AQ23)</f>
        <v>201028831.09884548</v>
      </c>
      <c r="D23" s="224">
        <f>-D18-D19-D20+D21+D22</f>
        <v>0</v>
      </c>
      <c r="E23" s="224">
        <f t="shared" ref="E23:AG23" si="13">-E18-E19-E20+E21+E22</f>
        <v>0</v>
      </c>
      <c r="F23" s="224">
        <f t="shared" si="13"/>
        <v>0</v>
      </c>
      <c r="G23" s="224">
        <f t="shared" si="13"/>
        <v>-25256385.105636008</v>
      </c>
      <c r="H23" s="224">
        <f t="shared" si="13"/>
        <v>-23002339.047596693</v>
      </c>
      <c r="I23" s="224">
        <f t="shared" si="13"/>
        <v>14464027.475261562</v>
      </c>
      <c r="J23" s="224">
        <f t="shared" si="13"/>
        <v>32879804.492804177</v>
      </c>
      <c r="K23" s="224">
        <f t="shared" si="13"/>
        <v>6080492.9093522271</v>
      </c>
      <c r="L23" s="224">
        <f t="shared" si="13"/>
        <v>6081188.2100657439</v>
      </c>
      <c r="M23" s="224">
        <f t="shared" si="13"/>
        <v>6081890.4637864036</v>
      </c>
      <c r="N23" s="224">
        <f t="shared" si="13"/>
        <v>6082599.7400442688</v>
      </c>
      <c r="O23" s="224">
        <f t="shared" si="13"/>
        <v>6083316.1090647122</v>
      </c>
      <c r="P23" s="224">
        <f t="shared" si="13"/>
        <v>6084039.6417753575</v>
      </c>
      <c r="Q23" s="224">
        <f t="shared" si="13"/>
        <v>6084770.4098131126</v>
      </c>
      <c r="R23" s="224">
        <f t="shared" si="13"/>
        <v>6085508.4855312435</v>
      </c>
      <c r="S23" s="224">
        <f t="shared" si="13"/>
        <v>59685359.394236177</v>
      </c>
      <c r="T23" s="224">
        <f t="shared" si="13"/>
        <v>59685210.601123706</v>
      </c>
      <c r="U23" s="224">
        <f t="shared" si="13"/>
        <v>6085062.1055974578</v>
      </c>
      <c r="V23" s="224">
        <f t="shared" si="13"/>
        <v>6084913.9070622651</v>
      </c>
      <c r="W23" s="224">
        <f t="shared" si="13"/>
        <v>6084766.0049241399</v>
      </c>
      <c r="X23" s="224">
        <f t="shared" si="13"/>
        <v>6084618.3985902919</v>
      </c>
      <c r="Y23" s="224">
        <f t="shared" si="13"/>
        <v>6084471.0874691075</v>
      </c>
      <c r="Z23" s="224">
        <f t="shared" si="13"/>
        <v>6084324.070970173</v>
      </c>
      <c r="AA23" s="224">
        <f t="shared" si="13"/>
        <v>6084177.3485042332</v>
      </c>
      <c r="AB23" s="224">
        <f t="shared" si="13"/>
        <v>6084030.9194832211</v>
      </c>
      <c r="AC23" s="224">
        <f t="shared" si="13"/>
        <v>9291784.7833202556</v>
      </c>
      <c r="AD23" s="224">
        <f t="shared" si="13"/>
        <v>32883738.939429615</v>
      </c>
      <c r="AE23" s="224">
        <f t="shared" si="13"/>
        <v>6083593.3872267595</v>
      </c>
      <c r="AF23" s="224">
        <f t="shared" si="13"/>
        <v>6083448.1261283001</v>
      </c>
      <c r="AG23" s="224">
        <f t="shared" si="13"/>
        <v>6083303.1555520436</v>
      </c>
      <c r="AH23" s="224">
        <f t="shared" ref="AH23:AN23" si="14">-AH18-AH19-AH20+AH21+AH22</f>
        <v>6083158.4749169415</v>
      </c>
      <c r="AI23" s="224">
        <f t="shared" si="14"/>
        <v>6083014.0836431114</v>
      </c>
      <c r="AJ23" s="224">
        <f t="shared" si="14"/>
        <v>6082869.9811518257</v>
      </c>
      <c r="AK23" s="224">
        <f t="shared" si="14"/>
        <v>6082726.1668655192</v>
      </c>
      <c r="AL23" s="224">
        <f t="shared" si="14"/>
        <v>6082582.6402077926</v>
      </c>
      <c r="AM23" s="224">
        <f t="shared" si="14"/>
        <v>12498239.400603373</v>
      </c>
      <c r="AN23" s="224">
        <f t="shared" si="14"/>
        <v>216433872.26614487</v>
      </c>
    </row>
    <row r="25" spans="2:40" x14ac:dyDescent="0.2">
      <c r="B25" s="26" t="s">
        <v>22</v>
      </c>
      <c r="C25" s="157">
        <f>-C18-C19-C20+C21+C22</f>
        <v>214884578.40914759</v>
      </c>
      <c r="D25" s="25" t="s">
        <v>0</v>
      </c>
    </row>
    <row r="26" spans="2:40" x14ac:dyDescent="0.2">
      <c r="B26" s="26" t="s">
        <v>23</v>
      </c>
      <c r="C26" s="158">
        <f>IRR(D23:AQ23,1)</f>
        <v>0.25989294449921929</v>
      </c>
    </row>
    <row r="27" spans="2:40" x14ac:dyDescent="0.2">
      <c r="D27" s="25"/>
    </row>
    <row r="29" spans="2:40" x14ac:dyDescent="0.2">
      <c r="B29" s="15" t="s">
        <v>183</v>
      </c>
      <c r="C29" s="15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2:40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  <c r="AM30" s="5">
        <v>36</v>
      </c>
      <c r="AN30" s="5">
        <v>37</v>
      </c>
    </row>
    <row r="31" spans="2:40" x14ac:dyDescent="0.2">
      <c r="B31" s="6" t="s">
        <v>39</v>
      </c>
      <c r="C31" s="110" t="s">
        <v>9</v>
      </c>
      <c r="D31" s="7">
        <f>D4</f>
        <v>2026</v>
      </c>
      <c r="E31" s="7">
        <f t="shared" ref="E31:AG31" si="15">E4</f>
        <v>2027</v>
      </c>
      <c r="F31" s="7">
        <f t="shared" si="15"/>
        <v>2028</v>
      </c>
      <c r="G31" s="7">
        <f t="shared" si="15"/>
        <v>2029</v>
      </c>
      <c r="H31" s="7">
        <f t="shared" si="15"/>
        <v>2030</v>
      </c>
      <c r="I31" s="7">
        <f t="shared" si="15"/>
        <v>2031</v>
      </c>
      <c r="J31" s="7">
        <f t="shared" si="15"/>
        <v>2032</v>
      </c>
      <c r="K31" s="7">
        <f t="shared" si="15"/>
        <v>2033</v>
      </c>
      <c r="L31" s="7">
        <f t="shared" si="15"/>
        <v>2034</v>
      </c>
      <c r="M31" s="7">
        <f t="shared" si="15"/>
        <v>2035</v>
      </c>
      <c r="N31" s="7">
        <f t="shared" si="15"/>
        <v>2036</v>
      </c>
      <c r="O31" s="7">
        <f t="shared" si="15"/>
        <v>2037</v>
      </c>
      <c r="P31" s="7">
        <f t="shared" si="15"/>
        <v>2038</v>
      </c>
      <c r="Q31" s="7">
        <f t="shared" si="15"/>
        <v>2039</v>
      </c>
      <c r="R31" s="7">
        <f t="shared" si="15"/>
        <v>2040</v>
      </c>
      <c r="S31" s="7">
        <f t="shared" si="15"/>
        <v>2041</v>
      </c>
      <c r="T31" s="7">
        <f t="shared" si="15"/>
        <v>2042</v>
      </c>
      <c r="U31" s="7">
        <f t="shared" si="15"/>
        <v>2043</v>
      </c>
      <c r="V31" s="7">
        <f t="shared" si="15"/>
        <v>2044</v>
      </c>
      <c r="W31" s="7">
        <f t="shared" si="15"/>
        <v>2045</v>
      </c>
      <c r="X31" s="7">
        <f t="shared" si="15"/>
        <v>2046</v>
      </c>
      <c r="Y31" s="7">
        <f t="shared" si="15"/>
        <v>2047</v>
      </c>
      <c r="Z31" s="7">
        <f t="shared" si="15"/>
        <v>2048</v>
      </c>
      <c r="AA31" s="7">
        <f t="shared" si="15"/>
        <v>2049</v>
      </c>
      <c r="AB31" s="7">
        <f t="shared" si="15"/>
        <v>2050</v>
      </c>
      <c r="AC31" s="7">
        <f t="shared" si="15"/>
        <v>2051</v>
      </c>
      <c r="AD31" s="7">
        <f t="shared" si="15"/>
        <v>2052</v>
      </c>
      <c r="AE31" s="7">
        <f t="shared" si="15"/>
        <v>2053</v>
      </c>
      <c r="AF31" s="7">
        <f t="shared" si="15"/>
        <v>2054</v>
      </c>
      <c r="AG31" s="7">
        <f t="shared" si="15"/>
        <v>2055</v>
      </c>
      <c r="AH31" s="7">
        <f t="shared" ref="AH31:AN31" si="16">AH4</f>
        <v>2056</v>
      </c>
      <c r="AI31" s="7">
        <f t="shared" si="16"/>
        <v>2057</v>
      </c>
      <c r="AJ31" s="7">
        <f t="shared" si="16"/>
        <v>2058</v>
      </c>
      <c r="AK31" s="7">
        <f t="shared" si="16"/>
        <v>2059</v>
      </c>
      <c r="AL31" s="7">
        <f t="shared" si="16"/>
        <v>2060</v>
      </c>
      <c r="AM31" s="7">
        <f t="shared" si="16"/>
        <v>2061</v>
      </c>
      <c r="AN31" s="7">
        <f t="shared" si="16"/>
        <v>2062</v>
      </c>
    </row>
    <row r="32" spans="2:40" x14ac:dyDescent="0.2">
      <c r="B32" s="3" t="s">
        <v>188</v>
      </c>
      <c r="C32" s="116">
        <f>SUM(D32:AQ32)</f>
        <v>293176264</v>
      </c>
      <c r="D32" s="116">
        <f>'05 Financovanie NOV200'!D25-'01 Investičné výdavky NOV200'!D13-'01 Investičné výdavky NOV200'!D14-'01 Investičné výdavky NOV200'!D16</f>
        <v>0</v>
      </c>
      <c r="E32" s="116">
        <f>'05 Financovanie NOV200'!E25-'01 Investičné výdavky NOV200'!E13-'01 Investičné výdavky NOV200'!E14-'01 Investičné výdavky NOV200'!E16</f>
        <v>0</v>
      </c>
      <c r="F32" s="116">
        <f>'05 Financovanie NOV200'!F25-'01 Investičné výdavky NOV200'!F13-'01 Investičné výdavky NOV200'!F14-'01 Investičné výdavky NOV200'!F16</f>
        <v>0</v>
      </c>
      <c r="G32" s="116">
        <f>'05 Financovanie NOV200'!G25-'01 Investičné výdavky NOV200'!G13-'01 Investičné výdavky NOV200'!G14-'01 Investičné výdavky NOV200'!G16</f>
        <v>109941099</v>
      </c>
      <c r="H32" s="116">
        <f>'05 Financovanie NOV200'!H25-'01 Investičné výdavky NOV200'!H13-'01 Investičné výdavky NOV200'!H14-'01 Investičné výdavky NOV200'!H16</f>
        <v>109941099</v>
      </c>
      <c r="I32" s="116">
        <f>'05 Financovanie NOV200'!I25-'01 Investičné výdavky NOV200'!I13-'01 Investičné výdavky NOV200'!I14-'01 Investičné výdavky NOV200'!I16</f>
        <v>73294066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</row>
    <row r="33" spans="2:40" x14ac:dyDescent="0.2">
      <c r="B33" s="3" t="s">
        <v>171</v>
      </c>
      <c r="C33" s="116">
        <f t="shared" ref="C33:C39" si="17">SUM(D33:AQ33)</f>
        <v>2403342.0492505077</v>
      </c>
      <c r="D33" s="116">
        <f>D7</f>
        <v>0</v>
      </c>
      <c r="E33" s="116">
        <f t="shared" ref="E33:AG33" si="18">E7</f>
        <v>0</v>
      </c>
      <c r="F33" s="116">
        <f t="shared" si="18"/>
        <v>0</v>
      </c>
      <c r="G33" s="116">
        <f t="shared" si="18"/>
        <v>30067.664363985881</v>
      </c>
      <c r="H33" s="116">
        <f t="shared" si="18"/>
        <v>57362.421903297305</v>
      </c>
      <c r="I33" s="116">
        <f t="shared" si="18"/>
        <v>68160.054261565208</v>
      </c>
      <c r="J33" s="116">
        <f t="shared" si="18"/>
        <v>68841.654804177582</v>
      </c>
      <c r="K33" s="116">
        <f t="shared" si="18"/>
        <v>69530.071352224797</v>
      </c>
      <c r="L33" s="116">
        <f t="shared" si="18"/>
        <v>70225.372065741569</v>
      </c>
      <c r="M33" s="116">
        <f t="shared" si="18"/>
        <v>70927.625786401331</v>
      </c>
      <c r="N33" s="116">
        <f t="shared" si="18"/>
        <v>71636.902044266462</v>
      </c>
      <c r="O33" s="116">
        <f t="shared" si="18"/>
        <v>72353.271064709872</v>
      </c>
      <c r="P33" s="116">
        <f t="shared" si="18"/>
        <v>73076.80377535522</v>
      </c>
      <c r="Q33" s="116">
        <f t="shared" si="18"/>
        <v>73807.571813110262</v>
      </c>
      <c r="R33" s="116">
        <f t="shared" si="18"/>
        <v>74545.647531241179</v>
      </c>
      <c r="S33" s="116">
        <f t="shared" si="18"/>
        <v>74396.556236177683</v>
      </c>
      <c r="T33" s="116">
        <f t="shared" si="18"/>
        <v>74247.763123705983</v>
      </c>
      <c r="U33" s="116">
        <f t="shared" si="18"/>
        <v>74099.267597455531</v>
      </c>
      <c r="V33" s="116">
        <f t="shared" si="18"/>
        <v>73951.069062262774</v>
      </c>
      <c r="W33" s="116">
        <f t="shared" si="18"/>
        <v>73803.166924137622</v>
      </c>
      <c r="X33" s="116">
        <f t="shared" si="18"/>
        <v>73655.560590289533</v>
      </c>
      <c r="Y33" s="116">
        <f t="shared" si="18"/>
        <v>73508.249469105154</v>
      </c>
      <c r="Z33" s="116">
        <f t="shared" si="18"/>
        <v>73361.232970170677</v>
      </c>
      <c r="AA33" s="116">
        <f t="shared" si="18"/>
        <v>73214.510504230857</v>
      </c>
      <c r="AB33" s="116">
        <f t="shared" si="18"/>
        <v>73068.081483218819</v>
      </c>
      <c r="AC33" s="116">
        <f t="shared" si="18"/>
        <v>72921.945320252329</v>
      </c>
      <c r="AD33" s="116">
        <f t="shared" si="18"/>
        <v>72776.10142961517</v>
      </c>
      <c r="AE33" s="116">
        <f t="shared" si="18"/>
        <v>72630.549226757139</v>
      </c>
      <c r="AF33" s="116">
        <f t="shared" si="18"/>
        <v>72485.288128297776</v>
      </c>
      <c r="AG33" s="116">
        <f t="shared" si="18"/>
        <v>72340.317552041262</v>
      </c>
      <c r="AH33" s="116">
        <f t="shared" ref="AH33:AN33" si="19">AH7</f>
        <v>72195.636916939169</v>
      </c>
      <c r="AI33" s="116">
        <f t="shared" si="19"/>
        <v>72051.245643109083</v>
      </c>
      <c r="AJ33" s="116">
        <f t="shared" si="19"/>
        <v>71907.143151823431</v>
      </c>
      <c r="AK33" s="116">
        <f t="shared" si="19"/>
        <v>71763.328865516931</v>
      </c>
      <c r="AL33" s="116">
        <f t="shared" si="19"/>
        <v>71619.802207790315</v>
      </c>
      <c r="AM33" s="116">
        <f t="shared" si="19"/>
        <v>71476.562603369355</v>
      </c>
      <c r="AN33" s="116">
        <f t="shared" si="19"/>
        <v>71333.609478164464</v>
      </c>
    </row>
    <row r="34" spans="2:40" x14ac:dyDescent="0.2">
      <c r="B34" s="4" t="s">
        <v>11</v>
      </c>
      <c r="C34" s="176">
        <f t="shared" si="17"/>
        <v>295579606.04925054</v>
      </c>
      <c r="D34" s="176">
        <f t="shared" ref="D34:AG34" si="20">SUM(D32:D33)</f>
        <v>0</v>
      </c>
      <c r="E34" s="176">
        <f t="shared" si="20"/>
        <v>0</v>
      </c>
      <c r="F34" s="176">
        <f t="shared" si="20"/>
        <v>0</v>
      </c>
      <c r="G34" s="176">
        <f t="shared" si="20"/>
        <v>109971166.66436398</v>
      </c>
      <c r="H34" s="176">
        <f t="shared" si="20"/>
        <v>109998461.4219033</v>
      </c>
      <c r="I34" s="176">
        <f t="shared" si="20"/>
        <v>73362226.054261565</v>
      </c>
      <c r="J34" s="176">
        <f t="shared" si="20"/>
        <v>68841.654804177582</v>
      </c>
      <c r="K34" s="176">
        <f t="shared" si="20"/>
        <v>69530.071352224797</v>
      </c>
      <c r="L34" s="176">
        <f t="shared" si="20"/>
        <v>70225.372065741569</v>
      </c>
      <c r="M34" s="176">
        <f t="shared" si="20"/>
        <v>70927.625786401331</v>
      </c>
      <c r="N34" s="176">
        <f t="shared" si="20"/>
        <v>71636.902044266462</v>
      </c>
      <c r="O34" s="176">
        <f t="shared" si="20"/>
        <v>72353.271064709872</v>
      </c>
      <c r="P34" s="176">
        <f t="shared" si="20"/>
        <v>73076.80377535522</v>
      </c>
      <c r="Q34" s="176">
        <f t="shared" si="20"/>
        <v>73807.571813110262</v>
      </c>
      <c r="R34" s="176">
        <f t="shared" si="20"/>
        <v>74545.647531241179</v>
      </c>
      <c r="S34" s="176">
        <f t="shared" si="20"/>
        <v>74396.556236177683</v>
      </c>
      <c r="T34" s="176">
        <f t="shared" si="20"/>
        <v>74247.763123705983</v>
      </c>
      <c r="U34" s="176">
        <f t="shared" si="20"/>
        <v>74099.267597455531</v>
      </c>
      <c r="V34" s="176">
        <f t="shared" si="20"/>
        <v>73951.069062262774</v>
      </c>
      <c r="W34" s="176">
        <f t="shared" si="20"/>
        <v>73803.166924137622</v>
      </c>
      <c r="X34" s="176">
        <f t="shared" si="20"/>
        <v>73655.560590289533</v>
      </c>
      <c r="Y34" s="176">
        <f t="shared" si="20"/>
        <v>73508.249469105154</v>
      </c>
      <c r="Z34" s="176">
        <f t="shared" si="20"/>
        <v>73361.232970170677</v>
      </c>
      <c r="AA34" s="176">
        <f t="shared" si="20"/>
        <v>73214.510504230857</v>
      </c>
      <c r="AB34" s="176">
        <f t="shared" si="20"/>
        <v>73068.081483218819</v>
      </c>
      <c r="AC34" s="176">
        <f t="shared" si="20"/>
        <v>72921.945320252329</v>
      </c>
      <c r="AD34" s="176">
        <f t="shared" si="20"/>
        <v>72776.10142961517</v>
      </c>
      <c r="AE34" s="176">
        <f t="shared" si="20"/>
        <v>72630.549226757139</v>
      </c>
      <c r="AF34" s="176">
        <f t="shared" si="20"/>
        <v>72485.288128297776</v>
      </c>
      <c r="AG34" s="176">
        <f t="shared" si="20"/>
        <v>72340.317552041262</v>
      </c>
      <c r="AH34" s="176">
        <f t="shared" ref="AH34:AN34" si="21">SUM(AH32:AH33)</f>
        <v>72195.636916939169</v>
      </c>
      <c r="AI34" s="176">
        <f t="shared" si="21"/>
        <v>72051.245643109083</v>
      </c>
      <c r="AJ34" s="176">
        <f t="shared" si="21"/>
        <v>71907.143151823431</v>
      </c>
      <c r="AK34" s="176">
        <f t="shared" si="21"/>
        <v>71763.328865516931</v>
      </c>
      <c r="AL34" s="176">
        <f t="shared" si="21"/>
        <v>71619.802207790315</v>
      </c>
      <c r="AM34" s="176">
        <f t="shared" si="21"/>
        <v>71476.562603369355</v>
      </c>
      <c r="AN34" s="176">
        <f t="shared" si="21"/>
        <v>71333.609478164464</v>
      </c>
    </row>
    <row r="35" spans="2:40" x14ac:dyDescent="0.2">
      <c r="B35" s="3" t="s">
        <v>58</v>
      </c>
      <c r="C35" s="116">
        <f t="shared" si="17"/>
        <v>293176264</v>
      </c>
      <c r="D35" s="116">
        <f>D5</f>
        <v>0</v>
      </c>
      <c r="E35" s="116">
        <f t="shared" ref="E35:I35" si="22">E5</f>
        <v>0</v>
      </c>
      <c r="F35" s="116">
        <f>F5</f>
        <v>0</v>
      </c>
      <c r="G35" s="116">
        <f t="shared" si="22"/>
        <v>109941099.00000001</v>
      </c>
      <c r="H35" s="116">
        <f t="shared" si="22"/>
        <v>109941099.00000001</v>
      </c>
      <c r="I35" s="116">
        <f t="shared" si="22"/>
        <v>73294066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</row>
    <row r="36" spans="2:40" x14ac:dyDescent="0.2">
      <c r="B36" s="3" t="s">
        <v>57</v>
      </c>
      <c r="C36" s="116">
        <f t="shared" si="17"/>
        <v>-443843801.87950003</v>
      </c>
      <c r="D36" s="116">
        <f>D6</f>
        <v>0</v>
      </c>
      <c r="E36" s="116">
        <f t="shared" ref="E36:AG36" si="23">E6</f>
        <v>0</v>
      </c>
      <c r="F36" s="116">
        <f t="shared" si="23"/>
        <v>0</v>
      </c>
      <c r="G36" s="116">
        <f t="shared" si="23"/>
        <v>0</v>
      </c>
      <c r="H36" s="116">
        <f t="shared" si="23"/>
        <v>-2226751.3005000036</v>
      </c>
      <c r="I36" s="116">
        <f t="shared" si="23"/>
        <v>-31253502.601000004</v>
      </c>
      <c r="J36" s="116">
        <f t="shared" si="23"/>
        <v>-32810962.838</v>
      </c>
      <c r="K36" s="116">
        <f t="shared" si="23"/>
        <v>-6010962.8380000023</v>
      </c>
      <c r="L36" s="116">
        <f t="shared" si="23"/>
        <v>-6010962.8380000023</v>
      </c>
      <c r="M36" s="116">
        <f t="shared" si="23"/>
        <v>-6010962.8380000023</v>
      </c>
      <c r="N36" s="116">
        <f t="shared" si="23"/>
        <v>-6010962.8380000023</v>
      </c>
      <c r="O36" s="116">
        <f t="shared" si="23"/>
        <v>-6010962.8380000023</v>
      </c>
      <c r="P36" s="116">
        <f t="shared" si="23"/>
        <v>-6010962.8380000023</v>
      </c>
      <c r="Q36" s="116">
        <f t="shared" si="23"/>
        <v>-6010962.8380000023</v>
      </c>
      <c r="R36" s="116">
        <f t="shared" si="23"/>
        <v>-6010962.8380000023</v>
      </c>
      <c r="S36" s="116">
        <f t="shared" si="23"/>
        <v>-59610962.838</v>
      </c>
      <c r="T36" s="116">
        <f t="shared" si="23"/>
        <v>-59610962.838</v>
      </c>
      <c r="U36" s="116">
        <f t="shared" si="23"/>
        <v>-6010962.8380000023</v>
      </c>
      <c r="V36" s="116">
        <f t="shared" si="23"/>
        <v>-6010962.8380000023</v>
      </c>
      <c r="W36" s="116">
        <f t="shared" si="23"/>
        <v>-6010962.8380000023</v>
      </c>
      <c r="X36" s="116">
        <f t="shared" si="23"/>
        <v>-6010962.8380000023</v>
      </c>
      <c r="Y36" s="116">
        <f t="shared" si="23"/>
        <v>-6010962.8380000023</v>
      </c>
      <c r="Z36" s="116">
        <f t="shared" si="23"/>
        <v>-6010962.8380000023</v>
      </c>
      <c r="AA36" s="116">
        <f t="shared" si="23"/>
        <v>-6010962.8380000023</v>
      </c>
      <c r="AB36" s="116">
        <f t="shared" si="23"/>
        <v>-6010962.8380000023</v>
      </c>
      <c r="AC36" s="116">
        <f t="shared" si="23"/>
        <v>-9218862.8380000032</v>
      </c>
      <c r="AD36" s="116">
        <f t="shared" si="23"/>
        <v>-32810962.838</v>
      </c>
      <c r="AE36" s="116">
        <f t="shared" si="23"/>
        <v>-6010962.8380000023</v>
      </c>
      <c r="AF36" s="116">
        <f t="shared" si="23"/>
        <v>-6010962.8380000023</v>
      </c>
      <c r="AG36" s="116">
        <f t="shared" si="23"/>
        <v>-6010962.8380000023</v>
      </c>
      <c r="AH36" s="116">
        <f t="shared" ref="AH36:AN36" si="24">AH6</f>
        <v>-6010962.8380000023</v>
      </c>
      <c r="AI36" s="116">
        <f t="shared" si="24"/>
        <v>-6010962.8380000023</v>
      </c>
      <c r="AJ36" s="116">
        <f t="shared" si="24"/>
        <v>-6010962.8380000023</v>
      </c>
      <c r="AK36" s="116">
        <f t="shared" si="24"/>
        <v>-6010962.8380000023</v>
      </c>
      <c r="AL36" s="116">
        <f t="shared" si="24"/>
        <v>-6010962.8380000023</v>
      </c>
      <c r="AM36" s="116">
        <f t="shared" si="24"/>
        <v>-12426762.838000003</v>
      </c>
      <c r="AN36" s="116">
        <f t="shared" si="24"/>
        <v>-59610962.838</v>
      </c>
    </row>
    <row r="37" spans="2:40" x14ac:dyDescent="0.2">
      <c r="B37" s="3" t="s">
        <v>182</v>
      </c>
      <c r="C37" s="116">
        <f t="shared" si="17"/>
        <v>0</v>
      </c>
      <c r="D37" s="116">
        <f>D20</f>
        <v>0</v>
      </c>
      <c r="E37" s="116">
        <f t="shared" ref="E37:AG37" si="25">E20</f>
        <v>0</v>
      </c>
      <c r="F37" s="116">
        <f t="shared" si="25"/>
        <v>0</v>
      </c>
      <c r="G37" s="116">
        <f t="shared" si="25"/>
        <v>0</v>
      </c>
      <c r="H37" s="116">
        <f t="shared" si="25"/>
        <v>0</v>
      </c>
      <c r="I37" s="116">
        <f t="shared" si="25"/>
        <v>0</v>
      </c>
      <c r="J37" s="116">
        <f t="shared" si="25"/>
        <v>0</v>
      </c>
      <c r="K37" s="116">
        <f t="shared" si="25"/>
        <v>0</v>
      </c>
      <c r="L37" s="116">
        <f t="shared" si="25"/>
        <v>0</v>
      </c>
      <c r="M37" s="116">
        <f t="shared" si="25"/>
        <v>0</v>
      </c>
      <c r="N37" s="116">
        <f t="shared" si="25"/>
        <v>0</v>
      </c>
      <c r="O37" s="116">
        <f t="shared" si="25"/>
        <v>0</v>
      </c>
      <c r="P37" s="116">
        <f t="shared" si="25"/>
        <v>0</v>
      </c>
      <c r="Q37" s="116">
        <f t="shared" si="25"/>
        <v>0</v>
      </c>
      <c r="R37" s="116">
        <f t="shared" si="25"/>
        <v>0</v>
      </c>
      <c r="S37" s="116">
        <f t="shared" si="25"/>
        <v>0</v>
      </c>
      <c r="T37" s="116">
        <f t="shared" si="25"/>
        <v>0</v>
      </c>
      <c r="U37" s="116">
        <f t="shared" si="25"/>
        <v>0</v>
      </c>
      <c r="V37" s="116">
        <f t="shared" si="25"/>
        <v>0</v>
      </c>
      <c r="W37" s="116">
        <f t="shared" si="25"/>
        <v>0</v>
      </c>
      <c r="X37" s="116">
        <f t="shared" si="25"/>
        <v>0</v>
      </c>
      <c r="Y37" s="116">
        <f t="shared" si="25"/>
        <v>0</v>
      </c>
      <c r="Z37" s="116">
        <f t="shared" si="25"/>
        <v>0</v>
      </c>
      <c r="AA37" s="116">
        <f t="shared" si="25"/>
        <v>0</v>
      </c>
      <c r="AB37" s="116">
        <f t="shared" si="25"/>
        <v>0</v>
      </c>
      <c r="AC37" s="116">
        <f t="shared" si="25"/>
        <v>0</v>
      </c>
      <c r="AD37" s="116">
        <f t="shared" si="25"/>
        <v>0</v>
      </c>
      <c r="AE37" s="116">
        <f t="shared" si="25"/>
        <v>0</v>
      </c>
      <c r="AF37" s="116">
        <f t="shared" si="25"/>
        <v>0</v>
      </c>
      <c r="AG37" s="116">
        <f t="shared" si="25"/>
        <v>0</v>
      </c>
      <c r="AH37" s="116">
        <f t="shared" ref="AH37:AN37" si="26">AH20</f>
        <v>0</v>
      </c>
      <c r="AI37" s="116">
        <f t="shared" si="26"/>
        <v>0</v>
      </c>
      <c r="AJ37" s="116">
        <f t="shared" si="26"/>
        <v>0</v>
      </c>
      <c r="AK37" s="116">
        <f t="shared" si="26"/>
        <v>0</v>
      </c>
      <c r="AL37" s="116">
        <f t="shared" si="26"/>
        <v>0</v>
      </c>
      <c r="AM37" s="116">
        <f t="shared" si="26"/>
        <v>0</v>
      </c>
      <c r="AN37" s="116">
        <f t="shared" si="26"/>
        <v>0</v>
      </c>
    </row>
    <row r="38" spans="2:40" x14ac:dyDescent="0.2">
      <c r="B38" s="4" t="s">
        <v>26</v>
      </c>
      <c r="C38" s="176">
        <f t="shared" si="17"/>
        <v>-150667537.8795</v>
      </c>
      <c r="D38" s="176">
        <f>SUM(D35:D37)</f>
        <v>0</v>
      </c>
      <c r="E38" s="176">
        <f t="shared" ref="E38:AG38" si="27">SUM(E35:E37)</f>
        <v>0</v>
      </c>
      <c r="F38" s="176">
        <f t="shared" si="27"/>
        <v>0</v>
      </c>
      <c r="G38" s="176">
        <f t="shared" si="27"/>
        <v>109941099.00000001</v>
      </c>
      <c r="H38" s="176">
        <f t="shared" si="27"/>
        <v>107714347.69950001</v>
      </c>
      <c r="I38" s="176">
        <f t="shared" si="27"/>
        <v>42040563.398999996</v>
      </c>
      <c r="J38" s="176">
        <f t="shared" si="27"/>
        <v>-32810962.838</v>
      </c>
      <c r="K38" s="176">
        <f t="shared" si="27"/>
        <v>-6010962.8380000023</v>
      </c>
      <c r="L38" s="176">
        <f t="shared" si="27"/>
        <v>-6010962.8380000023</v>
      </c>
      <c r="M38" s="176">
        <f t="shared" si="27"/>
        <v>-6010962.8380000023</v>
      </c>
      <c r="N38" s="176">
        <f t="shared" si="27"/>
        <v>-6010962.8380000023</v>
      </c>
      <c r="O38" s="176">
        <f t="shared" si="27"/>
        <v>-6010962.8380000023</v>
      </c>
      <c r="P38" s="176">
        <f t="shared" si="27"/>
        <v>-6010962.8380000023</v>
      </c>
      <c r="Q38" s="176">
        <f t="shared" si="27"/>
        <v>-6010962.8380000023</v>
      </c>
      <c r="R38" s="176">
        <f t="shared" si="27"/>
        <v>-6010962.8380000023</v>
      </c>
      <c r="S38" s="176">
        <f t="shared" si="27"/>
        <v>-59610962.838</v>
      </c>
      <c r="T38" s="176">
        <f t="shared" si="27"/>
        <v>-59610962.838</v>
      </c>
      <c r="U38" s="176">
        <f t="shared" si="27"/>
        <v>-6010962.8380000023</v>
      </c>
      <c r="V38" s="176">
        <f t="shared" si="27"/>
        <v>-6010962.8380000023</v>
      </c>
      <c r="W38" s="176">
        <f t="shared" si="27"/>
        <v>-6010962.8380000023</v>
      </c>
      <c r="X38" s="176">
        <f t="shared" si="27"/>
        <v>-6010962.8380000023</v>
      </c>
      <c r="Y38" s="176">
        <f t="shared" si="27"/>
        <v>-6010962.8380000023</v>
      </c>
      <c r="Z38" s="176">
        <f t="shared" si="27"/>
        <v>-6010962.8380000023</v>
      </c>
      <c r="AA38" s="176">
        <f t="shared" si="27"/>
        <v>-6010962.8380000023</v>
      </c>
      <c r="AB38" s="176">
        <f t="shared" si="27"/>
        <v>-6010962.8380000023</v>
      </c>
      <c r="AC38" s="176">
        <f t="shared" si="27"/>
        <v>-9218862.8380000032</v>
      </c>
      <c r="AD38" s="176">
        <f t="shared" si="27"/>
        <v>-32810962.838</v>
      </c>
      <c r="AE38" s="176">
        <f t="shared" si="27"/>
        <v>-6010962.8380000023</v>
      </c>
      <c r="AF38" s="176">
        <f t="shared" si="27"/>
        <v>-6010962.8380000023</v>
      </c>
      <c r="AG38" s="176">
        <f t="shared" si="27"/>
        <v>-6010962.8380000023</v>
      </c>
      <c r="AH38" s="176">
        <f t="shared" ref="AH38:AN38" si="28">SUM(AH35:AH37)</f>
        <v>-6010962.8380000023</v>
      </c>
      <c r="AI38" s="176">
        <f t="shared" si="28"/>
        <v>-6010962.8380000023</v>
      </c>
      <c r="AJ38" s="176">
        <f t="shared" si="28"/>
        <v>-6010962.8380000023</v>
      </c>
      <c r="AK38" s="176">
        <f t="shared" si="28"/>
        <v>-6010962.8380000023</v>
      </c>
      <c r="AL38" s="176">
        <f t="shared" si="28"/>
        <v>-6010962.8380000023</v>
      </c>
      <c r="AM38" s="176">
        <f t="shared" si="28"/>
        <v>-12426762.838000003</v>
      </c>
      <c r="AN38" s="176">
        <f t="shared" si="28"/>
        <v>-59610962.838</v>
      </c>
    </row>
    <row r="39" spans="2:40" x14ac:dyDescent="0.2">
      <c r="B39" s="114" t="s">
        <v>47</v>
      </c>
      <c r="C39" s="177">
        <f t="shared" si="17"/>
        <v>446247143.92875057</v>
      </c>
      <c r="D39" s="177">
        <f>D34-D38</f>
        <v>0</v>
      </c>
      <c r="E39" s="177">
        <f t="shared" ref="E39:AG39" si="29">E34-E38</f>
        <v>0</v>
      </c>
      <c r="F39" s="177">
        <f t="shared" si="29"/>
        <v>0</v>
      </c>
      <c r="G39" s="177">
        <f t="shared" si="29"/>
        <v>30067.664363965392</v>
      </c>
      <c r="H39" s="177">
        <f t="shared" si="29"/>
        <v>2284113.7224032879</v>
      </c>
      <c r="I39" s="177">
        <f t="shared" si="29"/>
        <v>31321662.655261569</v>
      </c>
      <c r="J39" s="177">
        <f t="shared" si="29"/>
        <v>32879804.492804177</v>
      </c>
      <c r="K39" s="177">
        <f t="shared" si="29"/>
        <v>6080492.9093522271</v>
      </c>
      <c r="L39" s="177">
        <f t="shared" si="29"/>
        <v>6081188.2100657439</v>
      </c>
      <c r="M39" s="177">
        <f t="shared" si="29"/>
        <v>6081890.4637864036</v>
      </c>
      <c r="N39" s="177">
        <f t="shared" si="29"/>
        <v>6082599.7400442688</v>
      </c>
      <c r="O39" s="177">
        <f t="shared" si="29"/>
        <v>6083316.1090647122</v>
      </c>
      <c r="P39" s="177">
        <f t="shared" si="29"/>
        <v>6084039.6417753575</v>
      </c>
      <c r="Q39" s="177">
        <f t="shared" si="29"/>
        <v>6084770.4098131126</v>
      </c>
      <c r="R39" s="177">
        <f t="shared" si="29"/>
        <v>6085508.4855312435</v>
      </c>
      <c r="S39" s="177">
        <f t="shared" si="29"/>
        <v>59685359.394236177</v>
      </c>
      <c r="T39" s="177">
        <f t="shared" si="29"/>
        <v>59685210.601123706</v>
      </c>
      <c r="U39" s="177">
        <f t="shared" si="29"/>
        <v>6085062.1055974578</v>
      </c>
      <c r="V39" s="177">
        <f t="shared" si="29"/>
        <v>6084913.9070622651</v>
      </c>
      <c r="W39" s="177">
        <f t="shared" si="29"/>
        <v>6084766.0049241399</v>
      </c>
      <c r="X39" s="177">
        <f t="shared" si="29"/>
        <v>6084618.3985902919</v>
      </c>
      <c r="Y39" s="177">
        <f t="shared" si="29"/>
        <v>6084471.0874691075</v>
      </c>
      <c r="Z39" s="177">
        <f t="shared" si="29"/>
        <v>6084324.070970173</v>
      </c>
      <c r="AA39" s="177">
        <f t="shared" si="29"/>
        <v>6084177.3485042332</v>
      </c>
      <c r="AB39" s="177">
        <f t="shared" si="29"/>
        <v>6084030.9194832211</v>
      </c>
      <c r="AC39" s="177">
        <f t="shared" si="29"/>
        <v>9291784.7833202556</v>
      </c>
      <c r="AD39" s="177">
        <f t="shared" si="29"/>
        <v>32883738.939429615</v>
      </c>
      <c r="AE39" s="177">
        <f t="shared" si="29"/>
        <v>6083593.3872267595</v>
      </c>
      <c r="AF39" s="177">
        <f t="shared" si="29"/>
        <v>6083448.1261283001</v>
      </c>
      <c r="AG39" s="177">
        <f t="shared" si="29"/>
        <v>6083303.1555520436</v>
      </c>
      <c r="AH39" s="177">
        <f t="shared" ref="AH39:AN39" si="30">AH34-AH38</f>
        <v>6083158.4749169415</v>
      </c>
      <c r="AI39" s="177">
        <f t="shared" si="30"/>
        <v>6083014.0836431114</v>
      </c>
      <c r="AJ39" s="177">
        <f t="shared" si="30"/>
        <v>6082869.9811518257</v>
      </c>
      <c r="AK39" s="177">
        <f t="shared" si="30"/>
        <v>6082726.1668655192</v>
      </c>
      <c r="AL39" s="177">
        <f t="shared" si="30"/>
        <v>6082582.6402077926</v>
      </c>
      <c r="AM39" s="177">
        <f t="shared" si="30"/>
        <v>12498239.400603373</v>
      </c>
      <c r="AN39" s="177">
        <f t="shared" si="30"/>
        <v>59682296.44747816</v>
      </c>
    </row>
    <row r="40" spans="2:40" x14ac:dyDescent="0.2">
      <c r="B40" s="3" t="s">
        <v>27</v>
      </c>
      <c r="C40" s="176"/>
      <c r="D40" s="116">
        <f>D39</f>
        <v>0</v>
      </c>
      <c r="E40" s="116">
        <f>D40+E39</f>
        <v>0</v>
      </c>
      <c r="F40" s="116">
        <f t="shared" ref="F40:AG40" si="31">E40+F39</f>
        <v>0</v>
      </c>
      <c r="G40" s="116">
        <f t="shared" si="31"/>
        <v>30067.664363965392</v>
      </c>
      <c r="H40" s="116">
        <f t="shared" si="31"/>
        <v>2314181.3867672533</v>
      </c>
      <c r="I40" s="116">
        <f t="shared" si="31"/>
        <v>33635844.042028822</v>
      </c>
      <c r="J40" s="116">
        <f t="shared" si="31"/>
        <v>66515648.534832999</v>
      </c>
      <c r="K40" s="116">
        <f t="shared" si="31"/>
        <v>72596141.444185227</v>
      </c>
      <c r="L40" s="116">
        <f t="shared" si="31"/>
        <v>78677329.654250965</v>
      </c>
      <c r="M40" s="116">
        <f t="shared" si="31"/>
        <v>84759220.118037373</v>
      </c>
      <c r="N40" s="116">
        <f t="shared" si="31"/>
        <v>90841819.858081639</v>
      </c>
      <c r="O40" s="116">
        <f t="shared" si="31"/>
        <v>96925135.967146352</v>
      </c>
      <c r="P40" s="116">
        <f t="shared" si="31"/>
        <v>103009175.60892171</v>
      </c>
      <c r="Q40" s="116">
        <f t="shared" si="31"/>
        <v>109093946.01873481</v>
      </c>
      <c r="R40" s="116">
        <f t="shared" si="31"/>
        <v>115179454.50426605</v>
      </c>
      <c r="S40" s="116">
        <f t="shared" si="31"/>
        <v>174864813.89850223</v>
      </c>
      <c r="T40" s="116">
        <f t="shared" si="31"/>
        <v>234550024.49962592</v>
      </c>
      <c r="U40" s="116">
        <f t="shared" si="31"/>
        <v>240635086.60522339</v>
      </c>
      <c r="V40" s="116">
        <f t="shared" si="31"/>
        <v>246720000.51228565</v>
      </c>
      <c r="W40" s="116">
        <f t="shared" si="31"/>
        <v>252804766.5172098</v>
      </c>
      <c r="X40" s="116">
        <f t="shared" si="31"/>
        <v>258889384.91580009</v>
      </c>
      <c r="Y40" s="116">
        <f t="shared" si="31"/>
        <v>264973856.0032692</v>
      </c>
      <c r="Z40" s="116">
        <f t="shared" si="31"/>
        <v>271058180.07423937</v>
      </c>
      <c r="AA40" s="116">
        <f t="shared" si="31"/>
        <v>277142357.42274362</v>
      </c>
      <c r="AB40" s="116">
        <f t="shared" si="31"/>
        <v>283226388.34222686</v>
      </c>
      <c r="AC40" s="116">
        <f t="shared" si="31"/>
        <v>292518173.12554711</v>
      </c>
      <c r="AD40" s="116">
        <f t="shared" si="31"/>
        <v>325401912.06497675</v>
      </c>
      <c r="AE40" s="116">
        <f t="shared" si="31"/>
        <v>331485505.45220351</v>
      </c>
      <c r="AF40" s="116">
        <f t="shared" si="31"/>
        <v>337568953.57833183</v>
      </c>
      <c r="AG40" s="116">
        <f t="shared" si="31"/>
        <v>343652256.73388386</v>
      </c>
      <c r="AH40" s="116">
        <f t="shared" ref="AH40" si="32">AG40+AH39</f>
        <v>349735415.20880079</v>
      </c>
      <c r="AI40" s="116">
        <f t="shared" ref="AI40" si="33">AH40+AI39</f>
        <v>355818429.29244393</v>
      </c>
      <c r="AJ40" s="116">
        <f t="shared" ref="AJ40" si="34">AI40+AJ39</f>
        <v>361901299.27359575</v>
      </c>
      <c r="AK40" s="116">
        <f t="shared" ref="AK40" si="35">AJ40+AK39</f>
        <v>367984025.44046128</v>
      </c>
      <c r="AL40" s="116">
        <f t="shared" ref="AL40" si="36">AK40+AL39</f>
        <v>374066608.08066905</v>
      </c>
      <c r="AM40" s="116">
        <f t="shared" ref="AM40" si="37">AL40+AM39</f>
        <v>386564847.4812724</v>
      </c>
      <c r="AN40" s="116">
        <f t="shared" ref="AN40" si="38">AM40+AN39</f>
        <v>446247143.92875057</v>
      </c>
    </row>
    <row r="41" spans="2:40" x14ac:dyDescent="0.2">
      <c r="B41" s="3" t="s">
        <v>190</v>
      </c>
      <c r="C41" s="176">
        <f>SUM(D41:AQ41)</f>
        <v>0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</row>
    <row r="42" spans="2:40" x14ac:dyDescent="0.2">
      <c r="B42" s="28" t="s">
        <v>191</v>
      </c>
      <c r="C42" s="178"/>
      <c r="D42" s="178">
        <f>D39+D41</f>
        <v>0</v>
      </c>
      <c r="E42" s="178">
        <f>D42+E39+E41</f>
        <v>0</v>
      </c>
      <c r="F42" s="178">
        <f t="shared" ref="F42:AG42" si="39">E42+F39+F41</f>
        <v>0</v>
      </c>
      <c r="G42" s="178">
        <f t="shared" si="39"/>
        <v>30067.664363965392</v>
      </c>
      <c r="H42" s="178">
        <f t="shared" si="39"/>
        <v>2314181.3867672533</v>
      </c>
      <c r="I42" s="178">
        <f t="shared" si="39"/>
        <v>33635844.042028822</v>
      </c>
      <c r="J42" s="178">
        <f t="shared" si="39"/>
        <v>66515648.534832999</v>
      </c>
      <c r="K42" s="178">
        <f t="shared" si="39"/>
        <v>72596141.444185227</v>
      </c>
      <c r="L42" s="178">
        <f t="shared" si="39"/>
        <v>78677329.654250965</v>
      </c>
      <c r="M42" s="178">
        <f t="shared" si="39"/>
        <v>84759220.118037373</v>
      </c>
      <c r="N42" s="178">
        <f t="shared" si="39"/>
        <v>90841819.858081639</v>
      </c>
      <c r="O42" s="178">
        <f t="shared" si="39"/>
        <v>96925135.967146352</v>
      </c>
      <c r="P42" s="178">
        <f t="shared" si="39"/>
        <v>103009175.60892171</v>
      </c>
      <c r="Q42" s="178">
        <f t="shared" si="39"/>
        <v>109093946.01873481</v>
      </c>
      <c r="R42" s="178">
        <f t="shared" si="39"/>
        <v>115179454.50426605</v>
      </c>
      <c r="S42" s="178">
        <f t="shared" si="39"/>
        <v>174864813.89850223</v>
      </c>
      <c r="T42" s="178">
        <f t="shared" si="39"/>
        <v>234550024.49962592</v>
      </c>
      <c r="U42" s="178">
        <f t="shared" si="39"/>
        <v>240635086.60522339</v>
      </c>
      <c r="V42" s="178">
        <f t="shared" si="39"/>
        <v>246720000.51228565</v>
      </c>
      <c r="W42" s="178">
        <f t="shared" si="39"/>
        <v>252804766.5172098</v>
      </c>
      <c r="X42" s="178">
        <f t="shared" si="39"/>
        <v>258889384.91580009</v>
      </c>
      <c r="Y42" s="178">
        <f t="shared" si="39"/>
        <v>264973856.0032692</v>
      </c>
      <c r="Z42" s="178">
        <f t="shared" si="39"/>
        <v>271058180.07423937</v>
      </c>
      <c r="AA42" s="178">
        <f t="shared" si="39"/>
        <v>277142357.42274362</v>
      </c>
      <c r="AB42" s="178">
        <f t="shared" si="39"/>
        <v>283226388.34222686</v>
      </c>
      <c r="AC42" s="178">
        <f t="shared" si="39"/>
        <v>292518173.12554711</v>
      </c>
      <c r="AD42" s="178">
        <f t="shared" si="39"/>
        <v>325401912.06497675</v>
      </c>
      <c r="AE42" s="178">
        <f t="shared" si="39"/>
        <v>331485505.45220351</v>
      </c>
      <c r="AF42" s="178">
        <f t="shared" si="39"/>
        <v>337568953.57833183</v>
      </c>
      <c r="AG42" s="178">
        <f t="shared" si="39"/>
        <v>343652256.73388386</v>
      </c>
      <c r="AH42" s="178">
        <f t="shared" ref="AH42" si="40">AG42+AH39+AH41</f>
        <v>349735415.20880079</v>
      </c>
      <c r="AI42" s="178">
        <f t="shared" ref="AI42" si="41">AH42+AI39+AI41</f>
        <v>355818429.29244393</v>
      </c>
      <c r="AJ42" s="178">
        <f t="shared" ref="AJ42" si="42">AI42+AJ39+AJ41</f>
        <v>361901299.27359575</v>
      </c>
      <c r="AK42" s="178">
        <f t="shared" ref="AK42" si="43">AJ42+AK39+AK41</f>
        <v>367984025.44046128</v>
      </c>
      <c r="AL42" s="178">
        <f t="shared" ref="AL42" si="44">AK42+AL39+AL41</f>
        <v>374066608.08066905</v>
      </c>
      <c r="AM42" s="178">
        <f t="shared" ref="AM42" si="45">AL42+AM39+AM41</f>
        <v>386564847.4812724</v>
      </c>
      <c r="AN42" s="178">
        <f t="shared" ref="AN42" si="46">AM42+AN39+AN41</f>
        <v>446247143.92875057</v>
      </c>
    </row>
    <row r="45" spans="2:40" x14ac:dyDescent="0.2">
      <c r="B45" s="15" t="s">
        <v>194</v>
      </c>
      <c r="C45" s="15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2:40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  <c r="AH46" s="5">
        <v>31</v>
      </c>
      <c r="AI46" s="5">
        <v>32</v>
      </c>
      <c r="AJ46" s="5">
        <v>33</v>
      </c>
      <c r="AK46" s="5">
        <v>34</v>
      </c>
      <c r="AL46" s="5">
        <v>35</v>
      </c>
      <c r="AM46" s="5">
        <v>36</v>
      </c>
      <c r="AN46" s="5">
        <v>37</v>
      </c>
    </row>
    <row r="47" spans="2:40" x14ac:dyDescent="0.2">
      <c r="B47" s="6" t="s">
        <v>39</v>
      </c>
      <c r="C47" s="110" t="s">
        <v>9</v>
      </c>
      <c r="D47" s="7">
        <f>D4</f>
        <v>2026</v>
      </c>
      <c r="E47" s="7">
        <f t="shared" ref="E47:AG47" si="47">E4</f>
        <v>2027</v>
      </c>
      <c r="F47" s="7">
        <f t="shared" si="47"/>
        <v>2028</v>
      </c>
      <c r="G47" s="7">
        <f t="shared" si="47"/>
        <v>2029</v>
      </c>
      <c r="H47" s="7">
        <f t="shared" si="47"/>
        <v>2030</v>
      </c>
      <c r="I47" s="7">
        <f t="shared" si="47"/>
        <v>2031</v>
      </c>
      <c r="J47" s="7">
        <f t="shared" si="47"/>
        <v>2032</v>
      </c>
      <c r="K47" s="7">
        <f t="shared" si="47"/>
        <v>2033</v>
      </c>
      <c r="L47" s="7">
        <f t="shared" si="47"/>
        <v>2034</v>
      </c>
      <c r="M47" s="7">
        <f t="shared" si="47"/>
        <v>2035</v>
      </c>
      <c r="N47" s="7">
        <f t="shared" si="47"/>
        <v>2036</v>
      </c>
      <c r="O47" s="7">
        <f t="shared" si="47"/>
        <v>2037</v>
      </c>
      <c r="P47" s="7">
        <f t="shared" si="47"/>
        <v>2038</v>
      </c>
      <c r="Q47" s="7">
        <f t="shared" si="47"/>
        <v>2039</v>
      </c>
      <c r="R47" s="7">
        <f t="shared" si="47"/>
        <v>2040</v>
      </c>
      <c r="S47" s="7">
        <f t="shared" si="47"/>
        <v>2041</v>
      </c>
      <c r="T47" s="7">
        <f t="shared" si="47"/>
        <v>2042</v>
      </c>
      <c r="U47" s="7">
        <f t="shared" si="47"/>
        <v>2043</v>
      </c>
      <c r="V47" s="7">
        <f t="shared" si="47"/>
        <v>2044</v>
      </c>
      <c r="W47" s="7">
        <f t="shared" si="47"/>
        <v>2045</v>
      </c>
      <c r="X47" s="7">
        <f t="shared" si="47"/>
        <v>2046</v>
      </c>
      <c r="Y47" s="7">
        <f t="shared" si="47"/>
        <v>2047</v>
      </c>
      <c r="Z47" s="7">
        <f t="shared" si="47"/>
        <v>2048</v>
      </c>
      <c r="AA47" s="7">
        <f t="shared" si="47"/>
        <v>2049</v>
      </c>
      <c r="AB47" s="7">
        <f t="shared" si="47"/>
        <v>2050</v>
      </c>
      <c r="AC47" s="7">
        <f t="shared" si="47"/>
        <v>2051</v>
      </c>
      <c r="AD47" s="7">
        <f t="shared" si="47"/>
        <v>2052</v>
      </c>
      <c r="AE47" s="7">
        <f t="shared" si="47"/>
        <v>2053</v>
      </c>
      <c r="AF47" s="7">
        <f t="shared" si="47"/>
        <v>2054</v>
      </c>
      <c r="AG47" s="7">
        <f t="shared" si="47"/>
        <v>2055</v>
      </c>
      <c r="AH47" s="7">
        <f t="shared" ref="AH47:AN47" si="48">AH4</f>
        <v>2056</v>
      </c>
      <c r="AI47" s="7">
        <f t="shared" si="48"/>
        <v>2057</v>
      </c>
      <c r="AJ47" s="7">
        <f t="shared" si="48"/>
        <v>2058</v>
      </c>
      <c r="AK47" s="7">
        <f t="shared" si="48"/>
        <v>2059</v>
      </c>
      <c r="AL47" s="7">
        <f t="shared" si="48"/>
        <v>2060</v>
      </c>
      <c r="AM47" s="7">
        <f t="shared" si="48"/>
        <v>2061</v>
      </c>
      <c r="AN47" s="7">
        <f t="shared" si="48"/>
        <v>2062</v>
      </c>
    </row>
    <row r="48" spans="2:40" x14ac:dyDescent="0.2">
      <c r="B48" s="3" t="s">
        <v>188</v>
      </c>
      <c r="C48" s="116">
        <f t="shared" ref="C48:C55" si="49">SUM(D48:AQ48)</f>
        <v>293176264</v>
      </c>
      <c r="D48" s="116">
        <f>'05 Financovanie NOV200'!D25-'01 Investičné výdavky NOV200'!D13-'01 Investičné výdavky NOV200'!D14-'01 Investičné výdavky NOV200'!D16</f>
        <v>0</v>
      </c>
      <c r="E48" s="116">
        <f>'05 Financovanie NOV200'!E25-'01 Investičné výdavky NOV200'!E13-'01 Investičné výdavky NOV200'!E14-'01 Investičné výdavky NOV200'!E16</f>
        <v>0</v>
      </c>
      <c r="F48" s="116">
        <f>'05 Financovanie NOV200'!F25-'01 Investičné výdavky NOV200'!F13-'01 Investičné výdavky NOV200'!F14-'01 Investičné výdavky NOV200'!F16</f>
        <v>0</v>
      </c>
      <c r="G48" s="116">
        <f>'05 Financovanie NOV200'!G25-'01 Investičné výdavky NOV200'!G13-'01 Investičné výdavky NOV200'!G14-'01 Investičné výdavky NOV200'!G16</f>
        <v>109941099</v>
      </c>
      <c r="H48" s="116">
        <f>'05 Financovanie NOV200'!H25-'01 Investičné výdavky NOV200'!H13-'01 Investičné výdavky NOV200'!H14-'01 Investičné výdavky NOV200'!H16</f>
        <v>109941099</v>
      </c>
      <c r="I48" s="116">
        <f>'05 Financovanie NOV200'!I25-'01 Investičné výdavky NOV200'!I13-'01 Investičné výdavky NOV200'!I14-'01 Investičné výdavky NOV200'!I16</f>
        <v>73294066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</row>
    <row r="49" spans="2:40" x14ac:dyDescent="0.2">
      <c r="B49" s="115" t="s">
        <v>193</v>
      </c>
      <c r="C49" s="175">
        <f t="shared" si="49"/>
        <v>664083866.95184398</v>
      </c>
      <c r="D49" s="175">
        <f>'04 Prevádzkové príjmy NOV200'!D15</f>
        <v>16212988.223822912</v>
      </c>
      <c r="E49" s="175">
        <f>'04 Prevádzkové príjmy NOV200'!E15</f>
        <v>16375118.106061142</v>
      </c>
      <c r="F49" s="175">
        <f>'04 Prevádzkové príjmy NOV200'!F15</f>
        <v>16538869.287121752</v>
      </c>
      <c r="G49" s="175">
        <f>'04 Prevádzkové príjmy NOV200'!G15</f>
        <v>16734325.644356959</v>
      </c>
      <c r="H49" s="175">
        <f>'04 Prevádzkové príjmy NOV200'!H15</f>
        <v>16928662.981696196</v>
      </c>
      <c r="I49" s="175">
        <f>'04 Prevádzkové príjmy NOV200'!I15</f>
        <v>17108173.619652394</v>
      </c>
      <c r="J49" s="175">
        <f>'04 Prevádzkové príjmy NOV200'!J15</f>
        <v>17279255.355848916</v>
      </c>
      <c r="K49" s="175">
        <f>'04 Prevádzkové príjmy NOV200'!K15</f>
        <v>17452047.909407411</v>
      </c>
      <c r="L49" s="175">
        <f>'04 Prevádzkové príjmy NOV200'!L15</f>
        <v>17626568.38850148</v>
      </c>
      <c r="M49" s="175">
        <f>'04 Prevádzkové príjmy NOV200'!M15</f>
        <v>17802834.072386496</v>
      </c>
      <c r="N49" s="175">
        <f>'04 Prevádzkové príjmy NOV200'!N15</f>
        <v>17980862.413110361</v>
      </c>
      <c r="O49" s="175">
        <f>'04 Prevádzkové príjmy NOV200'!O15</f>
        <v>18160671.037241466</v>
      </c>
      <c r="P49" s="175">
        <f>'04 Prevádzkové príjmy NOV200'!P15</f>
        <v>18342277.747613881</v>
      </c>
      <c r="Q49" s="175">
        <f>'04 Prevádzkové príjmy NOV200'!Q15</f>
        <v>18525700.52509002</v>
      </c>
      <c r="R49" s="175">
        <f>'04 Prevádzkové príjmy NOV200'!R15</f>
        <v>18710957.530340921</v>
      </c>
      <c r="S49" s="175">
        <f>'04 Prevádzkové príjmy NOV200'!S15</f>
        <v>18673535.615280237</v>
      </c>
      <c r="T49" s="175">
        <f>'04 Prevádzkové príjmy NOV200'!T15</f>
        <v>18636188.544049677</v>
      </c>
      <c r="U49" s="175">
        <f>'04 Prevádzkové príjmy NOV200'!U15</f>
        <v>18598916.166961573</v>
      </c>
      <c r="V49" s="175">
        <f>'04 Prevádzkové príjmy NOV200'!V15</f>
        <v>18561718.334627651</v>
      </c>
      <c r="W49" s="175">
        <f>'04 Prevádzkové príjmy NOV200'!W15</f>
        <v>18524594.897958398</v>
      </c>
      <c r="X49" s="175">
        <f>'04 Prevádzkové príjmy NOV200'!X15</f>
        <v>18487545.708162483</v>
      </c>
      <c r="Y49" s="175">
        <f>'04 Prevádzkové príjmy NOV200'!Y15</f>
        <v>18450570.616746154</v>
      </c>
      <c r="Z49" s="175">
        <f>'04 Prevádzkové príjmy NOV200'!Z15</f>
        <v>18413669.475512661</v>
      </c>
      <c r="AA49" s="175">
        <f>'04 Prevádzkové príjmy NOV200'!AA15</f>
        <v>18376842.136561636</v>
      </c>
      <c r="AB49" s="175">
        <f>'04 Prevádzkové príjmy NOV200'!AB15</f>
        <v>18340088.452288512</v>
      </c>
      <c r="AC49" s="175">
        <f>'04 Prevádzkové príjmy NOV200'!AC15</f>
        <v>18303408.275383934</v>
      </c>
      <c r="AD49" s="175">
        <f>'04 Prevádzkové príjmy NOV200'!AD15</f>
        <v>18266801.458833165</v>
      </c>
      <c r="AE49" s="175">
        <f>'04 Prevádzkové príjmy NOV200'!AE15</f>
        <v>18230267.855915498</v>
      </c>
      <c r="AF49" s="175">
        <f>'04 Prevádzkové príjmy NOV200'!AF15</f>
        <v>18193807.320203666</v>
      </c>
      <c r="AG49" s="175">
        <f>'04 Prevádzkové príjmy NOV200'!AG15</f>
        <v>18157419.705563258</v>
      </c>
      <c r="AH49" s="175">
        <f>'04 Prevádzkové príjmy NOV200'!AH15</f>
        <v>18121104.866152134</v>
      </c>
      <c r="AI49" s="175">
        <f>'04 Prevádzkové príjmy NOV200'!AI15</f>
        <v>18084862.656419832</v>
      </c>
      <c r="AJ49" s="175">
        <f>'04 Prevádzkové príjmy NOV200'!AJ15</f>
        <v>18048692.931106992</v>
      </c>
      <c r="AK49" s="175">
        <f>'04 Prevádzkové príjmy NOV200'!AK15</f>
        <v>18012595.545244776</v>
      </c>
      <c r="AL49" s="175">
        <f>'04 Prevádzkové príjmy NOV200'!AL15</f>
        <v>17976570.354154289</v>
      </c>
      <c r="AM49" s="175">
        <f>'04 Prevádzkové príjmy NOV200'!AM15</f>
        <v>17940617.21344598</v>
      </c>
      <c r="AN49" s="175">
        <f>'04 Prevádzkové príjmy NOV200'!AN15</f>
        <v>17904735.979019087</v>
      </c>
    </row>
    <row r="50" spans="2:40" x14ac:dyDescent="0.2">
      <c r="B50" s="4" t="s">
        <v>11</v>
      </c>
      <c r="C50" s="176">
        <f t="shared" si="49"/>
        <v>957260130.95184422</v>
      </c>
      <c r="D50" s="176">
        <f>SUM(D48:D49)</f>
        <v>16212988.223822912</v>
      </c>
      <c r="E50" s="176">
        <f t="shared" ref="E50" si="50">SUM(E48:E49)</f>
        <v>16375118.106061142</v>
      </c>
      <c r="F50" s="176">
        <f t="shared" ref="F50" si="51">SUM(F48:F49)</f>
        <v>16538869.287121752</v>
      </c>
      <c r="G50" s="176">
        <f t="shared" ref="G50" si="52">SUM(G48:G49)</f>
        <v>126675424.64435697</v>
      </c>
      <c r="H50" s="176">
        <f t="shared" ref="H50" si="53">SUM(H48:H49)</f>
        <v>126869761.98169619</v>
      </c>
      <c r="I50" s="176">
        <f t="shared" ref="I50" si="54">SUM(I48:I49)</f>
        <v>90402239.61965239</v>
      </c>
      <c r="J50" s="176">
        <f t="shared" ref="J50" si="55">SUM(J48:J49)</f>
        <v>17279255.355848916</v>
      </c>
      <c r="K50" s="176">
        <f t="shared" ref="K50" si="56">SUM(K48:K49)</f>
        <v>17452047.909407411</v>
      </c>
      <c r="L50" s="176">
        <f t="shared" ref="L50" si="57">SUM(L48:L49)</f>
        <v>17626568.38850148</v>
      </c>
      <c r="M50" s="176">
        <f t="shared" ref="M50" si="58">SUM(M48:M49)</f>
        <v>17802834.072386496</v>
      </c>
      <c r="N50" s="176">
        <f t="shared" ref="N50" si="59">SUM(N48:N49)</f>
        <v>17980862.413110361</v>
      </c>
      <c r="O50" s="176">
        <f t="shared" ref="O50" si="60">SUM(O48:O49)</f>
        <v>18160671.037241466</v>
      </c>
      <c r="P50" s="176">
        <f t="shared" ref="P50" si="61">SUM(P48:P49)</f>
        <v>18342277.747613881</v>
      </c>
      <c r="Q50" s="176">
        <f t="shared" ref="Q50" si="62">SUM(Q48:Q49)</f>
        <v>18525700.52509002</v>
      </c>
      <c r="R50" s="176">
        <f t="shared" ref="R50" si="63">SUM(R48:R49)</f>
        <v>18710957.530340921</v>
      </c>
      <c r="S50" s="176">
        <f t="shared" ref="S50" si="64">SUM(S48:S49)</f>
        <v>18673535.615280237</v>
      </c>
      <c r="T50" s="176">
        <f t="shared" ref="T50" si="65">SUM(T48:T49)</f>
        <v>18636188.544049677</v>
      </c>
      <c r="U50" s="176">
        <f t="shared" ref="U50" si="66">SUM(U48:U49)</f>
        <v>18598916.166961573</v>
      </c>
      <c r="V50" s="176">
        <f t="shared" ref="V50" si="67">SUM(V48:V49)</f>
        <v>18561718.334627651</v>
      </c>
      <c r="W50" s="176">
        <f t="shared" ref="W50" si="68">SUM(W48:W49)</f>
        <v>18524594.897958398</v>
      </c>
      <c r="X50" s="176">
        <f t="shared" ref="X50" si="69">SUM(X48:X49)</f>
        <v>18487545.708162483</v>
      </c>
      <c r="Y50" s="176">
        <f t="shared" ref="Y50" si="70">SUM(Y48:Y49)</f>
        <v>18450570.616746154</v>
      </c>
      <c r="Z50" s="176">
        <f t="shared" ref="Z50" si="71">SUM(Z48:Z49)</f>
        <v>18413669.475512661</v>
      </c>
      <c r="AA50" s="176">
        <f t="shared" ref="AA50" si="72">SUM(AA48:AA49)</f>
        <v>18376842.136561636</v>
      </c>
      <c r="AB50" s="176">
        <f t="shared" ref="AB50" si="73">SUM(AB48:AB49)</f>
        <v>18340088.452288512</v>
      </c>
      <c r="AC50" s="176">
        <f t="shared" ref="AC50" si="74">SUM(AC48:AC49)</f>
        <v>18303408.275383934</v>
      </c>
      <c r="AD50" s="176">
        <f t="shared" ref="AD50" si="75">SUM(AD48:AD49)</f>
        <v>18266801.458833165</v>
      </c>
      <c r="AE50" s="176">
        <f t="shared" ref="AE50" si="76">SUM(AE48:AE49)</f>
        <v>18230267.855915498</v>
      </c>
      <c r="AF50" s="176">
        <f t="shared" ref="AF50" si="77">SUM(AF48:AF49)</f>
        <v>18193807.320203666</v>
      </c>
      <c r="AG50" s="176">
        <f t="shared" ref="AG50:AN50" si="78">SUM(AG48:AG49)</f>
        <v>18157419.705563258</v>
      </c>
      <c r="AH50" s="176">
        <f t="shared" si="78"/>
        <v>18121104.866152134</v>
      </c>
      <c r="AI50" s="176">
        <f t="shared" si="78"/>
        <v>18084862.656419832</v>
      </c>
      <c r="AJ50" s="176">
        <f t="shared" si="78"/>
        <v>18048692.931106992</v>
      </c>
      <c r="AK50" s="176">
        <f t="shared" si="78"/>
        <v>18012595.545244776</v>
      </c>
      <c r="AL50" s="176">
        <f t="shared" si="78"/>
        <v>17976570.354154289</v>
      </c>
      <c r="AM50" s="176">
        <f t="shared" si="78"/>
        <v>17940617.21344598</v>
      </c>
      <c r="AN50" s="176">
        <f t="shared" si="78"/>
        <v>17904735.979019087</v>
      </c>
    </row>
    <row r="51" spans="2:40" x14ac:dyDescent="0.2">
      <c r="B51" s="3" t="s">
        <v>58</v>
      </c>
      <c r="C51" s="116">
        <f t="shared" si="49"/>
        <v>293176264</v>
      </c>
      <c r="D51" s="116">
        <f>D5</f>
        <v>0</v>
      </c>
      <c r="E51" s="116">
        <f t="shared" ref="E51:I51" si="79">E5</f>
        <v>0</v>
      </c>
      <c r="F51" s="116">
        <f t="shared" si="79"/>
        <v>0</v>
      </c>
      <c r="G51" s="116">
        <f t="shared" si="79"/>
        <v>109941099.00000001</v>
      </c>
      <c r="H51" s="116">
        <f t="shared" si="79"/>
        <v>109941099.00000001</v>
      </c>
      <c r="I51" s="116">
        <f t="shared" si="79"/>
        <v>73294066</v>
      </c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</row>
    <row r="52" spans="2:40" x14ac:dyDescent="0.2">
      <c r="B52" s="115" t="s">
        <v>192</v>
      </c>
      <c r="C52" s="175">
        <f t="shared" si="49"/>
        <v>1052360260.7224998</v>
      </c>
      <c r="D52" s="175">
        <f>'03 Prevádzkové výdavky NOV200'!D21</f>
        <v>31746055.746000003</v>
      </c>
      <c r="E52" s="175">
        <f>'03 Prevádzkové výdavky NOV200'!E21</f>
        <v>31746055.746000003</v>
      </c>
      <c r="F52" s="175">
        <f>'03 Prevádzkové výdavky NOV200'!F21</f>
        <v>31746055.746000003</v>
      </c>
      <c r="G52" s="175">
        <f>'03 Prevádzkové výdavky NOV200'!G21</f>
        <v>31746055.746000003</v>
      </c>
      <c r="H52" s="175">
        <f>'03 Prevádzkové výdavky NOV200'!H21</f>
        <v>29519304.445500001</v>
      </c>
      <c r="I52" s="175">
        <f>'03 Prevádzkové výdavky NOV200'!I21</f>
        <v>27292553.145000003</v>
      </c>
      <c r="J52" s="175">
        <f>'03 Prevádzkové výdavky NOV200'!J21</f>
        <v>25735092.908</v>
      </c>
      <c r="K52" s="175">
        <f>'03 Prevádzkové výdavky NOV200'!K21</f>
        <v>25735092.908</v>
      </c>
      <c r="L52" s="175">
        <f>'03 Prevádzkové výdavky NOV200'!L21</f>
        <v>25735092.908</v>
      </c>
      <c r="M52" s="175">
        <f>'03 Prevádzkové výdavky NOV200'!M21</f>
        <v>25735092.908</v>
      </c>
      <c r="N52" s="175">
        <f>'03 Prevádzkové výdavky NOV200'!N21</f>
        <v>25735092.908</v>
      </c>
      <c r="O52" s="175">
        <f>'03 Prevádzkové výdavky NOV200'!O21</f>
        <v>25735092.908</v>
      </c>
      <c r="P52" s="175">
        <f>'03 Prevádzkové výdavky NOV200'!P21</f>
        <v>25735092.908</v>
      </c>
      <c r="Q52" s="175">
        <f>'03 Prevádzkové výdavky NOV200'!Q21</f>
        <v>25735092.908</v>
      </c>
      <c r="R52" s="175">
        <f>'03 Prevádzkové výdavky NOV200'!R21</f>
        <v>25735092.908</v>
      </c>
      <c r="S52" s="175">
        <f>'03 Prevádzkové výdavky NOV200'!S21</f>
        <v>25735092.908</v>
      </c>
      <c r="T52" s="175">
        <f>'03 Prevádzkové výdavky NOV200'!T21</f>
        <v>25735092.908</v>
      </c>
      <c r="U52" s="175">
        <f>'03 Prevádzkové výdavky NOV200'!U21</f>
        <v>25735092.908</v>
      </c>
      <c r="V52" s="175">
        <f>'03 Prevádzkové výdavky NOV200'!V21</f>
        <v>25735092.908</v>
      </c>
      <c r="W52" s="175">
        <f>'03 Prevádzkové výdavky NOV200'!W21</f>
        <v>25735092.908</v>
      </c>
      <c r="X52" s="175">
        <f>'03 Prevádzkové výdavky NOV200'!X21</f>
        <v>25735092.908</v>
      </c>
      <c r="Y52" s="175">
        <f>'03 Prevádzkové výdavky NOV200'!Y21</f>
        <v>25735092.908</v>
      </c>
      <c r="Z52" s="175">
        <f>'03 Prevádzkové výdavky NOV200'!Z21</f>
        <v>25735092.908</v>
      </c>
      <c r="AA52" s="175">
        <f>'03 Prevádzkové výdavky NOV200'!AA21</f>
        <v>25735092.908</v>
      </c>
      <c r="AB52" s="175">
        <f>'03 Prevádzkové výdavky NOV200'!AB21</f>
        <v>25735092.908</v>
      </c>
      <c r="AC52" s="175">
        <f>'03 Prevádzkové výdavky NOV200'!AC21</f>
        <v>49327192.908</v>
      </c>
      <c r="AD52" s="175">
        <f>'03 Prevádzkové výdavky NOV200'!AD21</f>
        <v>25735092.908</v>
      </c>
      <c r="AE52" s="175">
        <f>'03 Prevádzkové výdavky NOV200'!AE21</f>
        <v>25735092.908</v>
      </c>
      <c r="AF52" s="175">
        <f>'03 Prevádzkové výdavky NOV200'!AF21</f>
        <v>25735092.908</v>
      </c>
      <c r="AG52" s="175">
        <f>'03 Prevádzkové výdavky NOV200'!AG21</f>
        <v>25735092.908</v>
      </c>
      <c r="AH52" s="175">
        <f>'03 Prevádzkové výdavky NOV200'!AH21</f>
        <v>25735092.908</v>
      </c>
      <c r="AI52" s="175">
        <f>'03 Prevádzkové výdavky NOV200'!AI21</f>
        <v>25735092.908</v>
      </c>
      <c r="AJ52" s="175">
        <f>'03 Prevádzkové výdavky NOV200'!AJ21</f>
        <v>25735092.908</v>
      </c>
      <c r="AK52" s="175">
        <f>'03 Prevádzkové výdavky NOV200'!AK21</f>
        <v>25735092.908</v>
      </c>
      <c r="AL52" s="175">
        <f>'03 Prevádzkové výdavky NOV200'!AL21</f>
        <v>25735092.908</v>
      </c>
      <c r="AM52" s="175">
        <f>'03 Prevádzkové výdavky NOV200'!AM21</f>
        <v>72919292.908000007</v>
      </c>
      <c r="AN52" s="175">
        <f>'03 Prevádzkové výdavky NOV200'!AN21</f>
        <v>25735092.908</v>
      </c>
    </row>
    <row r="53" spans="2:40" x14ac:dyDescent="0.2">
      <c r="B53" s="3" t="s">
        <v>182</v>
      </c>
      <c r="C53" s="116">
        <f t="shared" si="49"/>
        <v>0</v>
      </c>
      <c r="D53" s="116">
        <f>D20</f>
        <v>0</v>
      </c>
      <c r="E53" s="116">
        <f t="shared" ref="E53:AG53" si="80">E20</f>
        <v>0</v>
      </c>
      <c r="F53" s="116">
        <f t="shared" si="80"/>
        <v>0</v>
      </c>
      <c r="G53" s="116">
        <f t="shared" si="80"/>
        <v>0</v>
      </c>
      <c r="H53" s="116">
        <f t="shared" si="80"/>
        <v>0</v>
      </c>
      <c r="I53" s="116">
        <f t="shared" si="80"/>
        <v>0</v>
      </c>
      <c r="J53" s="116">
        <f t="shared" si="80"/>
        <v>0</v>
      </c>
      <c r="K53" s="116">
        <f t="shared" si="80"/>
        <v>0</v>
      </c>
      <c r="L53" s="116">
        <f t="shared" si="80"/>
        <v>0</v>
      </c>
      <c r="M53" s="116">
        <f t="shared" si="80"/>
        <v>0</v>
      </c>
      <c r="N53" s="116">
        <f t="shared" si="80"/>
        <v>0</v>
      </c>
      <c r="O53" s="116">
        <f t="shared" si="80"/>
        <v>0</v>
      </c>
      <c r="P53" s="116">
        <f t="shared" si="80"/>
        <v>0</v>
      </c>
      <c r="Q53" s="116">
        <f t="shared" si="80"/>
        <v>0</v>
      </c>
      <c r="R53" s="116">
        <f t="shared" si="80"/>
        <v>0</v>
      </c>
      <c r="S53" s="116">
        <f t="shared" si="80"/>
        <v>0</v>
      </c>
      <c r="T53" s="116">
        <f t="shared" si="80"/>
        <v>0</v>
      </c>
      <c r="U53" s="116">
        <f t="shared" si="80"/>
        <v>0</v>
      </c>
      <c r="V53" s="116">
        <f t="shared" si="80"/>
        <v>0</v>
      </c>
      <c r="W53" s="116">
        <f t="shared" si="80"/>
        <v>0</v>
      </c>
      <c r="X53" s="116">
        <f t="shared" si="80"/>
        <v>0</v>
      </c>
      <c r="Y53" s="116">
        <f t="shared" si="80"/>
        <v>0</v>
      </c>
      <c r="Z53" s="116">
        <f t="shared" si="80"/>
        <v>0</v>
      </c>
      <c r="AA53" s="116">
        <f t="shared" si="80"/>
        <v>0</v>
      </c>
      <c r="AB53" s="116">
        <f t="shared" si="80"/>
        <v>0</v>
      </c>
      <c r="AC53" s="116">
        <f t="shared" si="80"/>
        <v>0</v>
      </c>
      <c r="AD53" s="116">
        <f t="shared" si="80"/>
        <v>0</v>
      </c>
      <c r="AE53" s="116">
        <f t="shared" si="80"/>
        <v>0</v>
      </c>
      <c r="AF53" s="116">
        <f t="shared" si="80"/>
        <v>0</v>
      </c>
      <c r="AG53" s="116">
        <f t="shared" si="80"/>
        <v>0</v>
      </c>
      <c r="AH53" s="116">
        <f t="shared" ref="AH53:AN53" si="81">AH20</f>
        <v>0</v>
      </c>
      <c r="AI53" s="116">
        <f t="shared" si="81"/>
        <v>0</v>
      </c>
      <c r="AJ53" s="116">
        <f t="shared" si="81"/>
        <v>0</v>
      </c>
      <c r="AK53" s="116">
        <f t="shared" si="81"/>
        <v>0</v>
      </c>
      <c r="AL53" s="116">
        <f t="shared" si="81"/>
        <v>0</v>
      </c>
      <c r="AM53" s="116">
        <f t="shared" si="81"/>
        <v>0</v>
      </c>
      <c r="AN53" s="116">
        <f t="shared" si="81"/>
        <v>0</v>
      </c>
    </row>
    <row r="54" spans="2:40" x14ac:dyDescent="0.2">
      <c r="B54" s="4" t="s">
        <v>26</v>
      </c>
      <c r="C54" s="176">
        <f t="shared" si="49"/>
        <v>1345536524.7224998</v>
      </c>
      <c r="D54" s="176">
        <f>SUM(D51:D53)</f>
        <v>31746055.746000003</v>
      </c>
      <c r="E54" s="176">
        <f t="shared" ref="E54" si="82">SUM(E51:E53)</f>
        <v>31746055.746000003</v>
      </c>
      <c r="F54" s="176">
        <f t="shared" ref="F54" si="83">SUM(F51:F53)</f>
        <v>31746055.746000003</v>
      </c>
      <c r="G54" s="176">
        <f t="shared" ref="G54" si="84">SUM(G51:G53)</f>
        <v>141687154.74600002</v>
      </c>
      <c r="H54" s="176">
        <f t="shared" ref="H54" si="85">SUM(H51:H53)</f>
        <v>139460403.44550002</v>
      </c>
      <c r="I54" s="176">
        <f t="shared" ref="I54" si="86">SUM(I51:I53)</f>
        <v>100586619.14500001</v>
      </c>
      <c r="J54" s="176">
        <f t="shared" ref="J54" si="87">SUM(J51:J53)</f>
        <v>25735092.908</v>
      </c>
      <c r="K54" s="176">
        <f t="shared" ref="K54" si="88">SUM(K51:K53)</f>
        <v>25735092.908</v>
      </c>
      <c r="L54" s="176">
        <f t="shared" ref="L54" si="89">SUM(L51:L53)</f>
        <v>25735092.908</v>
      </c>
      <c r="M54" s="176">
        <f t="shared" ref="M54" si="90">SUM(M51:M53)</f>
        <v>25735092.908</v>
      </c>
      <c r="N54" s="176">
        <f t="shared" ref="N54" si="91">SUM(N51:N53)</f>
        <v>25735092.908</v>
      </c>
      <c r="O54" s="176">
        <f t="shared" ref="O54" si="92">SUM(O51:O53)</f>
        <v>25735092.908</v>
      </c>
      <c r="P54" s="176">
        <f t="shared" ref="P54" si="93">SUM(P51:P53)</f>
        <v>25735092.908</v>
      </c>
      <c r="Q54" s="176">
        <f t="shared" ref="Q54" si="94">SUM(Q51:Q53)</f>
        <v>25735092.908</v>
      </c>
      <c r="R54" s="176">
        <f t="shared" ref="R54" si="95">SUM(R51:R53)</f>
        <v>25735092.908</v>
      </c>
      <c r="S54" s="176">
        <f t="shared" ref="S54" si="96">SUM(S51:S53)</f>
        <v>25735092.908</v>
      </c>
      <c r="T54" s="176">
        <f t="shared" ref="T54" si="97">SUM(T51:T53)</f>
        <v>25735092.908</v>
      </c>
      <c r="U54" s="176">
        <f t="shared" ref="U54" si="98">SUM(U51:U53)</f>
        <v>25735092.908</v>
      </c>
      <c r="V54" s="176">
        <f t="shared" ref="V54" si="99">SUM(V51:V53)</f>
        <v>25735092.908</v>
      </c>
      <c r="W54" s="176">
        <f t="shared" ref="W54" si="100">SUM(W51:W53)</f>
        <v>25735092.908</v>
      </c>
      <c r="X54" s="176">
        <f t="shared" ref="X54" si="101">SUM(X51:X53)</f>
        <v>25735092.908</v>
      </c>
      <c r="Y54" s="176">
        <f t="shared" ref="Y54" si="102">SUM(Y51:Y53)</f>
        <v>25735092.908</v>
      </c>
      <c r="Z54" s="176">
        <f t="shared" ref="Z54" si="103">SUM(Z51:Z53)</f>
        <v>25735092.908</v>
      </c>
      <c r="AA54" s="176">
        <f t="shared" ref="AA54" si="104">SUM(AA51:AA53)</f>
        <v>25735092.908</v>
      </c>
      <c r="AB54" s="176">
        <f t="shared" ref="AB54" si="105">SUM(AB51:AB53)</f>
        <v>25735092.908</v>
      </c>
      <c r="AC54" s="176">
        <f t="shared" ref="AC54" si="106">SUM(AC51:AC53)</f>
        <v>49327192.908</v>
      </c>
      <c r="AD54" s="176">
        <f t="shared" ref="AD54" si="107">SUM(AD51:AD53)</f>
        <v>25735092.908</v>
      </c>
      <c r="AE54" s="176">
        <f t="shared" ref="AE54" si="108">SUM(AE51:AE53)</f>
        <v>25735092.908</v>
      </c>
      <c r="AF54" s="176">
        <f t="shared" ref="AF54" si="109">SUM(AF51:AF53)</f>
        <v>25735092.908</v>
      </c>
      <c r="AG54" s="176">
        <f t="shared" ref="AG54:AN54" si="110">SUM(AG51:AG53)</f>
        <v>25735092.908</v>
      </c>
      <c r="AH54" s="176">
        <f t="shared" si="110"/>
        <v>25735092.908</v>
      </c>
      <c r="AI54" s="176">
        <f t="shared" si="110"/>
        <v>25735092.908</v>
      </c>
      <c r="AJ54" s="176">
        <f t="shared" si="110"/>
        <v>25735092.908</v>
      </c>
      <c r="AK54" s="176">
        <f t="shared" si="110"/>
        <v>25735092.908</v>
      </c>
      <c r="AL54" s="176">
        <f t="shared" si="110"/>
        <v>25735092.908</v>
      </c>
      <c r="AM54" s="176">
        <f t="shared" si="110"/>
        <v>72919292.908000007</v>
      </c>
      <c r="AN54" s="176">
        <f t="shared" si="110"/>
        <v>25735092.908</v>
      </c>
    </row>
    <row r="55" spans="2:40" x14ac:dyDescent="0.2">
      <c r="B55" s="114" t="s">
        <v>47</v>
      </c>
      <c r="C55" s="177">
        <f t="shared" si="49"/>
        <v>-388276393.77065611</v>
      </c>
      <c r="D55" s="177">
        <f>D50-D54</f>
        <v>-15533067.522177091</v>
      </c>
      <c r="E55" s="177">
        <f t="shared" ref="E55:AG55" si="111">E50-E54</f>
        <v>-15370937.639938861</v>
      </c>
      <c r="F55" s="177">
        <f t="shared" si="111"/>
        <v>-15207186.458878251</v>
      </c>
      <c r="G55" s="177">
        <f t="shared" si="111"/>
        <v>-15011730.101643056</v>
      </c>
      <c r="H55" s="177">
        <f t="shared" si="111"/>
        <v>-12590641.463803828</v>
      </c>
      <c r="I55" s="177">
        <f t="shared" si="111"/>
        <v>-10184379.52534762</v>
      </c>
      <c r="J55" s="177">
        <f t="shared" si="111"/>
        <v>-8455837.5521510839</v>
      </c>
      <c r="K55" s="177">
        <f t="shared" si="111"/>
        <v>-8283044.9985925891</v>
      </c>
      <c r="L55" s="177">
        <f t="shared" si="111"/>
        <v>-8108524.5194985196</v>
      </c>
      <c r="M55" s="177">
        <f t="shared" si="111"/>
        <v>-7932258.8356135041</v>
      </c>
      <c r="N55" s="177">
        <f t="shared" si="111"/>
        <v>-7754230.4948896393</v>
      </c>
      <c r="O55" s="177">
        <f t="shared" si="111"/>
        <v>-7574421.8707585335</v>
      </c>
      <c r="P55" s="177">
        <f t="shared" si="111"/>
        <v>-7392815.160386119</v>
      </c>
      <c r="Q55" s="177">
        <f t="shared" si="111"/>
        <v>-7209392.3829099797</v>
      </c>
      <c r="R55" s="177">
        <f t="shared" si="111"/>
        <v>-7024135.3776590787</v>
      </c>
      <c r="S55" s="177">
        <f t="shared" si="111"/>
        <v>-7061557.2927197628</v>
      </c>
      <c r="T55" s="177">
        <f t="shared" si="111"/>
        <v>-7098904.3639503233</v>
      </c>
      <c r="U55" s="177">
        <f t="shared" si="111"/>
        <v>-7136176.7410384268</v>
      </c>
      <c r="V55" s="177">
        <f t="shared" si="111"/>
        <v>-7173374.5733723491</v>
      </c>
      <c r="W55" s="177">
        <f t="shared" si="111"/>
        <v>-7210498.010041602</v>
      </c>
      <c r="X55" s="177">
        <f t="shared" si="111"/>
        <v>-7247547.199837517</v>
      </c>
      <c r="Y55" s="177">
        <f t="shared" si="111"/>
        <v>-7284522.2912538461</v>
      </c>
      <c r="Z55" s="177">
        <f t="shared" si="111"/>
        <v>-7321423.4324873388</v>
      </c>
      <c r="AA55" s="177">
        <f t="shared" si="111"/>
        <v>-7358250.7714383639</v>
      </c>
      <c r="AB55" s="177">
        <f t="shared" si="111"/>
        <v>-7395004.4557114877</v>
      </c>
      <c r="AC55" s="177">
        <f t="shared" si="111"/>
        <v>-31023784.632616065</v>
      </c>
      <c r="AD55" s="177">
        <f t="shared" si="111"/>
        <v>-7468291.4491668344</v>
      </c>
      <c r="AE55" s="177">
        <f t="shared" si="111"/>
        <v>-7504825.0520845018</v>
      </c>
      <c r="AF55" s="177">
        <f t="shared" si="111"/>
        <v>-7541285.5877963342</v>
      </c>
      <c r="AG55" s="177">
        <f t="shared" si="111"/>
        <v>-7577673.2024367414</v>
      </c>
      <c r="AH55" s="177">
        <f t="shared" ref="AH55:AN55" si="112">AH50-AH54</f>
        <v>-7613988.041847866</v>
      </c>
      <c r="AI55" s="177">
        <f t="shared" si="112"/>
        <v>-7650230.2515801676</v>
      </c>
      <c r="AJ55" s="177">
        <f t="shared" si="112"/>
        <v>-7686399.9768930078</v>
      </c>
      <c r="AK55" s="177">
        <f t="shared" si="112"/>
        <v>-7722497.3627552241</v>
      </c>
      <c r="AL55" s="177">
        <f t="shared" si="112"/>
        <v>-7758522.5538457111</v>
      </c>
      <c r="AM55" s="177">
        <f t="shared" si="112"/>
        <v>-54978675.694554031</v>
      </c>
      <c r="AN55" s="177">
        <f t="shared" si="112"/>
        <v>-7830356.928980913</v>
      </c>
    </row>
    <row r="56" spans="2:40" x14ac:dyDescent="0.2">
      <c r="B56" s="3" t="s">
        <v>27</v>
      </c>
      <c r="C56" s="176"/>
      <c r="D56" s="116">
        <f>D55</f>
        <v>-15533067.522177091</v>
      </c>
      <c r="E56" s="116">
        <f>D56+E55</f>
        <v>-30904005.162115954</v>
      </c>
      <c r="F56" s="116">
        <f t="shared" ref="F56" si="113">E56+F55</f>
        <v>-46111191.620994203</v>
      </c>
      <c r="G56" s="116">
        <f t="shared" ref="G56" si="114">F56+G55</f>
        <v>-61122921.722637258</v>
      </c>
      <c r="H56" s="116">
        <f t="shared" ref="H56" si="115">G56+H55</f>
        <v>-73713563.186441094</v>
      </c>
      <c r="I56" s="116">
        <f t="shared" ref="I56" si="116">H56+I55</f>
        <v>-83897942.711788714</v>
      </c>
      <c r="J56" s="116">
        <f t="shared" ref="J56" si="117">I56+J55</f>
        <v>-92353780.263939798</v>
      </c>
      <c r="K56" s="116">
        <f t="shared" ref="K56" si="118">J56+K55</f>
        <v>-100636825.26253238</v>
      </c>
      <c r="L56" s="116">
        <f t="shared" ref="L56" si="119">K56+L55</f>
        <v>-108745349.78203091</v>
      </c>
      <c r="M56" s="116">
        <f t="shared" ref="M56" si="120">L56+M55</f>
        <v>-116677608.61764441</v>
      </c>
      <c r="N56" s="116">
        <f t="shared" ref="N56" si="121">M56+N55</f>
        <v>-124431839.11253405</v>
      </c>
      <c r="O56" s="116">
        <f t="shared" ref="O56" si="122">N56+O55</f>
        <v>-132006260.98329258</v>
      </c>
      <c r="P56" s="116">
        <f t="shared" ref="P56" si="123">O56+P55</f>
        <v>-139399076.14367869</v>
      </c>
      <c r="Q56" s="116">
        <f t="shared" ref="Q56" si="124">P56+Q55</f>
        <v>-146608468.52658868</v>
      </c>
      <c r="R56" s="116">
        <f t="shared" ref="R56" si="125">Q56+R55</f>
        <v>-153632603.90424776</v>
      </c>
      <c r="S56" s="116">
        <f t="shared" ref="S56" si="126">R56+S55</f>
        <v>-160694161.19696751</v>
      </c>
      <c r="T56" s="116">
        <f t="shared" ref="T56" si="127">S56+T55</f>
        <v>-167793065.56091782</v>
      </c>
      <c r="U56" s="116">
        <f t="shared" ref="U56" si="128">T56+U55</f>
        <v>-174929242.30195624</v>
      </c>
      <c r="V56" s="116">
        <f t="shared" ref="V56" si="129">U56+V55</f>
        <v>-182102616.8753286</v>
      </c>
      <c r="W56" s="116">
        <f t="shared" ref="W56" si="130">V56+W55</f>
        <v>-189313114.88537019</v>
      </c>
      <c r="X56" s="116">
        <f t="shared" ref="X56" si="131">W56+X55</f>
        <v>-196560662.0852077</v>
      </c>
      <c r="Y56" s="116">
        <f t="shared" ref="Y56" si="132">X56+Y55</f>
        <v>-203845184.37646154</v>
      </c>
      <c r="Z56" s="116">
        <f t="shared" ref="Z56" si="133">Y56+Z55</f>
        <v>-211166607.80894887</v>
      </c>
      <c r="AA56" s="116">
        <f t="shared" ref="AA56" si="134">Z56+AA55</f>
        <v>-218524858.58038723</v>
      </c>
      <c r="AB56" s="116">
        <f t="shared" ref="AB56" si="135">AA56+AB55</f>
        <v>-225919863.03609872</v>
      </c>
      <c r="AC56" s="116">
        <f t="shared" ref="AC56" si="136">AB56+AC55</f>
        <v>-256943647.66871479</v>
      </c>
      <c r="AD56" s="116">
        <f t="shared" ref="AD56" si="137">AC56+AD55</f>
        <v>-264411939.11788163</v>
      </c>
      <c r="AE56" s="116">
        <f t="shared" ref="AE56" si="138">AD56+AE55</f>
        <v>-271916764.1699661</v>
      </c>
      <c r="AF56" s="116">
        <f t="shared" ref="AF56" si="139">AE56+AF55</f>
        <v>-279458049.75776243</v>
      </c>
      <c r="AG56" s="116">
        <f t="shared" ref="AG56" si="140">AF56+AG55</f>
        <v>-287035722.96019918</v>
      </c>
      <c r="AH56" s="116">
        <f t="shared" ref="AH56" si="141">AG56+AH55</f>
        <v>-294649711.00204706</v>
      </c>
      <c r="AI56" s="116">
        <f t="shared" ref="AI56" si="142">AH56+AI55</f>
        <v>-302299941.25362724</v>
      </c>
      <c r="AJ56" s="116">
        <f t="shared" ref="AJ56" si="143">AI56+AJ55</f>
        <v>-309986341.23052025</v>
      </c>
      <c r="AK56" s="116">
        <f t="shared" ref="AK56" si="144">AJ56+AK55</f>
        <v>-317708838.59327549</v>
      </c>
      <c r="AL56" s="116">
        <f t="shared" ref="AL56" si="145">AK56+AL55</f>
        <v>-325467361.14712119</v>
      </c>
      <c r="AM56" s="116">
        <f t="shared" ref="AM56" si="146">AL56+AM55</f>
        <v>-380446036.84167522</v>
      </c>
      <c r="AN56" s="116">
        <f t="shared" ref="AN56" si="147">AM56+AN55</f>
        <v>-388276393.77065611</v>
      </c>
    </row>
    <row r="57" spans="2:40" x14ac:dyDescent="0.2">
      <c r="B57" s="3" t="s">
        <v>190</v>
      </c>
      <c r="C57" s="176">
        <f>SUM(D57:AQ57)</f>
        <v>0</v>
      </c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</row>
    <row r="58" spans="2:40" x14ac:dyDescent="0.2">
      <c r="B58" s="28" t="s">
        <v>191</v>
      </c>
      <c r="C58" s="178"/>
      <c r="D58" s="178">
        <f>D55+D57</f>
        <v>-15533067.522177091</v>
      </c>
      <c r="E58" s="178">
        <f>D58+E55+E57</f>
        <v>-30904005.162115954</v>
      </c>
      <c r="F58" s="178">
        <f t="shared" ref="F58:AG58" si="148">E58+F55+F57</f>
        <v>-46111191.620994203</v>
      </c>
      <c r="G58" s="178">
        <f t="shared" si="148"/>
        <v>-61122921.722637258</v>
      </c>
      <c r="H58" s="178">
        <f t="shared" si="148"/>
        <v>-73713563.186441094</v>
      </c>
      <c r="I58" s="178">
        <f t="shared" si="148"/>
        <v>-83897942.711788714</v>
      </c>
      <c r="J58" s="178">
        <f t="shared" si="148"/>
        <v>-92353780.263939798</v>
      </c>
      <c r="K58" s="178">
        <f t="shared" si="148"/>
        <v>-100636825.26253238</v>
      </c>
      <c r="L58" s="178">
        <f t="shared" si="148"/>
        <v>-108745349.78203091</v>
      </c>
      <c r="M58" s="178">
        <f t="shared" si="148"/>
        <v>-116677608.61764441</v>
      </c>
      <c r="N58" s="178">
        <f t="shared" si="148"/>
        <v>-124431839.11253405</v>
      </c>
      <c r="O58" s="178">
        <f t="shared" si="148"/>
        <v>-132006260.98329258</v>
      </c>
      <c r="P58" s="178">
        <f t="shared" si="148"/>
        <v>-139399076.14367869</v>
      </c>
      <c r="Q58" s="178">
        <f t="shared" si="148"/>
        <v>-146608468.52658868</v>
      </c>
      <c r="R58" s="178">
        <f t="shared" si="148"/>
        <v>-153632603.90424776</v>
      </c>
      <c r="S58" s="178">
        <f t="shared" si="148"/>
        <v>-160694161.19696751</v>
      </c>
      <c r="T58" s="178">
        <f t="shared" si="148"/>
        <v>-167793065.56091782</v>
      </c>
      <c r="U58" s="178">
        <f t="shared" si="148"/>
        <v>-174929242.30195624</v>
      </c>
      <c r="V58" s="178">
        <f t="shared" si="148"/>
        <v>-182102616.8753286</v>
      </c>
      <c r="W58" s="178">
        <f t="shared" si="148"/>
        <v>-189313114.88537019</v>
      </c>
      <c r="X58" s="178">
        <f t="shared" si="148"/>
        <v>-196560662.0852077</v>
      </c>
      <c r="Y58" s="178">
        <f t="shared" si="148"/>
        <v>-203845184.37646154</v>
      </c>
      <c r="Z58" s="178">
        <f t="shared" si="148"/>
        <v>-211166607.80894887</v>
      </c>
      <c r="AA58" s="178">
        <f t="shared" si="148"/>
        <v>-218524858.58038723</v>
      </c>
      <c r="AB58" s="178">
        <f t="shared" si="148"/>
        <v>-225919863.03609872</v>
      </c>
      <c r="AC58" s="178">
        <f t="shared" si="148"/>
        <v>-256943647.66871479</v>
      </c>
      <c r="AD58" s="178">
        <f t="shared" si="148"/>
        <v>-264411939.11788163</v>
      </c>
      <c r="AE58" s="178">
        <f t="shared" si="148"/>
        <v>-271916764.1699661</v>
      </c>
      <c r="AF58" s="178">
        <f t="shared" si="148"/>
        <v>-279458049.75776243</v>
      </c>
      <c r="AG58" s="178">
        <f t="shared" si="148"/>
        <v>-287035722.96019918</v>
      </c>
      <c r="AH58" s="178">
        <f t="shared" ref="AH58" si="149">AG58+AH55+AH57</f>
        <v>-294649711.00204706</v>
      </c>
      <c r="AI58" s="178">
        <f t="shared" ref="AI58" si="150">AH58+AI55+AI57</f>
        <v>-302299941.25362724</v>
      </c>
      <c r="AJ58" s="178">
        <f t="shared" ref="AJ58" si="151">AI58+AJ55+AJ57</f>
        <v>-309986341.23052025</v>
      </c>
      <c r="AK58" s="178">
        <f t="shared" ref="AK58" si="152">AJ58+AK55+AK57</f>
        <v>-317708838.59327549</v>
      </c>
      <c r="AL58" s="178">
        <f t="shared" ref="AL58" si="153">AK58+AL55+AL57</f>
        <v>-325467361.14712119</v>
      </c>
      <c r="AM58" s="178">
        <f t="shared" ref="AM58" si="154">AL58+AM55+AM57</f>
        <v>-380446036.84167522</v>
      </c>
      <c r="AN58" s="178">
        <f t="shared" ref="AN58" si="155">AM58+AN55+AN57</f>
        <v>-388276393.77065611</v>
      </c>
    </row>
    <row r="60" spans="2:40" x14ac:dyDescent="0.2">
      <c r="B60" s="1" t="s">
        <v>223</v>
      </c>
    </row>
  </sheetData>
  <phoneticPr fontId="4" type="noConversion"/>
  <conditionalFormatting sqref="D40:AN40">
    <cfRule type="cellIs" dxfId="7" priority="4" stopIfTrue="1" operator="lessThan">
      <formula>0</formula>
    </cfRule>
  </conditionalFormatting>
  <conditionalFormatting sqref="D42:AN42">
    <cfRule type="cellIs" dxfId="6" priority="3" stopIfTrue="1" operator="lessThan">
      <formula>0</formula>
    </cfRule>
  </conditionalFormatting>
  <conditionalFormatting sqref="D56:AN56">
    <cfRule type="cellIs" dxfId="5" priority="2" stopIfTrue="1" operator="lessThan">
      <formula>0</formula>
    </cfRule>
  </conditionalFormatting>
  <conditionalFormatting sqref="D58:AN58">
    <cfRule type="cellIs" dxfId="4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Q50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52.140625" style="2" customWidth="1"/>
    <col min="3" max="3" width="11.140625" style="2" bestFit="1" customWidth="1"/>
    <col min="4" max="7" width="9.140625" style="2" bestFit="1" customWidth="1"/>
    <col min="8" max="8" width="10.5703125" style="2" customWidth="1"/>
    <col min="9" max="14" width="9.140625" style="2" bestFit="1" customWidth="1"/>
    <col min="15" max="43" width="10.42578125" style="2" bestFit="1" customWidth="1"/>
    <col min="44" max="16384" width="9.140625" style="2"/>
  </cols>
  <sheetData>
    <row r="2" spans="2:4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386</v>
      </c>
      <c r="C4" s="229" t="s">
        <v>9</v>
      </c>
      <c r="D4" s="7">
        <f>Parametre!C13</f>
        <v>2026</v>
      </c>
      <c r="E4" s="7">
        <f>$D$4+D3</f>
        <v>2027</v>
      </c>
      <c r="F4" s="7">
        <f>$D$4+E3</f>
        <v>2028</v>
      </c>
      <c r="G4" s="7">
        <f t="shared" ref="G4:AG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ref="AH4" si="1">$D$4+AG3</f>
        <v>2056</v>
      </c>
      <c r="AI4" s="7">
        <f t="shared" ref="AI4" si="2">$D$4+AH3</f>
        <v>2057</v>
      </c>
      <c r="AJ4" s="7">
        <f t="shared" ref="AJ4" si="3">$D$4+AI3</f>
        <v>2058</v>
      </c>
      <c r="AK4" s="7">
        <f t="shared" ref="AK4" si="4">$D$4+AJ3</f>
        <v>2059</v>
      </c>
      <c r="AL4" s="7">
        <f t="shared" ref="AL4" si="5">$D$4+AK3</f>
        <v>2060</v>
      </c>
      <c r="AM4" s="7">
        <f t="shared" ref="AM4" si="6">$D$4+AL3</f>
        <v>2061</v>
      </c>
      <c r="AN4" s="7">
        <f t="shared" ref="AN4" si="7">$D$4+AM3</f>
        <v>2062</v>
      </c>
      <c r="AO4" s="7">
        <f t="shared" ref="AO4" si="8">$D$4+AN3</f>
        <v>2063</v>
      </c>
      <c r="AP4" s="7">
        <f t="shared" ref="AP4" si="9">$D$4+AO3</f>
        <v>2064</v>
      </c>
      <c r="AQ4" s="7">
        <f t="shared" ref="AQ4" si="10">$D$4+AP3</f>
        <v>2065</v>
      </c>
    </row>
    <row r="5" spans="2:43" x14ac:dyDescent="0.2">
      <c r="B5" s="3" t="s">
        <v>33</v>
      </c>
      <c r="C5" s="116">
        <f>SUM(D5:AQ5)</f>
        <v>361009747.85821664</v>
      </c>
      <c r="D5" s="120">
        <f>'04A Prevádzkové príjmy NOV200'!E29</f>
        <v>8186457.0765657369</v>
      </c>
      <c r="E5" s="120">
        <f>'04A Prevádzkové príjmy NOV200'!F29</f>
        <v>8268321.6473313952</v>
      </c>
      <c r="F5" s="120">
        <f>'04A Prevádzkové príjmy NOV200'!G29</f>
        <v>8351004.8638047082</v>
      </c>
      <c r="G5" s="120">
        <f>'04A Prevádzkové príjmy NOV200'!H29</f>
        <v>8434514.9124427568</v>
      </c>
      <c r="H5" s="120">
        <f>'04A Prevádzkové príjmy NOV200'!I29</f>
        <v>8518860.0615671836</v>
      </c>
      <c r="I5" s="120">
        <f>'04A Prevádzkové príjmy NOV200'!J29</f>
        <v>8604048.6621828564</v>
      </c>
      <c r="J5" s="120">
        <f>'04A Prevádzkové príjmy NOV200'!K29</f>
        <v>8690089.1488046832</v>
      </c>
      <c r="K5" s="120">
        <f>'04A Prevádzkové príjmy NOV200'!L29</f>
        <v>8776990.0402927306</v>
      </c>
      <c r="L5" s="120">
        <f>'04A Prevádzkové príjmy NOV200'!M29</f>
        <v>8864759.9406956583</v>
      </c>
      <c r="M5" s="120">
        <f>'04A Prevádzkové príjmy NOV200'!N29</f>
        <v>8953407.5401026141</v>
      </c>
      <c r="N5" s="120">
        <f>'04A Prevádzkové príjmy NOV200'!O29</f>
        <v>9042941.6155036408</v>
      </c>
      <c r="O5" s="120">
        <f>'04A Prevádzkové príjmy NOV200'!P29</f>
        <v>9133371.0316586774</v>
      </c>
      <c r="P5" s="120">
        <f>'04A Prevádzkové príjmy NOV200'!Q29</f>
        <v>9224704.7419752646</v>
      </c>
      <c r="Q5" s="120">
        <f>'04A Prevádzkové príjmy NOV200'!R29</f>
        <v>9316951.7893950175</v>
      </c>
      <c r="R5" s="120">
        <f>'04A Prevádzkové príjmy NOV200'!S29</f>
        <v>9410121.3072889689</v>
      </c>
      <c r="S5" s="120">
        <f>'04A Prevádzkové príjmy NOV200'!T29</f>
        <v>9391301.0646743905</v>
      </c>
      <c r="T5" s="120">
        <f>'04A Prevádzkové príjmy NOV200'!U29</f>
        <v>9372518.462545041</v>
      </c>
      <c r="U5" s="120">
        <f>'04A Prevádzkové príjmy NOV200'!V29</f>
        <v>9353773.4256199505</v>
      </c>
      <c r="V5" s="120">
        <f>'04A Prevádzkové príjmy NOV200'!W29</f>
        <v>9335065.8787687104</v>
      </c>
      <c r="W5" s="120">
        <f>'04A Prevádzkové príjmy NOV200'!X29</f>
        <v>9316395.7470111735</v>
      </c>
      <c r="X5" s="120">
        <f>'04A Prevádzkové príjmy NOV200'!Y29</f>
        <v>9297762.9555171505</v>
      </c>
      <c r="Y5" s="120">
        <f>'04A Prevádzkové príjmy NOV200'!Z29</f>
        <v>9279167.4296061154</v>
      </c>
      <c r="Z5" s="120">
        <f>'04A Prevádzkové príjmy NOV200'!AA29</f>
        <v>9260609.0947469026</v>
      </c>
      <c r="AA5" s="120">
        <f>'04A Prevádzkové príjmy NOV200'!AB29</f>
        <v>9242087.8765574098</v>
      </c>
      <c r="AB5" s="120">
        <f>'04A Prevádzkové príjmy NOV200'!AC29</f>
        <v>9223603.7008042932</v>
      </c>
      <c r="AC5" s="120">
        <f>'04A Prevádzkové príjmy NOV200'!AD29</f>
        <v>9205156.4934026841</v>
      </c>
      <c r="AD5" s="120">
        <f>'04A Prevádzkové príjmy NOV200'!AE29</f>
        <v>9186746.1804158799</v>
      </c>
      <c r="AE5" s="120">
        <f>'04A Prevádzkové príjmy NOV200'!AF29</f>
        <v>9168372.6880550459</v>
      </c>
      <c r="AF5" s="120">
        <f>'04A Prevádzkové príjmy NOV200'!AG29</f>
        <v>9150035.9426789358</v>
      </c>
      <c r="AG5" s="120">
        <f>'04A Prevádzkové príjmy NOV200'!AH29</f>
        <v>9131735.8707935791</v>
      </c>
      <c r="AH5" s="120">
        <f>'04A Prevádzkové príjmy NOV200'!AI29</f>
        <v>9113472.3990519922</v>
      </c>
      <c r="AI5" s="120">
        <f>'04A Prevádzkové príjmy NOV200'!AJ29</f>
        <v>9095245.4542538878</v>
      </c>
      <c r="AJ5" s="120">
        <f>'04A Prevádzkové príjmy NOV200'!AK29</f>
        <v>9077054.9633453805</v>
      </c>
      <c r="AK5" s="120">
        <f>'04A Prevádzkové príjmy NOV200'!AL29</f>
        <v>9058900.8534186892</v>
      </c>
      <c r="AL5" s="120">
        <f>'04A Prevádzkové príjmy NOV200'!AM29</f>
        <v>9040783.0517118517</v>
      </c>
      <c r="AM5" s="120">
        <f>'04A Prevádzkové príjmy NOV200'!AN29</f>
        <v>9022701.4856084287</v>
      </c>
      <c r="AN5" s="120">
        <f>'04A Prevádzkové príjmy NOV200'!AO29</f>
        <v>9004656.0826372132</v>
      </c>
      <c r="AO5" s="120">
        <f>'04A Prevádzkové príjmy NOV200'!AP29</f>
        <v>8986646.770471938</v>
      </c>
      <c r="AP5" s="120">
        <f>'04A Prevádzkové príjmy NOV200'!AQ29</f>
        <v>8968673.4769309945</v>
      </c>
      <c r="AQ5" s="120">
        <f>'04A Prevádzkové príjmy NOV200'!AR29</f>
        <v>8950736.1299771313</v>
      </c>
    </row>
    <row r="6" spans="2:43" x14ac:dyDescent="0.2">
      <c r="B6" s="3" t="s">
        <v>34</v>
      </c>
      <c r="C6" s="116">
        <f t="shared" ref="C6:C10" si="11">SUM(D6:AQ6)</f>
        <v>353199025.02198482</v>
      </c>
      <c r="D6" s="120">
        <f>'04A Prevádzkové príjmy NOV200'!E60</f>
        <v>8186457.0765657369</v>
      </c>
      <c r="E6" s="120">
        <f>'04A Prevádzkové príjmy NOV200'!F60</f>
        <v>8268321.6473313952</v>
      </c>
      <c r="F6" s="120">
        <f>'04A Prevádzkové príjmy NOV200'!G60</f>
        <v>8351004.8638047082</v>
      </c>
      <c r="G6" s="120">
        <f>'04A Prevádzkové príjmy NOV200'!H60</f>
        <v>8199402.8092584154</v>
      </c>
      <c r="H6" s="120">
        <f>'04A Prevádzkové príjmy NOV200'!I60</f>
        <v>8400128.4494590908</v>
      </c>
      <c r="I6" s="120">
        <f>'04A Prevádzkové príjmy NOV200'!J60</f>
        <v>8403080.0407436341</v>
      </c>
      <c r="J6" s="120">
        <f>'04A Prevádzkové príjmy NOV200'!K60</f>
        <v>8487110.841151068</v>
      </c>
      <c r="K6" s="120">
        <f>'04A Prevádzkové príjmy NOV200'!L60</f>
        <v>8571981.9495625794</v>
      </c>
      <c r="L6" s="120">
        <f>'04A Prevádzkové príjmy NOV200'!M60</f>
        <v>8657701.7690582052</v>
      </c>
      <c r="M6" s="120">
        <f>'04A Prevádzkové príjmy NOV200'!N60</f>
        <v>8744278.7867487874</v>
      </c>
      <c r="N6" s="120">
        <f>'04A Prevádzkové príjmy NOV200'!O60</f>
        <v>8831721.5746162757</v>
      </c>
      <c r="O6" s="120">
        <f>'04A Prevádzkové príjmy NOV200'!P60</f>
        <v>8920038.7903624382</v>
      </c>
      <c r="P6" s="120">
        <f>'04A Prevádzkové príjmy NOV200'!Q60</f>
        <v>9009239.1782660633</v>
      </c>
      <c r="Q6" s="120">
        <f>'04A Prevádzkové príjmy NOV200'!R60</f>
        <v>9099331.5700487234</v>
      </c>
      <c r="R6" s="120">
        <f>'04A Prevádzkové príjmy NOV200'!S60</f>
        <v>9190324.8857492115</v>
      </c>
      <c r="S6" s="120">
        <f>'04A Prevádzkové príjmy NOV200'!T60</f>
        <v>9171944.235977713</v>
      </c>
      <c r="T6" s="120">
        <f>'04A Prevádzkové príjmy NOV200'!U60</f>
        <v>9153600.3475057576</v>
      </c>
      <c r="U6" s="120">
        <f>'04A Prevádzkové príjmy NOV200'!V60</f>
        <v>9135293.1468107458</v>
      </c>
      <c r="V6" s="120">
        <f>'04A Prevádzkové príjmy NOV200'!W60</f>
        <v>9117022.560517123</v>
      </c>
      <c r="W6" s="120">
        <f>'04A Prevádzkové príjmy NOV200'!X60</f>
        <v>9098788.5153960902</v>
      </c>
      <c r="X6" s="120">
        <f>'04A Prevádzkové príjmy NOV200'!Y60</f>
        <v>9080590.9383652974</v>
      </c>
      <c r="Y6" s="120">
        <f>'04A Prevádzkové príjmy NOV200'!Z60</f>
        <v>9062429.7564885654</v>
      </c>
      <c r="Z6" s="120">
        <f>'04A Prevádzkové príjmy NOV200'!AA60</f>
        <v>9044304.8969755881</v>
      </c>
      <c r="AA6" s="120">
        <f>'04A Prevádzkové príjmy NOV200'!AB60</f>
        <v>9026216.2871816382</v>
      </c>
      <c r="AB6" s="120">
        <f>'04A Prevádzkové príjmy NOV200'!AC60</f>
        <v>9008163.8546072729</v>
      </c>
      <c r="AC6" s="120">
        <f>'04A Prevádzkové príjmy NOV200'!AD60</f>
        <v>8990147.5268980581</v>
      </c>
      <c r="AD6" s="120">
        <f>'04A Prevádzkové príjmy NOV200'!AE60</f>
        <v>8972167.2318442632</v>
      </c>
      <c r="AE6" s="120">
        <f>'04A Prevádzkové príjmy NOV200'!AF60</f>
        <v>8954222.8973805718</v>
      </c>
      <c r="AF6" s="120">
        <f>'04A Prevádzkové príjmy NOV200'!AG60</f>
        <v>8936314.4515858106</v>
      </c>
      <c r="AG6" s="120">
        <f>'04A Prevádzkové príjmy NOV200'!AH60</f>
        <v>8918441.8226826396</v>
      </c>
      <c r="AH6" s="120">
        <f>'04A Prevádzkové príjmy NOV200'!AI60</f>
        <v>8900604.9390372746</v>
      </c>
      <c r="AI6" s="120">
        <f>'04A Prevádzkové príjmy NOV200'!AJ60</f>
        <v>8882803.7291592006</v>
      </c>
      <c r="AJ6" s="120">
        <f>'04A Prevádzkové príjmy NOV200'!AK60</f>
        <v>8865038.1217008829</v>
      </c>
      <c r="AK6" s="120">
        <f>'04A Prevádzkové príjmy NOV200'!AL60</f>
        <v>8847308.0454574805</v>
      </c>
      <c r="AL6" s="120">
        <f>'04A Prevádzkové príjmy NOV200'!AM60</f>
        <v>8829613.4293665644</v>
      </c>
      <c r="AM6" s="120">
        <f>'04A Prevádzkové príjmy NOV200'!AN60</f>
        <v>8811954.202507833</v>
      </c>
      <c r="AN6" s="120">
        <f>'04A Prevádzkové príjmy NOV200'!AO60</f>
        <v>8794330.2941028178</v>
      </c>
      <c r="AO6" s="120">
        <f>'04A Prevádzkové príjmy NOV200'!AP60</f>
        <v>8776741.6335146111</v>
      </c>
      <c r="AP6" s="120">
        <f>'04A Prevádzkové príjmy NOV200'!AQ60</f>
        <v>8759188.1502475832</v>
      </c>
      <c r="AQ6" s="120">
        <f>'04A Prevádzkové príjmy NOV200'!AR60</f>
        <v>8741669.7739470862</v>
      </c>
    </row>
    <row r="7" spans="2:43" ht="12" thickBot="1" x14ac:dyDescent="0.25">
      <c r="B7" s="27" t="s">
        <v>195</v>
      </c>
      <c r="C7" s="117">
        <f t="shared" si="11"/>
        <v>7810722.8362318603</v>
      </c>
      <c r="D7" s="117">
        <f>D5-D6</f>
        <v>0</v>
      </c>
      <c r="E7" s="117">
        <f t="shared" ref="E7:AG7" si="12">E5-E6</f>
        <v>0</v>
      </c>
      <c r="F7" s="117">
        <f t="shared" si="12"/>
        <v>0</v>
      </c>
      <c r="G7" s="117">
        <f t="shared" si="12"/>
        <v>235112.10318434145</v>
      </c>
      <c r="H7" s="117">
        <f t="shared" si="12"/>
        <v>118731.61210809276</v>
      </c>
      <c r="I7" s="117">
        <f t="shared" si="12"/>
        <v>200968.62143922225</v>
      </c>
      <c r="J7" s="117">
        <f t="shared" si="12"/>
        <v>202978.30765361525</v>
      </c>
      <c r="K7" s="117">
        <f t="shared" si="12"/>
        <v>205008.09073015116</v>
      </c>
      <c r="L7" s="117">
        <f t="shared" si="12"/>
        <v>207058.17163745314</v>
      </c>
      <c r="M7" s="117">
        <f t="shared" si="12"/>
        <v>209128.7533538267</v>
      </c>
      <c r="N7" s="117">
        <f t="shared" si="12"/>
        <v>211220.04088736512</v>
      </c>
      <c r="O7" s="117">
        <f t="shared" si="12"/>
        <v>213332.2412962392</v>
      </c>
      <c r="P7" s="117">
        <f t="shared" si="12"/>
        <v>215465.56370920129</v>
      </c>
      <c r="Q7" s="117">
        <f t="shared" si="12"/>
        <v>217620.21934629418</v>
      </c>
      <c r="R7" s="117">
        <f t="shared" si="12"/>
        <v>219796.4215397574</v>
      </c>
      <c r="S7" s="117">
        <f t="shared" si="12"/>
        <v>219356.82869667746</v>
      </c>
      <c r="T7" s="117">
        <f t="shared" si="12"/>
        <v>218918.11503928341</v>
      </c>
      <c r="U7" s="117">
        <f t="shared" si="12"/>
        <v>218480.2788092047</v>
      </c>
      <c r="V7" s="117">
        <f t="shared" si="12"/>
        <v>218043.31825158745</v>
      </c>
      <c r="W7" s="117">
        <f t="shared" si="12"/>
        <v>217607.23161508329</v>
      </c>
      <c r="X7" s="117">
        <f t="shared" si="12"/>
        <v>217172.01715185307</v>
      </c>
      <c r="Y7" s="117">
        <f t="shared" si="12"/>
        <v>216737.67311755009</v>
      </c>
      <c r="Z7" s="117">
        <f t="shared" si="12"/>
        <v>216304.19777131453</v>
      </c>
      <c r="AA7" s="117">
        <f t="shared" si="12"/>
        <v>215871.58937577158</v>
      </c>
      <c r="AB7" s="117">
        <f t="shared" si="12"/>
        <v>215439.84619702026</v>
      </c>
      <c r="AC7" s="117">
        <f t="shared" si="12"/>
        <v>215008.96650462598</v>
      </c>
      <c r="AD7" s="117">
        <f t="shared" si="12"/>
        <v>214578.94857161678</v>
      </c>
      <c r="AE7" s="117">
        <f t="shared" si="12"/>
        <v>214149.79067447409</v>
      </c>
      <c r="AF7" s="117">
        <f t="shared" si="12"/>
        <v>213721.49109312519</v>
      </c>
      <c r="AG7" s="117">
        <f t="shared" si="12"/>
        <v>213294.04811093956</v>
      </c>
      <c r="AH7" s="117">
        <f t="shared" ref="AH7:AN7" si="13">AH5-AH6</f>
        <v>212867.46001471765</v>
      </c>
      <c r="AI7" s="117">
        <f t="shared" si="13"/>
        <v>212441.72509468719</v>
      </c>
      <c r="AJ7" s="117">
        <f t="shared" si="13"/>
        <v>212016.84164449759</v>
      </c>
      <c r="AK7" s="117">
        <f t="shared" si="13"/>
        <v>211592.80796120875</v>
      </c>
      <c r="AL7" s="117">
        <f t="shared" si="13"/>
        <v>211169.62234528735</v>
      </c>
      <c r="AM7" s="117">
        <f t="shared" si="13"/>
        <v>210747.2831005957</v>
      </c>
      <c r="AN7" s="117">
        <f t="shared" si="13"/>
        <v>210325.7885343954</v>
      </c>
      <c r="AO7" s="117">
        <f t="shared" ref="AO7:AQ7" si="14">AO5-AO6</f>
        <v>209905.1369573269</v>
      </c>
      <c r="AP7" s="117">
        <f t="shared" si="14"/>
        <v>209485.32668341137</v>
      </c>
      <c r="AQ7" s="117">
        <f t="shared" si="14"/>
        <v>209066.35603004508</v>
      </c>
    </row>
    <row r="8" spans="2:43" ht="12" thickTop="1" x14ac:dyDescent="0.2">
      <c r="B8" s="29" t="s">
        <v>147</v>
      </c>
      <c r="C8" s="118">
        <f t="shared" si="11"/>
        <v>335861.08195796999</v>
      </c>
      <c r="D8" s="118">
        <f>D7*Parametre!$C$54</f>
        <v>0</v>
      </c>
      <c r="E8" s="118">
        <f>E7*Parametre!$C$54</f>
        <v>0</v>
      </c>
      <c r="F8" s="118">
        <f>F7*Parametre!$C$54</f>
        <v>0</v>
      </c>
      <c r="G8" s="118">
        <f>G7*Parametre!$C$54</f>
        <v>10109.820436926682</v>
      </c>
      <c r="H8" s="118">
        <f>H7*Parametre!$C$54</f>
        <v>5105.4593206479876</v>
      </c>
      <c r="I8" s="118">
        <f>I7*Parametre!$C$54</f>
        <v>8641.6507218865554</v>
      </c>
      <c r="J8" s="118">
        <f>J7*Parametre!$C$54</f>
        <v>8728.0672291054543</v>
      </c>
      <c r="K8" s="118">
        <f>K7*Parametre!$C$54</f>
        <v>8815.3479013964989</v>
      </c>
      <c r="L8" s="118">
        <f>L7*Parametre!$C$54</f>
        <v>8903.5013804104838</v>
      </c>
      <c r="M8" s="118">
        <f>M7*Parametre!$C$54</f>
        <v>8992.5363942145468</v>
      </c>
      <c r="N8" s="118">
        <f>N7*Parametre!$C$54</f>
        <v>9082.4617581566999</v>
      </c>
      <c r="O8" s="118">
        <f>O7*Parametre!$C$54</f>
        <v>9173.2863757382856</v>
      </c>
      <c r="P8" s="118">
        <f>P7*Parametre!$C$54</f>
        <v>9265.0192394956539</v>
      </c>
      <c r="Q8" s="118">
        <f>Q7*Parametre!$C$54</f>
        <v>9357.6694318906484</v>
      </c>
      <c r="R8" s="118">
        <f>R7*Parametre!$C$54</f>
        <v>9451.2461262095676</v>
      </c>
      <c r="S8" s="118">
        <f>S7*Parametre!$C$54</f>
        <v>9432.3436339571308</v>
      </c>
      <c r="T8" s="118">
        <f>T7*Parametre!$C$54</f>
        <v>9413.4789466891852</v>
      </c>
      <c r="U8" s="118">
        <f>U7*Parametre!$C$54</f>
        <v>9394.651988795802</v>
      </c>
      <c r="V8" s="118">
        <f>V7*Parametre!$C$54</f>
        <v>9375.8626848182594</v>
      </c>
      <c r="W8" s="118">
        <f>W7*Parametre!$C$54</f>
        <v>9357.1109594485806</v>
      </c>
      <c r="X8" s="118">
        <f>X7*Parametre!$C$54</f>
        <v>9338.3967375296816</v>
      </c>
      <c r="Y8" s="118">
        <f>Y7*Parametre!$C$54</f>
        <v>9319.7199440546538</v>
      </c>
      <c r="Z8" s="118">
        <f>Z7*Parametre!$C$54</f>
        <v>9301.0805041665244</v>
      </c>
      <c r="AA8" s="118">
        <f>AA7*Parametre!$C$54</f>
        <v>9282.4783431581782</v>
      </c>
      <c r="AB8" s="118">
        <f>AB7*Parametre!$C$54</f>
        <v>9263.9133864718697</v>
      </c>
      <c r="AC8" s="118">
        <f>AC7*Parametre!$C$54</f>
        <v>9245.385559698916</v>
      </c>
      <c r="AD8" s="118">
        <f>AD7*Parametre!$C$54</f>
        <v>9226.8947885795205</v>
      </c>
      <c r="AE8" s="118">
        <f>AE7*Parametre!$C$54</f>
        <v>9208.4409990023851</v>
      </c>
      <c r="AF8" s="118">
        <f>AF7*Parametre!$C$54</f>
        <v>9190.0241170043828</v>
      </c>
      <c r="AG8" s="118">
        <f>AG7*Parametre!$C$54</f>
        <v>9171.6440687703998</v>
      </c>
      <c r="AH8" s="118">
        <f>AH7*Parametre!$C$54</f>
        <v>9153.3007806328587</v>
      </c>
      <c r="AI8" s="118">
        <f>AI7*Parametre!$C$54</f>
        <v>9134.9941790715493</v>
      </c>
      <c r="AJ8" s="118">
        <f>AJ7*Parametre!$C$54</f>
        <v>9116.7241907133957</v>
      </c>
      <c r="AK8" s="118">
        <f>AK7*Parametre!$C$54</f>
        <v>9098.4907423319746</v>
      </c>
      <c r="AL8" s="118">
        <f>AL7*Parametre!$C$54</f>
        <v>9080.2937608473549</v>
      </c>
      <c r="AM8" s="118">
        <f>AM7*Parametre!$C$54</f>
        <v>9062.1331733256138</v>
      </c>
      <c r="AN8" s="118">
        <f>AN7*Parametre!$C$54</f>
        <v>9044.008906979001</v>
      </c>
      <c r="AO8" s="118">
        <f>AO7*Parametre!$C$54</f>
        <v>9025.920889165056</v>
      </c>
      <c r="AP8" s="118">
        <f>AP7*Parametre!$C$54</f>
        <v>9007.8690473866882</v>
      </c>
      <c r="AQ8" s="118">
        <f>AQ7*Parametre!$C$54</f>
        <v>8989.853309291937</v>
      </c>
    </row>
    <row r="9" spans="2:43" x14ac:dyDescent="0.2">
      <c r="B9" s="3" t="s">
        <v>103</v>
      </c>
      <c r="C9" s="116">
        <f t="shared" si="11"/>
        <v>1999545.0460753567</v>
      </c>
      <c r="D9" s="116">
        <f>D7*Parametre!$D$54</f>
        <v>0</v>
      </c>
      <c r="E9" s="116">
        <f>E7*Parametre!$D$54</f>
        <v>0</v>
      </c>
      <c r="F9" s="116">
        <f>F7*Parametre!$D$54</f>
        <v>0</v>
      </c>
      <c r="G9" s="116">
        <f>G7*Parametre!$D$54</f>
        <v>60188.698415191415</v>
      </c>
      <c r="H9" s="116">
        <f>H7*Parametre!$D$54</f>
        <v>30395.292699671747</v>
      </c>
      <c r="I9" s="116">
        <f>I7*Parametre!$D$54</f>
        <v>51447.967088440899</v>
      </c>
      <c r="J9" s="116">
        <f>J7*Parametre!$D$54</f>
        <v>51962.446759325503</v>
      </c>
      <c r="K9" s="116">
        <f>K7*Parametre!$D$54</f>
        <v>52482.071226918699</v>
      </c>
      <c r="L9" s="116">
        <f>L7*Parametre!$D$54</f>
        <v>53006.891939188004</v>
      </c>
      <c r="M9" s="116">
        <f>M7*Parametre!$D$54</f>
        <v>53536.960858579638</v>
      </c>
      <c r="N9" s="116">
        <f>N7*Parametre!$D$54</f>
        <v>54072.33046716547</v>
      </c>
      <c r="O9" s="116">
        <f>O7*Parametre!$D$54</f>
        <v>54613.053771837236</v>
      </c>
      <c r="P9" s="116">
        <f>P7*Parametre!$D$54</f>
        <v>55159.18430955553</v>
      </c>
      <c r="Q9" s="116">
        <f>Q7*Parametre!$D$54</f>
        <v>55710.776152651313</v>
      </c>
      <c r="R9" s="116">
        <f>R7*Parametre!$D$54</f>
        <v>56267.883914177895</v>
      </c>
      <c r="S9" s="116">
        <f>S7*Parametre!$D$54</f>
        <v>56155.348146349432</v>
      </c>
      <c r="T9" s="116">
        <f>T7*Parametre!$D$54</f>
        <v>56043.037450056552</v>
      </c>
      <c r="U9" s="116">
        <f>U7*Parametre!$D$54</f>
        <v>55930.951375156401</v>
      </c>
      <c r="V9" s="116">
        <f>V7*Parametre!$D$54</f>
        <v>55819.089472406391</v>
      </c>
      <c r="W9" s="116">
        <f>W7*Parametre!$D$54</f>
        <v>55707.451293461323</v>
      </c>
      <c r="X9" s="116">
        <f>X7*Parametre!$D$54</f>
        <v>55596.036390874389</v>
      </c>
      <c r="Y9" s="116">
        <f>Y7*Parametre!$D$54</f>
        <v>55484.844318092823</v>
      </c>
      <c r="Z9" s="116">
        <f>Z7*Parametre!$D$54</f>
        <v>55373.874629456521</v>
      </c>
      <c r="AA9" s="116">
        <f>AA7*Parametre!$D$54</f>
        <v>55263.126880197524</v>
      </c>
      <c r="AB9" s="116">
        <f>AB7*Parametre!$D$54</f>
        <v>55152.60062643719</v>
      </c>
      <c r="AC9" s="116">
        <f>AC7*Parametre!$D$54</f>
        <v>55042.295425184253</v>
      </c>
      <c r="AD9" s="116">
        <f>AD7*Parametre!$D$54</f>
        <v>54932.210834333899</v>
      </c>
      <c r="AE9" s="116">
        <f>AE7*Parametre!$D$54</f>
        <v>54822.346412665371</v>
      </c>
      <c r="AF9" s="116">
        <f>AF7*Parametre!$D$54</f>
        <v>54712.70171984005</v>
      </c>
      <c r="AG9" s="116">
        <f>AG7*Parametre!$D$54</f>
        <v>54603.27631640053</v>
      </c>
      <c r="AH9" s="116">
        <f>AH7*Parametre!$D$54</f>
        <v>54494.069763767722</v>
      </c>
      <c r="AI9" s="116">
        <f>AI7*Parametre!$D$54</f>
        <v>54385.081624239923</v>
      </c>
      <c r="AJ9" s="116">
        <f>AJ7*Parametre!$D$54</f>
        <v>54276.311460991383</v>
      </c>
      <c r="AK9" s="116">
        <f>AK7*Parametre!$D$54</f>
        <v>54167.758838069443</v>
      </c>
      <c r="AL9" s="116">
        <f>AL7*Parametre!$D$54</f>
        <v>54059.423320393566</v>
      </c>
      <c r="AM9" s="116">
        <f>AM7*Parametre!$D$54</f>
        <v>53951.304473752498</v>
      </c>
      <c r="AN9" s="116">
        <f>AN7*Parametre!$D$54</f>
        <v>53843.401864805222</v>
      </c>
      <c r="AO9" s="116">
        <f>AO7*Parametre!$D$54</f>
        <v>53735.715061075687</v>
      </c>
      <c r="AP9" s="116">
        <f>AP7*Parametre!$D$54</f>
        <v>53628.243630953315</v>
      </c>
      <c r="AQ9" s="116">
        <f>AQ7*Parametre!$D$54</f>
        <v>53520.987143691542</v>
      </c>
    </row>
    <row r="10" spans="2:43" x14ac:dyDescent="0.2">
      <c r="B10" s="3" t="s">
        <v>104</v>
      </c>
      <c r="C10" s="116">
        <f t="shared" si="11"/>
        <v>5475316.7081985353</v>
      </c>
      <c r="D10" s="116">
        <f>D7*Parametre!$E$54</f>
        <v>0</v>
      </c>
      <c r="E10" s="116">
        <f>E7*Parametre!$E$54</f>
        <v>0</v>
      </c>
      <c r="F10" s="116">
        <f>F7*Parametre!$E$54</f>
        <v>0</v>
      </c>
      <c r="G10" s="116">
        <f>G7*Parametre!$E$54</f>
        <v>164813.58433222334</v>
      </c>
      <c r="H10" s="116">
        <f>H7*Parametre!$E$54</f>
        <v>83230.86008777302</v>
      </c>
      <c r="I10" s="116">
        <f>I7*Parametre!$E$54</f>
        <v>140879.00362889477</v>
      </c>
      <c r="J10" s="116">
        <f>J7*Parametre!$E$54</f>
        <v>142287.79366518429</v>
      </c>
      <c r="K10" s="116">
        <f>K7*Parametre!$E$54</f>
        <v>143710.67160183596</v>
      </c>
      <c r="L10" s="116">
        <f>L7*Parametre!$E$54</f>
        <v>145147.77831785465</v>
      </c>
      <c r="M10" s="116">
        <f>M7*Parametre!$E$54</f>
        <v>146599.25610103252</v>
      </c>
      <c r="N10" s="116">
        <f>N7*Parametre!$E$54</f>
        <v>148065.24866204293</v>
      </c>
      <c r="O10" s="116">
        <f>O7*Parametre!$E$54</f>
        <v>149545.90114866366</v>
      </c>
      <c r="P10" s="116">
        <f>P7*Parametre!$E$54</f>
        <v>151041.3601601501</v>
      </c>
      <c r="Q10" s="116">
        <f>Q7*Parametre!$E$54</f>
        <v>152551.77376175221</v>
      </c>
      <c r="R10" s="116">
        <f>R7*Parametre!$E$54</f>
        <v>154077.29149936992</v>
      </c>
      <c r="S10" s="116">
        <f>S7*Parametre!$E$54</f>
        <v>153769.13691637089</v>
      </c>
      <c r="T10" s="116">
        <f>T7*Parametre!$E$54</f>
        <v>153461.59864253766</v>
      </c>
      <c r="U10" s="116">
        <f>U7*Parametre!$E$54</f>
        <v>153154.67544525248</v>
      </c>
      <c r="V10" s="116">
        <f>V7*Parametre!$E$54</f>
        <v>152848.36609436281</v>
      </c>
      <c r="W10" s="116">
        <f>W7*Parametre!$E$54</f>
        <v>152542.66936217339</v>
      </c>
      <c r="X10" s="116">
        <f>X7*Parametre!$E$54</f>
        <v>152237.58402344899</v>
      </c>
      <c r="Y10" s="116">
        <f>Y7*Parametre!$E$54</f>
        <v>151933.10885540259</v>
      </c>
      <c r="Z10" s="116">
        <f>Z7*Parametre!$E$54</f>
        <v>151629.24263769147</v>
      </c>
      <c r="AA10" s="116">
        <f>AA7*Parametre!$E$54</f>
        <v>151325.98415241588</v>
      </c>
      <c r="AB10" s="116">
        <f>AB7*Parametre!$E$54</f>
        <v>151023.3321841112</v>
      </c>
      <c r="AC10" s="116">
        <f>AC7*Parametre!$E$54</f>
        <v>150721.28551974281</v>
      </c>
      <c r="AD10" s="116">
        <f>AD7*Parametre!$E$54</f>
        <v>150419.84294870336</v>
      </c>
      <c r="AE10" s="116">
        <f>AE7*Parametre!$E$54</f>
        <v>150119.00326280633</v>
      </c>
      <c r="AF10" s="116">
        <f>AF7*Parametre!$E$54</f>
        <v>149818.76525628075</v>
      </c>
      <c r="AG10" s="116">
        <f>AG7*Parametre!$E$54</f>
        <v>149519.12772576863</v>
      </c>
      <c r="AH10" s="116">
        <f>AH7*Parametre!$E$54</f>
        <v>149220.08947031706</v>
      </c>
      <c r="AI10" s="116">
        <f>AI7*Parametre!$E$54</f>
        <v>148921.64929137571</v>
      </c>
      <c r="AJ10" s="116">
        <f>AJ7*Parametre!$E$54</f>
        <v>148623.8059927928</v>
      </c>
      <c r="AK10" s="116">
        <f>AK7*Parametre!$E$54</f>
        <v>148326.55838080731</v>
      </c>
      <c r="AL10" s="116">
        <f>AL7*Parametre!$E$54</f>
        <v>148029.90526404642</v>
      </c>
      <c r="AM10" s="116">
        <f>AM7*Parametre!$E$54</f>
        <v>147733.84545351757</v>
      </c>
      <c r="AN10" s="116">
        <f>AN7*Parametre!$E$54</f>
        <v>147438.37776261117</v>
      </c>
      <c r="AO10" s="116">
        <f>AO7*Parametre!$E$54</f>
        <v>147143.50100708616</v>
      </c>
      <c r="AP10" s="116">
        <f>AP7*Parametre!$E$54</f>
        <v>146849.21400507138</v>
      </c>
      <c r="AQ10" s="116">
        <f>AQ7*Parametre!$E$54</f>
        <v>146555.5155770616</v>
      </c>
    </row>
    <row r="12" spans="2:43" x14ac:dyDescent="0.2">
      <c r="B12" s="15" t="s">
        <v>196</v>
      </c>
    </row>
    <row r="13" spans="2:43" x14ac:dyDescent="0.2">
      <c r="B13" s="8" t="s">
        <v>147</v>
      </c>
      <c r="C13" s="116">
        <f t="shared" ref="C13:C16" si="15">SUM(D13:AQ13)</f>
        <v>9217036.0815143958</v>
      </c>
      <c r="D13" s="116">
        <f>D8*Parametre!C58</f>
        <v>0</v>
      </c>
      <c r="E13" s="116">
        <f>E8*Parametre!D58</f>
        <v>0</v>
      </c>
      <c r="F13" s="116">
        <f>F8*Parametre!E58</f>
        <v>0</v>
      </c>
      <c r="G13" s="116">
        <f>G8*Parametre!F58</f>
        <v>223730.32626918747</v>
      </c>
      <c r="H13" s="116">
        <f>H8*Parametre!G58</f>
        <v>114515.45256213436</v>
      </c>
      <c r="I13" s="116">
        <f>I8*Parametre!H58</f>
        <v>196597.55392291915</v>
      </c>
      <c r="J13" s="116">
        <f>J8*Parametre!I58</f>
        <v>201094.66895858967</v>
      </c>
      <c r="K13" s="116">
        <f>K8*Parametre!J58</f>
        <v>205662.06653958029</v>
      </c>
      <c r="L13" s="116">
        <f>L8*Parametre!K58</f>
        <v>210211.66759149151</v>
      </c>
      <c r="M13" s="116">
        <f>M8*Parametre!L58</f>
        <v>214831.69445778552</v>
      </c>
      <c r="N13" s="116">
        <f>N8*Parametre!M58</f>
        <v>219613.925312229</v>
      </c>
      <c r="O13" s="116">
        <f>O8*Parametre!N58</f>
        <v>224470.31761431583</v>
      </c>
      <c r="P13" s="116">
        <f>P8*Parametre!O58</f>
        <v>229401.87636991241</v>
      </c>
      <c r="Q13" s="116">
        <f>Q8*Parametre!P58</f>
        <v>234503.19596317963</v>
      </c>
      <c r="R13" s="116">
        <f>R8*Parametre!Q58</f>
        <v>239683.60176067462</v>
      </c>
      <c r="S13" s="116">
        <f>S8*Parametre!R58</f>
        <v>242033.93764733998</v>
      </c>
      <c r="T13" s="116">
        <f>T8*Parametre!S58</f>
        <v>244468.04824551812</v>
      </c>
      <c r="U13" s="116">
        <f>U8*Parametre!T58</f>
        <v>246891.45426555368</v>
      </c>
      <c r="V13" s="116">
        <f>V8*Parametre!U58</f>
        <v>248929.1542819248</v>
      </c>
      <c r="W13" s="116">
        <f>W8*Parametre!V58</f>
        <v>251051.2870420054</v>
      </c>
      <c r="X13" s="116">
        <f>X8*Parametre!W58</f>
        <v>253163.93555442966</v>
      </c>
      <c r="Y13" s="116">
        <f>Y8*Parametre!X58</f>
        <v>255267.12926765697</v>
      </c>
      <c r="Z13" s="116">
        <f>Z8*Parametre!Y58</f>
        <v>257360.89755028774</v>
      </c>
      <c r="AA13" s="116">
        <f>AA8*Parametre!Z58</f>
        <v>259538.09447470267</v>
      </c>
      <c r="AB13" s="116">
        <f>AB8*Parametre!AA58</f>
        <v>261705.55316783031</v>
      </c>
      <c r="AC13" s="116">
        <f>AC8*Parametre!AB58</f>
        <v>263863.30387380708</v>
      </c>
      <c r="AD13" s="116">
        <f>AD8*Parametre!AC58</f>
        <v>266103.64570263337</v>
      </c>
      <c r="AE13" s="116">
        <f>AE8*Parametre!AD58</f>
        <v>268333.97071092948</v>
      </c>
      <c r="AF13" s="116">
        <f>AF8*Parametre!AE58</f>
        <v>270370.50952226896</v>
      </c>
      <c r="AG13" s="116">
        <f>AG8*Parametre!AF58</f>
        <v>272397.82884248084</v>
      </c>
      <c r="AH13" s="116">
        <f>AH8*Parametre!AG58</f>
        <v>274507.49041117943</v>
      </c>
      <c r="AI13" s="116">
        <f>AI8*Parametre!AH58</f>
        <v>276607.62374228652</v>
      </c>
      <c r="AJ13" s="116">
        <f>AJ8*Parametre!AI58</f>
        <v>278698.25851010851</v>
      </c>
      <c r="AK13" s="116">
        <f>AK8*Parametre!AJ58</f>
        <v>280779.42430836475</v>
      </c>
      <c r="AL13" s="116">
        <f>AL8*Parametre!AK58</f>
        <v>282941.95358800358</v>
      </c>
      <c r="AM13" s="116">
        <f>AM8*Parametre!AL58</f>
        <v>285094.70963282383</v>
      </c>
      <c r="AN13" s="116">
        <f>AN8*Parametre!AM58</f>
        <v>287237.72288565309</v>
      </c>
      <c r="AO13" s="116">
        <f>AO8*Parametre!AN58</f>
        <v>289371.02370663173</v>
      </c>
      <c r="AP13" s="116">
        <f>AP8*Parametre!AO58</f>
        <v>291764.87844485481</v>
      </c>
      <c r="AQ13" s="116">
        <f>AQ8*Parametre!AP58</f>
        <v>294237.8988131251</v>
      </c>
    </row>
    <row r="14" spans="2:43" x14ac:dyDescent="0.2">
      <c r="B14" s="8" t="s">
        <v>103</v>
      </c>
      <c r="C14" s="116">
        <f t="shared" si="15"/>
        <v>25882195.096480023</v>
      </c>
      <c r="D14" s="116">
        <f>D9*Parametre!C59</f>
        <v>0</v>
      </c>
      <c r="E14" s="116">
        <f>E9*Parametre!D59</f>
        <v>0</v>
      </c>
      <c r="F14" s="116">
        <f>F9*Parametre!E59</f>
        <v>0</v>
      </c>
      <c r="G14" s="116">
        <f>G9*Parametre!F59</f>
        <v>627768.12447044649</v>
      </c>
      <c r="H14" s="116">
        <f>H9*Parametre!G59</f>
        <v>321278.24383553036</v>
      </c>
      <c r="I14" s="116">
        <f>I9*Parametre!H59</f>
        <v>551522.20718808647</v>
      </c>
      <c r="J14" s="116">
        <f>J9*Parametre!I59</f>
        <v>564312.17180627491</v>
      </c>
      <c r="K14" s="116">
        <f>K9*Parametre!J59</f>
        <v>577302.78349610569</v>
      </c>
      <c r="L14" s="116">
        <f>L9*Parametre!K59</f>
        <v>589966.70728316251</v>
      </c>
      <c r="M14" s="116">
        <f>M9*Parametre!L59</f>
        <v>602826.1792676067</v>
      </c>
      <c r="N14" s="116">
        <f>N9*Parametre!M59</f>
        <v>616424.56732568634</v>
      </c>
      <c r="O14" s="116">
        <f>O9*Parametre!N59</f>
        <v>630234.6405270017</v>
      </c>
      <c r="P14" s="116">
        <f>P9*Parametre!O59</f>
        <v>644259.27273560863</v>
      </c>
      <c r="Q14" s="116">
        <f>Q9*Parametre!P59</f>
        <v>658501.3741243385</v>
      </c>
      <c r="R14" s="116">
        <f>R9*Parametre!Q59</f>
        <v>672963.89161356771</v>
      </c>
      <c r="S14" s="116">
        <f>S9*Parametre!R59</f>
        <v>679479.71257082815</v>
      </c>
      <c r="T14" s="116">
        <f>T9*Parametre!S59</f>
        <v>686527.20876319276</v>
      </c>
      <c r="U14" s="116">
        <f>U9*Parametre!T59</f>
        <v>693543.79705193941</v>
      </c>
      <c r="V14" s="116">
        <f>V9*Parametre!U59</f>
        <v>699413.19108925201</v>
      </c>
      <c r="W14" s="116">
        <f>W9*Parametre!V59</f>
        <v>705256.3333752203</v>
      </c>
      <c r="X14" s="116">
        <f>X9*Parametre!W59</f>
        <v>711073.30543928337</v>
      </c>
      <c r="Y14" s="116">
        <f>Y9*Parametre!X59</f>
        <v>716864.18858975929</v>
      </c>
      <c r="Z14" s="116">
        <f>Z9*Parametre!Y59</f>
        <v>722629.06391440763</v>
      </c>
      <c r="AA14" s="116">
        <f>AA9*Parametre!Z59</f>
        <v>728920.64354980527</v>
      </c>
      <c r="AB14" s="116">
        <f>AB9*Parametre!AA59</f>
        <v>735184.16635040776</v>
      </c>
      <c r="AC14" s="116">
        <f>AC9*Parametre!AB59</f>
        <v>741419.7193772319</v>
      </c>
      <c r="AD14" s="116">
        <f>AD9*Parametre!AC59</f>
        <v>747627.38945528434</v>
      </c>
      <c r="AE14" s="116">
        <f>AE9*Parametre!AD59</f>
        <v>753807.26317414886</v>
      </c>
      <c r="AF14" s="116">
        <f>AF9*Parametre!AE59</f>
        <v>759412.29987137998</v>
      </c>
      <c r="AG14" s="116">
        <f>AG9*Parametre!AF59</f>
        <v>764991.90119277139</v>
      </c>
      <c r="AH14" s="116">
        <f>AH9*Parametre!AG59</f>
        <v>770546.14645967563</v>
      </c>
      <c r="AI14" s="116">
        <f>AI9*Parametre!AH59</f>
        <v>776618.96559414605</v>
      </c>
      <c r="AJ14" s="116">
        <f>AJ9*Parametre!AI59</f>
        <v>782664.41126749571</v>
      </c>
      <c r="AK14" s="116">
        <f>AK9*Parametre!AJ59</f>
        <v>788682.56868229108</v>
      </c>
      <c r="AL14" s="116">
        <f>AL9*Parametre!AK59</f>
        <v>794673.52280978533</v>
      </c>
      <c r="AM14" s="116">
        <f>AM9*Parametre!AL59</f>
        <v>800637.35839048703</v>
      </c>
      <c r="AN14" s="116">
        <f>AN9*Parametre!AM59</f>
        <v>806574.15993478231</v>
      </c>
      <c r="AO14" s="116">
        <f>AO9*Parametre!AN59</f>
        <v>812484.01172346435</v>
      </c>
      <c r="AP14" s="116">
        <f>AP9*Parametre!AO59</f>
        <v>819439.56268096657</v>
      </c>
      <c r="AQ14" s="116">
        <f>AQ9*Parametre!AP59</f>
        <v>826364.04149859736</v>
      </c>
    </row>
    <row r="15" spans="2:43" x14ac:dyDescent="0.2">
      <c r="B15" s="8" t="s">
        <v>104</v>
      </c>
      <c r="C15" s="119">
        <f t="shared" si="15"/>
        <v>46352582.981269486</v>
      </c>
      <c r="D15" s="116">
        <f>D10*Parametre!C60</f>
        <v>0</v>
      </c>
      <c r="E15" s="116">
        <f>E10*Parametre!D60</f>
        <v>0</v>
      </c>
      <c r="F15" s="116">
        <f>F10*Parametre!E60</f>
        <v>0</v>
      </c>
      <c r="G15" s="116">
        <f>G10*Parametre!F60</f>
        <v>1124028.6451457632</v>
      </c>
      <c r="H15" s="116">
        <f>H10*Parametre!G60</f>
        <v>575125.2432065116</v>
      </c>
      <c r="I15" s="116">
        <f>I10*Parametre!H60</f>
        <v>987561.81543855229</v>
      </c>
      <c r="J15" s="116">
        <f>J10*Parametre!I60</f>
        <v>1010243.3350228084</v>
      </c>
      <c r="K15" s="116">
        <f>K10*Parametre!J60</f>
        <v>1033279.7288172006</v>
      </c>
      <c r="L15" s="116">
        <f>L10*Parametre!K60</f>
        <v>1056675.826153982</v>
      </c>
      <c r="M15" s="116">
        <f>M10*Parametre!L60</f>
        <v>1080436.5174646096</v>
      </c>
      <c r="N15" s="116">
        <f>N10*Parametre!M60</f>
        <v>1104566.7550188403</v>
      </c>
      <c r="O15" s="116">
        <f>O10*Parametre!N60</f>
        <v>1129071.5536724105</v>
      </c>
      <c r="P15" s="116">
        <f>P10*Parametre!O60</f>
        <v>1153955.9916235467</v>
      </c>
      <c r="Q15" s="116">
        <f>Q10*Parametre!P60</f>
        <v>1179225.2111783447</v>
      </c>
      <c r="R15" s="116">
        <f>R10*Parametre!Q60</f>
        <v>1204884.4195250729</v>
      </c>
      <c r="S15" s="116">
        <f>S10*Parametre!R60</f>
        <v>1216313.8730084938</v>
      </c>
      <c r="T15" s="116">
        <f>T10*Parametre!S60</f>
        <v>1227692.7891403013</v>
      </c>
      <c r="U15" s="116">
        <f>U10*Parametre!T60</f>
        <v>1240552.871106545</v>
      </c>
      <c r="V15" s="116">
        <f>V10*Parametre!U60</f>
        <v>1250299.6346518877</v>
      </c>
      <c r="W15" s="116">
        <f>W10*Parametre!V60</f>
        <v>1261527.8756251738</v>
      </c>
      <c r="X15" s="116">
        <f>X10*Parametre!W60</f>
        <v>1272706.2024360334</v>
      </c>
      <c r="Y15" s="116">
        <f>Y10*Parametre!X60</f>
        <v>1283834.7698281517</v>
      </c>
      <c r="Z15" s="116">
        <f>Z10*Parametre!Y60</f>
        <v>1294913.7321258851</v>
      </c>
      <c r="AA15" s="116">
        <f>AA10*Parametre!Z60</f>
        <v>1305943.2432353492</v>
      </c>
      <c r="AB15" s="116">
        <f>AB10*Parametre!AA60</f>
        <v>1316923.4566454499</v>
      </c>
      <c r="AC15" s="116">
        <f>AC10*Parametre!AB60</f>
        <v>1327854.5254289343</v>
      </c>
      <c r="AD15" s="116">
        <f>AD10*Parametre!AC60</f>
        <v>1338736.60224346</v>
      </c>
      <c r="AE15" s="116">
        <f>AE10*Parametre!AD60</f>
        <v>1349569.839332629</v>
      </c>
      <c r="AF15" s="116">
        <f>AF10*Parametre!AE60</f>
        <v>1360354.3885270292</v>
      </c>
      <c r="AG15" s="116">
        <f>AG10*Parametre!AF60</f>
        <v>1371090.4012452983</v>
      </c>
      <c r="AH15" s="116">
        <f>AH10*Parametre!AG60</f>
        <v>1381778.0284951359</v>
      </c>
      <c r="AI15" s="116">
        <f>AI10*Parametre!AH60</f>
        <v>1392417.4208743628</v>
      </c>
      <c r="AJ15" s="116">
        <f>AJ10*Parametre!AI60</f>
        <v>1403008.728571964</v>
      </c>
      <c r="AK15" s="116">
        <f>AK10*Parametre!AJ60</f>
        <v>1413552.1013690936</v>
      </c>
      <c r="AL15" s="116">
        <f>AL10*Parametre!AK60</f>
        <v>1424047.6886401265</v>
      </c>
      <c r="AM15" s="116">
        <f>AM10*Parametre!AL60</f>
        <v>1434495.6393536557</v>
      </c>
      <c r="AN15" s="116">
        <f>AN10*Parametre!AM60</f>
        <v>1444896.1020735896</v>
      </c>
      <c r="AO15" s="116">
        <f>AO10*Parametre!AN60</f>
        <v>1455249.2249600822</v>
      </c>
      <c r="AP15" s="116">
        <f>AP10*Parametre!AO60</f>
        <v>1467023.6479106632</v>
      </c>
      <c r="AQ15" s="116">
        <f>AQ10*Parametre!AP60</f>
        <v>1478745.1521725515</v>
      </c>
    </row>
    <row r="16" spans="2:43" x14ac:dyDescent="0.2">
      <c r="B16" s="170" t="s">
        <v>283</v>
      </c>
      <c r="C16" s="171">
        <f t="shared" si="15"/>
        <v>81451814.159263924</v>
      </c>
      <c r="D16" s="172">
        <f>SUM(D13:D15)</f>
        <v>0</v>
      </c>
      <c r="E16" s="171">
        <f t="shared" ref="E16:AG16" si="16">SUM(E13:E15)</f>
        <v>0</v>
      </c>
      <c r="F16" s="171">
        <f t="shared" si="16"/>
        <v>0</v>
      </c>
      <c r="G16" s="171">
        <f t="shared" si="16"/>
        <v>1975527.0958853972</v>
      </c>
      <c r="H16" s="171">
        <f t="shared" si="16"/>
        <v>1010918.9396041763</v>
      </c>
      <c r="I16" s="171">
        <f t="shared" si="16"/>
        <v>1735681.576549558</v>
      </c>
      <c r="J16" s="171">
        <f t="shared" si="16"/>
        <v>1775650.1757876729</v>
      </c>
      <c r="K16" s="171">
        <f t="shared" si="16"/>
        <v>1816244.5788528868</v>
      </c>
      <c r="L16" s="171">
        <f t="shared" si="16"/>
        <v>1856854.201028636</v>
      </c>
      <c r="M16" s="171">
        <f t="shared" si="16"/>
        <v>1898094.3911900017</v>
      </c>
      <c r="N16" s="171">
        <f t="shared" si="16"/>
        <v>1940605.2476567556</v>
      </c>
      <c r="O16" s="171">
        <f t="shared" si="16"/>
        <v>1983776.5118137281</v>
      </c>
      <c r="P16" s="171">
        <f t="shared" si="16"/>
        <v>2027617.1407290678</v>
      </c>
      <c r="Q16" s="171">
        <f t="shared" si="16"/>
        <v>2072229.7812658628</v>
      </c>
      <c r="R16" s="171">
        <f t="shared" si="16"/>
        <v>2117531.9128993154</v>
      </c>
      <c r="S16" s="171">
        <f t="shared" si="16"/>
        <v>2137827.5232266621</v>
      </c>
      <c r="T16" s="171">
        <f t="shared" si="16"/>
        <v>2158688.0461490122</v>
      </c>
      <c r="U16" s="171">
        <f t="shared" si="16"/>
        <v>2180988.1224240381</v>
      </c>
      <c r="V16" s="171">
        <f t="shared" si="16"/>
        <v>2198641.9800230647</v>
      </c>
      <c r="W16" s="171">
        <f t="shared" si="16"/>
        <v>2217835.4960423997</v>
      </c>
      <c r="X16" s="171">
        <f t="shared" si="16"/>
        <v>2236943.4434297467</v>
      </c>
      <c r="Y16" s="171">
        <f t="shared" si="16"/>
        <v>2255966.0876855678</v>
      </c>
      <c r="Z16" s="171">
        <f t="shared" si="16"/>
        <v>2274903.6935905805</v>
      </c>
      <c r="AA16" s="171">
        <f t="shared" si="16"/>
        <v>2294401.9812598573</v>
      </c>
      <c r="AB16" s="171">
        <f t="shared" si="16"/>
        <v>2313813.1761636878</v>
      </c>
      <c r="AC16" s="171">
        <f t="shared" si="16"/>
        <v>2333137.548679973</v>
      </c>
      <c r="AD16" s="171">
        <f t="shared" si="16"/>
        <v>2352467.6374013778</v>
      </c>
      <c r="AE16" s="171">
        <f t="shared" si="16"/>
        <v>2371711.0732177072</v>
      </c>
      <c r="AF16" s="171">
        <f t="shared" si="16"/>
        <v>2390137.1979206782</v>
      </c>
      <c r="AG16" s="171">
        <f t="shared" si="16"/>
        <v>2408480.1312805507</v>
      </c>
      <c r="AH16" s="171">
        <f t="shared" ref="AH16:AN16" si="17">SUM(AH13:AH15)</f>
        <v>2426831.6653659912</v>
      </c>
      <c r="AI16" s="171">
        <f t="shared" si="17"/>
        <v>2445644.0102107953</v>
      </c>
      <c r="AJ16" s="171">
        <f t="shared" si="17"/>
        <v>2464371.3983495682</v>
      </c>
      <c r="AK16" s="171">
        <f t="shared" si="17"/>
        <v>2483014.0943597495</v>
      </c>
      <c r="AL16" s="171">
        <f t="shared" si="17"/>
        <v>2501663.1650379151</v>
      </c>
      <c r="AM16" s="171">
        <f t="shared" si="17"/>
        <v>2520227.7073769667</v>
      </c>
      <c r="AN16" s="171">
        <f t="shared" si="17"/>
        <v>2538707.9848940251</v>
      </c>
      <c r="AO16" s="171">
        <f t="shared" ref="AO16:AQ16" si="18">SUM(AO13:AO15)</f>
        <v>2557104.2603901783</v>
      </c>
      <c r="AP16" s="171">
        <f t="shared" si="18"/>
        <v>2578228.0890364842</v>
      </c>
      <c r="AQ16" s="171">
        <f t="shared" si="18"/>
        <v>2599347.0924842739</v>
      </c>
    </row>
    <row r="18" spans="2:43" x14ac:dyDescent="0.2">
      <c r="B18" s="1"/>
    </row>
    <row r="19" spans="2:43" x14ac:dyDescent="0.2">
      <c r="B19" s="3"/>
      <c r="C19" s="3"/>
      <c r="D19" s="3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2:43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  <c r="AH20" s="5">
        <v>31</v>
      </c>
      <c r="AI20" s="5">
        <v>32</v>
      </c>
      <c r="AJ20" s="5">
        <v>33</v>
      </c>
      <c r="AK20" s="5">
        <v>34</v>
      </c>
      <c r="AL20" s="5">
        <v>35</v>
      </c>
      <c r="AM20" s="5">
        <v>36</v>
      </c>
      <c r="AN20" s="5">
        <v>37</v>
      </c>
      <c r="AO20" s="5">
        <v>38</v>
      </c>
      <c r="AP20" s="5">
        <v>39</v>
      </c>
      <c r="AQ20" s="5">
        <v>40</v>
      </c>
    </row>
    <row r="21" spans="2:43" x14ac:dyDescent="0.2">
      <c r="B21" s="6" t="s">
        <v>388</v>
      </c>
      <c r="C21" s="229" t="s">
        <v>9</v>
      </c>
      <c r="D21" s="7">
        <f>D4</f>
        <v>2026</v>
      </c>
      <c r="E21" s="7">
        <f>$D$4+D20</f>
        <v>2027</v>
      </c>
      <c r="F21" s="7">
        <f>$D$4+E20</f>
        <v>2028</v>
      </c>
      <c r="G21" s="7">
        <f t="shared" ref="G21" si="19">$D$4+F20</f>
        <v>2029</v>
      </c>
      <c r="H21" s="7">
        <f t="shared" ref="H21" si="20">$D$4+G20</f>
        <v>2030</v>
      </c>
      <c r="I21" s="7">
        <f t="shared" ref="I21" si="21">$D$4+H20</f>
        <v>2031</v>
      </c>
      <c r="J21" s="7">
        <f t="shared" ref="J21" si="22">$D$4+I20</f>
        <v>2032</v>
      </c>
      <c r="K21" s="7">
        <f t="shared" ref="K21" si="23">$D$4+J20</f>
        <v>2033</v>
      </c>
      <c r="L21" s="7">
        <f t="shared" ref="L21" si="24">$D$4+K20</f>
        <v>2034</v>
      </c>
      <c r="M21" s="7">
        <f t="shared" ref="M21" si="25">$D$4+L20</f>
        <v>2035</v>
      </c>
      <c r="N21" s="7">
        <f t="shared" ref="N21" si="26">$D$4+M20</f>
        <v>2036</v>
      </c>
      <c r="O21" s="7">
        <f t="shared" ref="O21" si="27">$D$4+N20</f>
        <v>2037</v>
      </c>
      <c r="P21" s="7">
        <f t="shared" ref="P21" si="28">$D$4+O20</f>
        <v>2038</v>
      </c>
      <c r="Q21" s="7">
        <f t="shared" ref="Q21" si="29">$D$4+P20</f>
        <v>2039</v>
      </c>
      <c r="R21" s="7">
        <f t="shared" ref="R21" si="30">$D$4+Q20</f>
        <v>2040</v>
      </c>
      <c r="S21" s="7">
        <f t="shared" ref="S21" si="31">$D$4+R20</f>
        <v>2041</v>
      </c>
      <c r="T21" s="7">
        <f t="shared" ref="T21" si="32">$D$4+S20</f>
        <v>2042</v>
      </c>
      <c r="U21" s="7">
        <f t="shared" ref="U21" si="33">$D$4+T20</f>
        <v>2043</v>
      </c>
      <c r="V21" s="7">
        <f t="shared" ref="V21" si="34">$D$4+U20</f>
        <v>2044</v>
      </c>
      <c r="W21" s="7">
        <f t="shared" ref="W21" si="35">$D$4+V20</f>
        <v>2045</v>
      </c>
      <c r="X21" s="7">
        <f t="shared" ref="X21" si="36">$D$4+W20</f>
        <v>2046</v>
      </c>
      <c r="Y21" s="7">
        <f t="shared" ref="Y21" si="37">$D$4+X20</f>
        <v>2047</v>
      </c>
      <c r="Z21" s="7">
        <f t="shared" ref="Z21" si="38">$D$4+Y20</f>
        <v>2048</v>
      </c>
      <c r="AA21" s="7">
        <f t="shared" ref="AA21" si="39">$D$4+Z20</f>
        <v>2049</v>
      </c>
      <c r="AB21" s="7">
        <f t="shared" ref="AB21" si="40">$D$4+AA20</f>
        <v>2050</v>
      </c>
      <c r="AC21" s="7">
        <f t="shared" ref="AC21" si="41">$D$4+AB20</f>
        <v>2051</v>
      </c>
      <c r="AD21" s="7">
        <f t="shared" ref="AD21" si="42">$D$4+AC20</f>
        <v>2052</v>
      </c>
      <c r="AE21" s="7">
        <f t="shared" ref="AE21" si="43">$D$4+AD20</f>
        <v>2053</v>
      </c>
      <c r="AF21" s="7">
        <f t="shared" ref="AF21" si="44">$D$4+AE20</f>
        <v>2054</v>
      </c>
      <c r="AG21" s="7">
        <f t="shared" ref="AG21" si="45">$D$4+AF20</f>
        <v>2055</v>
      </c>
      <c r="AH21" s="7">
        <f t="shared" ref="AH21" si="46">$D$4+AG20</f>
        <v>2056</v>
      </c>
      <c r="AI21" s="7">
        <f t="shared" ref="AI21" si="47">$D$4+AH20</f>
        <v>2057</v>
      </c>
      <c r="AJ21" s="7">
        <f t="shared" ref="AJ21" si="48">$D$4+AI20</f>
        <v>2058</v>
      </c>
      <c r="AK21" s="7">
        <f t="shared" ref="AK21" si="49">$D$4+AJ20</f>
        <v>2059</v>
      </c>
      <c r="AL21" s="7">
        <f t="shared" ref="AL21" si="50">$D$4+AK20</f>
        <v>2060</v>
      </c>
      <c r="AM21" s="7">
        <f t="shared" ref="AM21" si="51">$D$4+AL20</f>
        <v>2061</v>
      </c>
      <c r="AN21" s="7">
        <f t="shared" ref="AN21" si="52">$D$4+AM20</f>
        <v>2062</v>
      </c>
      <c r="AO21" s="7">
        <f t="shared" ref="AO21" si="53">$D$4+AN20</f>
        <v>2063</v>
      </c>
      <c r="AP21" s="7">
        <f t="shared" ref="AP21" si="54">$D$4+AO20</f>
        <v>2064</v>
      </c>
      <c r="AQ21" s="7">
        <f t="shared" ref="AQ21" si="55">$D$4+AP20</f>
        <v>2065</v>
      </c>
    </row>
    <row r="22" spans="2:43" x14ac:dyDescent="0.2">
      <c r="B22" s="3" t="s">
        <v>33</v>
      </c>
      <c r="C22" s="116">
        <f t="shared" ref="C22:C27" si="56">SUM(D22:AQ22)</f>
        <v>915947.75666656345</v>
      </c>
      <c r="D22" s="120">
        <f>'04A Prevádzkové príjmy NOV200'!E247</f>
        <v>0</v>
      </c>
      <c r="E22" s="120">
        <f>'04A Prevádzkové príjmy NOV200'!F247</f>
        <v>0</v>
      </c>
      <c r="F22" s="120">
        <f>'04A Prevádzkové príjmy NOV200'!G247</f>
        <v>0</v>
      </c>
      <c r="G22" s="120">
        <f>'04A Prevádzkové príjmy NOV200'!H72</f>
        <v>10525.715983813288</v>
      </c>
      <c r="H22" s="120">
        <f>'04A Prevádzkové príjmy NOV200'!I72</f>
        <v>20080.727049119356</v>
      </c>
      <c r="I22" s="120">
        <f>'04A Prevádzkové príjmy NOV200'!J72</f>
        <v>23860.628611306529</v>
      </c>
      <c r="J22" s="120">
        <f>'04A Prevádzkové príjmy NOV200'!K72</f>
        <v>24099.234897419588</v>
      </c>
      <c r="K22" s="120">
        <f>'04A Prevádzkové príjmy NOV200'!L72</f>
        <v>24340.227246393788</v>
      </c>
      <c r="L22" s="120">
        <f>'04A Prevádzkové príjmy NOV200'!M72</f>
        <v>24583.629518857724</v>
      </c>
      <c r="M22" s="120">
        <f>'04A Prevádzkové príjmy NOV200'!N72</f>
        <v>24829.465814046303</v>
      </c>
      <c r="N22" s="120">
        <f>'04A Prevádzkové príjmy NOV200'!O72</f>
        <v>25077.760472186765</v>
      </c>
      <c r="O22" s="120">
        <f>'04A Prevádzkové príjmy NOV200'!P72</f>
        <v>25328.538076908633</v>
      </c>
      <c r="P22" s="120">
        <f>'04A Prevádzkové príjmy NOV200'!Q72</f>
        <v>25581.823457677721</v>
      </c>
      <c r="Q22" s="120">
        <f>'04A Prevádzkové príjmy NOV200'!R72</f>
        <v>25837.641692254496</v>
      </c>
      <c r="R22" s="120">
        <f>'04A Prevádzkové príjmy NOV200'!S72</f>
        <v>26096.018109177043</v>
      </c>
      <c r="S22" s="120">
        <f>'04A Prevádzkové príjmy NOV200'!T72</f>
        <v>26043.826072958691</v>
      </c>
      <c r="T22" s="120">
        <f>'04A Prevádzkové príjmy NOV200'!U72</f>
        <v>25991.73842081277</v>
      </c>
      <c r="U22" s="120">
        <f>'04A Prevádzkové príjmy NOV200'!V72</f>
        <v>25939.754943971147</v>
      </c>
      <c r="V22" s="120">
        <f>'04A Prevádzkové príjmy NOV200'!W72</f>
        <v>25887.875434083202</v>
      </c>
      <c r="W22" s="120">
        <f>'04A Prevádzkové príjmy NOV200'!X72</f>
        <v>25836.099683215038</v>
      </c>
      <c r="X22" s="120">
        <f>'04A Prevádzkové príjmy NOV200'!Y72</f>
        <v>25784.427483848609</v>
      </c>
      <c r="Y22" s="120">
        <f>'04A Prevádzkové príjmy NOV200'!Z72</f>
        <v>25732.858628880906</v>
      </c>
      <c r="Z22" s="120">
        <f>'04A Prevádzkové príjmy NOV200'!AA72</f>
        <v>25681.392911623145</v>
      </c>
      <c r="AA22" s="120">
        <f>'04A Prevádzkové príjmy NOV200'!AB72</f>
        <v>25630.030125799894</v>
      </c>
      <c r="AB22" s="120">
        <f>'04A Prevádzkové príjmy NOV200'!AC72</f>
        <v>25578.770065548299</v>
      </c>
      <c r="AC22" s="120">
        <f>'04A Prevádzkové príjmy NOV200'!AD72</f>
        <v>25527.6125254172</v>
      </c>
      <c r="AD22" s="120">
        <f>'04A Prevádzkové príjmy NOV200'!AE72</f>
        <v>25476.557300366367</v>
      </c>
      <c r="AE22" s="120">
        <f>'04A Prevádzkové príjmy NOV200'!AF72</f>
        <v>25425.604185765631</v>
      </c>
      <c r="AF22" s="120">
        <f>'04A Prevádzkové príjmy NOV200'!AG72</f>
        <v>25374.752977394102</v>
      </c>
      <c r="AG22" s="120">
        <f>'04A Prevádzkové príjmy NOV200'!AH72</f>
        <v>25324.003471439308</v>
      </c>
      <c r="AH22" s="120">
        <f>'04A Prevádzkové príjmy NOV200'!AI72</f>
        <v>25273.355464496432</v>
      </c>
      <c r="AI22" s="120">
        <f>'04A Prevádzkové príjmy NOV200'!AJ72</f>
        <v>25222.808753567439</v>
      </c>
      <c r="AJ22" s="120">
        <f>'04A Prevádzkové príjmy NOV200'!AK72</f>
        <v>25172.363136060303</v>
      </c>
      <c r="AK22" s="120">
        <f>'04A Prevádzkové príjmy NOV200'!AL72</f>
        <v>25122.018409788187</v>
      </c>
      <c r="AL22" s="120">
        <f>'04A Prevádzkové príjmy NOV200'!AM72</f>
        <v>25071.774372968604</v>
      </c>
      <c r="AM22" s="120">
        <f>'04A Prevádzkové príjmy NOV200'!AN72</f>
        <v>25021.630824222673</v>
      </c>
      <c r="AN22" s="120">
        <f>'04A Prevádzkové príjmy NOV200'!AO72</f>
        <v>24971.58756257423</v>
      </c>
      <c r="AO22" s="120">
        <f>'04A Prevádzkové príjmy NOV200'!AP72</f>
        <v>24921.644387449076</v>
      </c>
      <c r="AP22" s="120">
        <f>'04A Prevádzkové príjmy NOV200'!AQ72</f>
        <v>24871.801098674187</v>
      </c>
      <c r="AQ22" s="120">
        <f>'04A Prevádzkové príjmy NOV200'!AR72</f>
        <v>24822.057496476831</v>
      </c>
    </row>
    <row r="23" spans="2:43" x14ac:dyDescent="0.2">
      <c r="B23" s="3" t="s">
        <v>34</v>
      </c>
      <c r="C23" s="116">
        <f t="shared" si="56"/>
        <v>1321148.608237745</v>
      </c>
      <c r="D23" s="120">
        <f>'04A Prevádzkové príjmy NOV200'!E226</f>
        <v>0</v>
      </c>
      <c r="E23" s="120">
        <f>'04A Prevádzkové príjmy NOV200'!F226</f>
        <v>0</v>
      </c>
      <c r="F23" s="120">
        <f>'04A Prevádzkové príjmy NOV200'!G226</f>
        <v>0</v>
      </c>
      <c r="G23" s="120">
        <f>'04A Prevádzkové príjmy NOV200'!H66</f>
        <v>15182.12684239696</v>
      </c>
      <c r="H23" s="120">
        <f>'04A Prevádzkové príjmy NOV200'!I66</f>
        <v>28964.124209328424</v>
      </c>
      <c r="I23" s="120">
        <f>'04A Prevádzkové príjmy NOV200'!J66</f>
        <v>34416.194648731427</v>
      </c>
      <c r="J23" s="120">
        <f>'04A Prevádzkové príjmy NOV200'!K66</f>
        <v>34760.356595218735</v>
      </c>
      <c r="K23" s="120">
        <f>'04A Prevádzkové príjmy NOV200'!L66</f>
        <v>35107.960161170922</v>
      </c>
      <c r="L23" s="120">
        <f>'04A Prevádzkové príjmy NOV200'!M66</f>
        <v>35459.039762782631</v>
      </c>
      <c r="M23" s="120">
        <f>'04A Prevádzkové príjmy NOV200'!N66</f>
        <v>35813.630160410459</v>
      </c>
      <c r="N23" s="120">
        <f>'04A Prevádzkové príjmy NOV200'!O66</f>
        <v>36171.766462014566</v>
      </c>
      <c r="O23" s="120">
        <f>'04A Prevádzkové príjmy NOV200'!P66</f>
        <v>36533.484126634714</v>
      </c>
      <c r="P23" s="120">
        <f>'04A Prevádzkové príjmy NOV200'!Q66</f>
        <v>36898.818967901061</v>
      </c>
      <c r="Q23" s="120">
        <f>'04A Prevádzkové príjmy NOV200'!R66</f>
        <v>37267.807157580071</v>
      </c>
      <c r="R23" s="120">
        <f>'04A Prevádzkové príjmy NOV200'!S66</f>
        <v>37640.485229155871</v>
      </c>
      <c r="S23" s="120">
        <f>'04A Prevádzkové príjmy NOV200'!T66</f>
        <v>37565.204258697559</v>
      </c>
      <c r="T23" s="120">
        <f>'04A Prevádzkové príjmy NOV200'!U66</f>
        <v>37490.073850180161</v>
      </c>
      <c r="U23" s="120">
        <f>'04A Prevádzkové príjmy NOV200'!V66</f>
        <v>37415.093702479804</v>
      </c>
      <c r="V23" s="120">
        <f>'04A Prevádzkové príjmy NOV200'!W66</f>
        <v>37340.263515074839</v>
      </c>
      <c r="W23" s="120">
        <f>'04A Prevádzkové príjmy NOV200'!X66</f>
        <v>37265.582988044691</v>
      </c>
      <c r="X23" s="120">
        <f>'04A Prevádzkové príjmy NOV200'!Y66</f>
        <v>37191.051822068606</v>
      </c>
      <c r="Y23" s="120">
        <f>'04A Prevádzkové príjmy NOV200'!Z66</f>
        <v>37116.669718424462</v>
      </c>
      <c r="Z23" s="120">
        <f>'04A Prevádzkové príjmy NOV200'!AA66</f>
        <v>37042.436378987615</v>
      </c>
      <c r="AA23" s="120">
        <f>'04A Prevádzkové príjmy NOV200'!AB66</f>
        <v>36968.351506229636</v>
      </c>
      <c r="AB23" s="120">
        <f>'04A Prevádzkové príjmy NOV200'!AC66</f>
        <v>36894.41480321718</v>
      </c>
      <c r="AC23" s="120">
        <f>'04A Prevádzkové príjmy NOV200'!AD66</f>
        <v>36820.625973610739</v>
      </c>
      <c r="AD23" s="120">
        <f>'04A Prevádzkové príjmy NOV200'!AE66</f>
        <v>36746.984721663517</v>
      </c>
      <c r="AE23" s="120">
        <f>'04A Prevádzkové príjmy NOV200'!AF66</f>
        <v>36673.49075222019</v>
      </c>
      <c r="AF23" s="120">
        <f>'04A Prevádzkové príjmy NOV200'!AG66</f>
        <v>36600.143770715746</v>
      </c>
      <c r="AG23" s="120">
        <f>'04A Prevádzkové príjmy NOV200'!AH66</f>
        <v>36526.943483174313</v>
      </c>
      <c r="AH23" s="120">
        <f>'04A Prevádzkové príjmy NOV200'!AI66</f>
        <v>36453.88959620797</v>
      </c>
      <c r="AI23" s="120">
        <f>'04A Prevádzkové príjmy NOV200'!AJ66</f>
        <v>36380.981817015549</v>
      </c>
      <c r="AJ23" s="120">
        <f>'04A Prevádzkové príjmy NOV200'!AK66</f>
        <v>36308.219853381517</v>
      </c>
      <c r="AK23" s="120">
        <f>'04A Prevádzkové príjmy NOV200'!AL66</f>
        <v>36235.603413674762</v>
      </c>
      <c r="AL23" s="120">
        <f>'04A Prevádzkové príjmy NOV200'!AM66</f>
        <v>36163.132206847404</v>
      </c>
      <c r="AM23" s="120">
        <f>'04A Prevádzkové príjmy NOV200'!AN66</f>
        <v>36090.805942433719</v>
      </c>
      <c r="AN23" s="120">
        <f>'04A Prevádzkové príjmy NOV200'!AO66</f>
        <v>36018.624330548853</v>
      </c>
      <c r="AO23" s="120">
        <f>'04A Prevádzkové príjmy NOV200'!AP66</f>
        <v>35946.587081887752</v>
      </c>
      <c r="AP23" s="120">
        <f>'04A Prevádzkové príjmy NOV200'!AQ66</f>
        <v>35874.69390772398</v>
      </c>
      <c r="AQ23" s="120">
        <f>'04A Prevádzkové príjmy NOV200'!AR66</f>
        <v>35802.944519908524</v>
      </c>
    </row>
    <row r="24" spans="2:43" ht="12" thickBot="1" x14ac:dyDescent="0.25">
      <c r="B24" s="27" t="s">
        <v>195</v>
      </c>
      <c r="C24" s="117">
        <f t="shared" si="56"/>
        <v>-405200.85157118138</v>
      </c>
      <c r="D24" s="117">
        <f>D22-D23</f>
        <v>0</v>
      </c>
      <c r="E24" s="117">
        <f t="shared" ref="E24:AG24" si="57">E22-E23</f>
        <v>0</v>
      </c>
      <c r="F24" s="117">
        <f t="shared" si="57"/>
        <v>0</v>
      </c>
      <c r="G24" s="117">
        <f t="shared" si="57"/>
        <v>-4656.4108585836711</v>
      </c>
      <c r="H24" s="117">
        <f t="shared" si="57"/>
        <v>-8883.3971602090678</v>
      </c>
      <c r="I24" s="117">
        <f t="shared" si="57"/>
        <v>-10555.566037424898</v>
      </c>
      <c r="J24" s="117">
        <f t="shared" si="57"/>
        <v>-10661.121697799146</v>
      </c>
      <c r="K24" s="117">
        <f t="shared" si="57"/>
        <v>-10767.732914777134</v>
      </c>
      <c r="L24" s="117">
        <f t="shared" si="57"/>
        <v>-10875.410243924907</v>
      </c>
      <c r="M24" s="117">
        <f t="shared" si="57"/>
        <v>-10984.164346364156</v>
      </c>
      <c r="N24" s="117">
        <f t="shared" si="57"/>
        <v>-11094.005989827801</v>
      </c>
      <c r="O24" s="117">
        <f t="shared" si="57"/>
        <v>-11204.946049726081</v>
      </c>
      <c r="P24" s="117">
        <f t="shared" si="57"/>
        <v>-11316.99551022334</v>
      </c>
      <c r="Q24" s="117">
        <f t="shared" si="57"/>
        <v>-11430.165465325575</v>
      </c>
      <c r="R24" s="117">
        <f t="shared" si="57"/>
        <v>-11544.467119978828</v>
      </c>
      <c r="S24" s="117">
        <f t="shared" si="57"/>
        <v>-11521.378185738868</v>
      </c>
      <c r="T24" s="117">
        <f t="shared" si="57"/>
        <v>-11498.335429367391</v>
      </c>
      <c r="U24" s="117">
        <f t="shared" si="57"/>
        <v>-11475.338758508657</v>
      </c>
      <c r="V24" s="117">
        <f t="shared" si="57"/>
        <v>-11452.388080991637</v>
      </c>
      <c r="W24" s="117">
        <f t="shared" si="57"/>
        <v>-11429.483304829653</v>
      </c>
      <c r="X24" s="117">
        <f t="shared" si="57"/>
        <v>-11406.624338219997</v>
      </c>
      <c r="Y24" s="117">
        <f t="shared" si="57"/>
        <v>-11383.811089543557</v>
      </c>
      <c r="Z24" s="117">
        <f t="shared" si="57"/>
        <v>-11361.04346736447</v>
      </c>
      <c r="AA24" s="117">
        <f t="shared" si="57"/>
        <v>-11338.321380429741</v>
      </c>
      <c r="AB24" s="117">
        <f t="shared" si="57"/>
        <v>-11315.644737668881</v>
      </c>
      <c r="AC24" s="117">
        <f t="shared" si="57"/>
        <v>-11293.013448193538</v>
      </c>
      <c r="AD24" s="117">
        <f t="shared" si="57"/>
        <v>-11270.42742129715</v>
      </c>
      <c r="AE24" s="117">
        <f t="shared" si="57"/>
        <v>-11247.886566454559</v>
      </c>
      <c r="AF24" s="117">
        <f t="shared" si="57"/>
        <v>-11225.390793321643</v>
      </c>
      <c r="AG24" s="117">
        <f t="shared" si="57"/>
        <v>-11202.940011735005</v>
      </c>
      <c r="AH24" s="117">
        <f t="shared" ref="AH24:AN24" si="58">AH22-AH23</f>
        <v>-11180.534131711538</v>
      </c>
      <c r="AI24" s="117">
        <f t="shared" si="58"/>
        <v>-11158.17306344811</v>
      </c>
      <c r="AJ24" s="117">
        <f t="shared" si="58"/>
        <v>-11135.856717321214</v>
      </c>
      <c r="AK24" s="117">
        <f t="shared" si="58"/>
        <v>-11113.585003886576</v>
      </c>
      <c r="AL24" s="117">
        <f t="shared" si="58"/>
        <v>-11091.357833878799</v>
      </c>
      <c r="AM24" s="117">
        <f t="shared" si="58"/>
        <v>-11069.175118211046</v>
      </c>
      <c r="AN24" s="117">
        <f t="shared" si="58"/>
        <v>-11047.036767974623</v>
      </c>
      <c r="AO24" s="117">
        <f t="shared" ref="AO24:AQ24" si="59">AO22-AO23</f>
        <v>-11024.942694438676</v>
      </c>
      <c r="AP24" s="117">
        <f t="shared" si="59"/>
        <v>-11002.892809049794</v>
      </c>
      <c r="AQ24" s="117">
        <f t="shared" si="59"/>
        <v>-10980.887023431693</v>
      </c>
    </row>
    <row r="25" spans="2:43" ht="12" thickTop="1" x14ac:dyDescent="0.2">
      <c r="B25" s="29" t="s">
        <v>147</v>
      </c>
      <c r="C25" s="118">
        <f t="shared" si="56"/>
        <v>-17423.636617560802</v>
      </c>
      <c r="D25" s="118">
        <f>D24*Parametre!$C$54</f>
        <v>0</v>
      </c>
      <c r="E25" s="118">
        <f>E24*Parametre!$C$54</f>
        <v>0</v>
      </c>
      <c r="F25" s="118">
        <f>F24*Parametre!$C$54</f>
        <v>0</v>
      </c>
      <c r="G25" s="118">
        <f>G24*Parametre!$C$54</f>
        <v>-200.22566691909785</v>
      </c>
      <c r="H25" s="118">
        <f>H24*Parametre!$C$54</f>
        <v>-381.98607788898988</v>
      </c>
      <c r="I25" s="118">
        <f>I24*Parametre!$C$54</f>
        <v>-453.88933960927056</v>
      </c>
      <c r="J25" s="118">
        <f>J24*Parametre!$C$54</f>
        <v>-458.42823300536327</v>
      </c>
      <c r="K25" s="118">
        <f>K24*Parametre!$C$54</f>
        <v>-463.01251533541677</v>
      </c>
      <c r="L25" s="118">
        <f>L24*Parametre!$C$54</f>
        <v>-467.64264048877095</v>
      </c>
      <c r="M25" s="118">
        <f>M24*Parametre!$C$54</f>
        <v>-472.31906689365866</v>
      </c>
      <c r="N25" s="118">
        <f>N24*Parametre!$C$54</f>
        <v>-477.04225756259541</v>
      </c>
      <c r="O25" s="118">
        <f>O24*Parametre!$C$54</f>
        <v>-481.81268013822142</v>
      </c>
      <c r="P25" s="118">
        <f>P24*Parametre!$C$54</f>
        <v>-486.63080693960359</v>
      </c>
      <c r="Q25" s="118">
        <f>Q24*Parametre!$C$54</f>
        <v>-491.49711500899969</v>
      </c>
      <c r="R25" s="118">
        <f>R24*Parametre!$C$54</f>
        <v>-496.4120861590896</v>
      </c>
      <c r="S25" s="118">
        <f>S24*Parametre!$C$54</f>
        <v>-495.41926198677129</v>
      </c>
      <c r="T25" s="118">
        <f>T24*Parametre!$C$54</f>
        <v>-494.42842346279775</v>
      </c>
      <c r="U25" s="118">
        <f>U24*Parametre!$C$54</f>
        <v>-493.4395666158722</v>
      </c>
      <c r="V25" s="118">
        <f>V24*Parametre!$C$54</f>
        <v>-492.45268748264039</v>
      </c>
      <c r="W25" s="118">
        <f>W24*Parametre!$C$54</f>
        <v>-491.46778210767502</v>
      </c>
      <c r="X25" s="118">
        <f>X24*Parametre!$C$54</f>
        <v>-490.48484654345987</v>
      </c>
      <c r="Y25" s="118">
        <f>Y24*Parametre!$C$54</f>
        <v>-489.50387685037288</v>
      </c>
      <c r="Z25" s="118">
        <f>Z24*Parametre!$C$54</f>
        <v>-488.52486909667221</v>
      </c>
      <c r="AA25" s="118">
        <f>AA24*Parametre!$C$54</f>
        <v>-487.54781935847882</v>
      </c>
      <c r="AB25" s="118">
        <f>AB24*Parametre!$C$54</f>
        <v>-486.57272371976183</v>
      </c>
      <c r="AC25" s="118">
        <f>AC24*Parametre!$C$54</f>
        <v>-485.59957827232211</v>
      </c>
      <c r="AD25" s="118">
        <f>AD24*Parametre!$C$54</f>
        <v>-484.62837911577742</v>
      </c>
      <c r="AE25" s="118">
        <f>AE24*Parametre!$C$54</f>
        <v>-483.65912235754598</v>
      </c>
      <c r="AF25" s="118">
        <f>AF24*Parametre!$C$54</f>
        <v>-482.6918041128306</v>
      </c>
      <c r="AG25" s="118">
        <f>AG24*Parametre!$C$54</f>
        <v>-481.72642050460519</v>
      </c>
      <c r="AH25" s="118">
        <f>AH24*Parametre!$C$54</f>
        <v>-480.7629676635961</v>
      </c>
      <c r="AI25" s="118">
        <f>AI24*Parametre!$C$54</f>
        <v>-479.80144172826868</v>
      </c>
      <c r="AJ25" s="118">
        <f>AJ24*Parametre!$C$54</f>
        <v>-478.84183884481217</v>
      </c>
      <c r="AK25" s="118">
        <f>AK24*Parametre!$C$54</f>
        <v>-477.88415516712269</v>
      </c>
      <c r="AL25" s="118">
        <f>AL24*Parametre!$C$54</f>
        <v>-476.92838685678834</v>
      </c>
      <c r="AM25" s="118">
        <f>AM24*Parametre!$C$54</f>
        <v>-475.97453008307491</v>
      </c>
      <c r="AN25" s="118">
        <f>AN24*Parametre!$C$54</f>
        <v>-475.02258102290875</v>
      </c>
      <c r="AO25" s="118">
        <f>AO24*Parametre!$C$54</f>
        <v>-474.07253586086301</v>
      </c>
      <c r="AP25" s="118">
        <f>AP24*Parametre!$C$54</f>
        <v>-473.1243907891411</v>
      </c>
      <c r="AQ25" s="118">
        <f>AQ24*Parametre!$C$54</f>
        <v>-472.17814200756277</v>
      </c>
    </row>
    <row r="26" spans="2:43" x14ac:dyDescent="0.2">
      <c r="B26" s="3" t="s">
        <v>103</v>
      </c>
      <c r="C26" s="116">
        <f t="shared" si="56"/>
        <v>-103731.41800222242</v>
      </c>
      <c r="D26" s="116">
        <f>D24*Parametre!$D$54</f>
        <v>0</v>
      </c>
      <c r="E26" s="116">
        <f>E24*Parametre!$D$54</f>
        <v>0</v>
      </c>
      <c r="F26" s="116">
        <f>F24*Parametre!$D$54</f>
        <v>0</v>
      </c>
      <c r="G26" s="116">
        <f>G24*Parametre!$D$54</f>
        <v>-1192.0411797974198</v>
      </c>
      <c r="H26" s="116">
        <f>H24*Parametre!$D$54</f>
        <v>-2274.1496730135214</v>
      </c>
      <c r="I26" s="116">
        <f>I24*Parametre!$D$54</f>
        <v>-2702.2249055807738</v>
      </c>
      <c r="J26" s="116">
        <f>J24*Parametre!$D$54</f>
        <v>-2729.2471546365814</v>
      </c>
      <c r="K26" s="116">
        <f>K24*Parametre!$D$54</f>
        <v>-2756.5396261829464</v>
      </c>
      <c r="L26" s="116">
        <f>L24*Parametre!$D$54</f>
        <v>-2784.1050224447763</v>
      </c>
      <c r="M26" s="116">
        <f>M24*Parametre!$D$54</f>
        <v>-2811.9460726692241</v>
      </c>
      <c r="N26" s="116">
        <f>N24*Parametre!$D$54</f>
        <v>-2840.0655333959171</v>
      </c>
      <c r="O26" s="116">
        <f>O24*Parametre!$D$54</f>
        <v>-2868.4661887298766</v>
      </c>
      <c r="P26" s="116">
        <f>P24*Parametre!$D$54</f>
        <v>-2897.1508506171749</v>
      </c>
      <c r="Q26" s="116">
        <f>Q24*Parametre!$D$54</f>
        <v>-2926.1223591233475</v>
      </c>
      <c r="R26" s="116">
        <f>R24*Parametre!$D$54</f>
        <v>-2955.3835827145799</v>
      </c>
      <c r="S26" s="116">
        <f>S24*Parametre!$D$54</f>
        <v>-2949.4728155491503</v>
      </c>
      <c r="T26" s="116">
        <f>T24*Parametre!$D$54</f>
        <v>-2943.573869918052</v>
      </c>
      <c r="U26" s="116">
        <f>U24*Parametre!$D$54</f>
        <v>-2937.6867221782163</v>
      </c>
      <c r="V26" s="116">
        <f>V24*Parametre!$D$54</f>
        <v>-2931.8113487338592</v>
      </c>
      <c r="W26" s="116">
        <f>W24*Parametre!$D$54</f>
        <v>-2925.9477260363915</v>
      </c>
      <c r="X26" s="116">
        <f>X24*Parametre!$D$54</f>
        <v>-2920.0958305843192</v>
      </c>
      <c r="Y26" s="116">
        <f>Y24*Parametre!$D$54</f>
        <v>-2914.2556389231504</v>
      </c>
      <c r="Z26" s="116">
        <f>Z24*Parametre!$D$54</f>
        <v>-2908.4271276453046</v>
      </c>
      <c r="AA26" s="116">
        <f>AA24*Parametre!$D$54</f>
        <v>-2902.6102733900138</v>
      </c>
      <c r="AB26" s="116">
        <f>AB24*Parametre!$D$54</f>
        <v>-2896.8050528432336</v>
      </c>
      <c r="AC26" s="116">
        <f>AC24*Parametre!$D$54</f>
        <v>-2891.0114427375461</v>
      </c>
      <c r="AD26" s="116">
        <f>AD24*Parametre!$D$54</f>
        <v>-2885.2294198520704</v>
      </c>
      <c r="AE26" s="116">
        <f>AE24*Parametre!$D$54</f>
        <v>-2879.4589610123671</v>
      </c>
      <c r="AF26" s="116">
        <f>AF24*Parametre!$D$54</f>
        <v>-2873.7000430903408</v>
      </c>
      <c r="AG26" s="116">
        <f>AG24*Parametre!$D$54</f>
        <v>-2867.9526430041615</v>
      </c>
      <c r="AH26" s="116">
        <f>AH24*Parametre!$D$54</f>
        <v>-2862.2167377181536</v>
      </c>
      <c r="AI26" s="116">
        <f>AI24*Parametre!$D$54</f>
        <v>-2856.4923042427163</v>
      </c>
      <c r="AJ26" s="116">
        <f>AJ24*Parametre!$D$54</f>
        <v>-2850.7793196342309</v>
      </c>
      <c r="AK26" s="116">
        <f>AK24*Parametre!$D$54</f>
        <v>-2845.0777609949632</v>
      </c>
      <c r="AL26" s="116">
        <f>AL24*Parametre!$D$54</f>
        <v>-2839.3876054729726</v>
      </c>
      <c r="AM26" s="116">
        <f>AM24*Parametre!$D$54</f>
        <v>-2833.7088302620277</v>
      </c>
      <c r="AN26" s="116">
        <f>AN24*Parametre!$D$54</f>
        <v>-2828.0414126015035</v>
      </c>
      <c r="AO26" s="116">
        <f>AO24*Parametre!$D$54</f>
        <v>-2822.3853297763012</v>
      </c>
      <c r="AP26" s="116">
        <f>AP24*Parametre!$D$54</f>
        <v>-2816.7405591167471</v>
      </c>
      <c r="AQ26" s="116">
        <f>AQ24*Parametre!$D$54</f>
        <v>-2811.1070779985134</v>
      </c>
    </row>
    <row r="27" spans="2:43" x14ac:dyDescent="0.2">
      <c r="B27" s="3" t="s">
        <v>104</v>
      </c>
      <c r="C27" s="116">
        <f t="shared" si="56"/>
        <v>-284045.79695139814</v>
      </c>
      <c r="D27" s="116">
        <f>D24*Parametre!$E$54</f>
        <v>0</v>
      </c>
      <c r="E27" s="116">
        <f>E24*Parametre!$E$54</f>
        <v>0</v>
      </c>
      <c r="F27" s="116">
        <f>F24*Parametre!$E$54</f>
        <v>0</v>
      </c>
      <c r="G27" s="116">
        <f>G24*Parametre!$E$54</f>
        <v>-3264.1440118671535</v>
      </c>
      <c r="H27" s="116">
        <f>H24*Parametre!$E$54</f>
        <v>-6227.2614093065558</v>
      </c>
      <c r="I27" s="116">
        <f>I24*Parametre!$E$54</f>
        <v>-7399.4517922348532</v>
      </c>
      <c r="J27" s="116">
        <f>J24*Parametre!$E$54</f>
        <v>-7473.446310157201</v>
      </c>
      <c r="K27" s="116">
        <f>K24*Parametre!$E$54</f>
        <v>-7548.1807732587704</v>
      </c>
      <c r="L27" s="116">
        <f>L24*Parametre!$E$54</f>
        <v>-7623.6625809913594</v>
      </c>
      <c r="M27" s="116">
        <f>M24*Parametre!$E$54</f>
        <v>-7699.8992068012731</v>
      </c>
      <c r="N27" s="116">
        <f>N24*Parametre!$E$54</f>
        <v>-7776.8981988692885</v>
      </c>
      <c r="O27" s="116">
        <f>O24*Parametre!$E$54</f>
        <v>-7854.6671808579822</v>
      </c>
      <c r="P27" s="116">
        <f>P24*Parametre!$E$54</f>
        <v>-7933.2138526665603</v>
      </c>
      <c r="Q27" s="116">
        <f>Q24*Parametre!$E$54</f>
        <v>-8012.5459911932276</v>
      </c>
      <c r="R27" s="116">
        <f>R24*Parametre!$E$54</f>
        <v>-8092.6714511051578</v>
      </c>
      <c r="S27" s="116">
        <f>S24*Parametre!$E$54</f>
        <v>-8076.4861082029456</v>
      </c>
      <c r="T27" s="116">
        <f>T24*Parametre!$E$54</f>
        <v>-8060.3331359865406</v>
      </c>
      <c r="U27" s="116">
        <f>U24*Parametre!$E$54</f>
        <v>-8044.2124697145682</v>
      </c>
      <c r="V27" s="116">
        <f>V24*Parametre!$E$54</f>
        <v>-8028.124044775137</v>
      </c>
      <c r="W27" s="116">
        <f>W24*Parametre!$E$54</f>
        <v>-8012.0677966855865</v>
      </c>
      <c r="X27" s="116">
        <f>X24*Parametre!$E$54</f>
        <v>-7996.0436610922179</v>
      </c>
      <c r="Y27" s="116">
        <f>Y24*Parametre!$E$54</f>
        <v>-7980.0515737700325</v>
      </c>
      <c r="Z27" s="116">
        <f>Z24*Parametre!$E$54</f>
        <v>-7964.091470622493</v>
      </c>
      <c r="AA27" s="116">
        <f>AA24*Parametre!$E$54</f>
        <v>-7948.1632876812482</v>
      </c>
      <c r="AB27" s="116">
        <f>AB24*Parametre!$E$54</f>
        <v>-7932.2669611058855</v>
      </c>
      <c r="AC27" s="116">
        <f>AC24*Parametre!$E$54</f>
        <v>-7916.4024271836697</v>
      </c>
      <c r="AD27" s="116">
        <f>AD24*Parametre!$E$54</f>
        <v>-7900.5696223293016</v>
      </c>
      <c r="AE27" s="116">
        <f>AE24*Parametre!$E$54</f>
        <v>-7884.7684830846456</v>
      </c>
      <c r="AF27" s="116">
        <f>AF24*Parametre!$E$54</f>
        <v>-7868.9989461184714</v>
      </c>
      <c r="AG27" s="116">
        <f>AG24*Parametre!$E$54</f>
        <v>-7853.2609482262378</v>
      </c>
      <c r="AH27" s="116">
        <f>AH24*Parametre!$E$54</f>
        <v>-7837.5544263297879</v>
      </c>
      <c r="AI27" s="116">
        <f>AI24*Parametre!$E$54</f>
        <v>-7821.8793174771245</v>
      </c>
      <c r="AJ27" s="116">
        <f>AJ24*Parametre!$E$54</f>
        <v>-7806.2355588421706</v>
      </c>
      <c r="AK27" s="116">
        <f>AK24*Parametre!$E$54</f>
        <v>-7790.6230877244889</v>
      </c>
      <c r="AL27" s="116">
        <f>AL24*Parametre!$E$54</f>
        <v>-7775.0418415490376</v>
      </c>
      <c r="AM27" s="116">
        <f>AM24*Parametre!$E$54</f>
        <v>-7759.4917578659424</v>
      </c>
      <c r="AN27" s="116">
        <f>AN24*Parametre!$E$54</f>
        <v>-7743.9727743502108</v>
      </c>
      <c r="AO27" s="116">
        <f>AO24*Parametre!$E$54</f>
        <v>-7728.484828801511</v>
      </c>
      <c r="AP27" s="116">
        <f>AP24*Parametre!$E$54</f>
        <v>-7713.0278591439046</v>
      </c>
      <c r="AQ27" s="116">
        <f>AQ24*Parametre!$E$54</f>
        <v>-7697.6018034256158</v>
      </c>
    </row>
    <row r="29" spans="2:43" x14ac:dyDescent="0.2">
      <c r="B29" s="15" t="s">
        <v>196</v>
      </c>
    </row>
    <row r="30" spans="2:43" x14ac:dyDescent="0.2">
      <c r="B30" s="8" t="s">
        <v>147</v>
      </c>
      <c r="C30" s="116">
        <f t="shared" ref="C30:C33" si="60">SUM(D30:AQ30)</f>
        <v>-479343.67108349147</v>
      </c>
      <c r="D30" s="116">
        <f>D25*Parametre!C58</f>
        <v>0</v>
      </c>
      <c r="E30" s="116">
        <f>E25*Parametre!D58</f>
        <v>0</v>
      </c>
      <c r="F30" s="116">
        <f>F25*Parametre!E58</f>
        <v>0</v>
      </c>
      <c r="G30" s="116">
        <f>G25*Parametre!F58</f>
        <v>-4430.9940089196352</v>
      </c>
      <c r="H30" s="116">
        <f>H25*Parametre!G58</f>
        <v>-8567.9477270500429</v>
      </c>
      <c r="I30" s="116">
        <f>I25*Parametre!H58</f>
        <v>-10325.982476110905</v>
      </c>
      <c r="J30" s="116">
        <f>J25*Parametre!I58</f>
        <v>-10562.186488443569</v>
      </c>
      <c r="K30" s="116">
        <f>K25*Parametre!J58</f>
        <v>-10802.081982775273</v>
      </c>
      <c r="L30" s="116">
        <f>L25*Parametre!K58</f>
        <v>-11041.042741939882</v>
      </c>
      <c r="M30" s="116">
        <f>M25*Parametre!L58</f>
        <v>-11283.702508089505</v>
      </c>
      <c r="N30" s="116">
        <f>N25*Parametre!M58</f>
        <v>-11534.881787863556</v>
      </c>
      <c r="O30" s="116">
        <f>O25*Parametre!N58</f>
        <v>-11789.956282982277</v>
      </c>
      <c r="P30" s="116">
        <f>P25*Parametre!O58</f>
        <v>-12048.978779824585</v>
      </c>
      <c r="Q30" s="116">
        <f>Q25*Parametre!P58</f>
        <v>-12316.917702125531</v>
      </c>
      <c r="R30" s="116">
        <f>R25*Parametre!Q58</f>
        <v>-12589.010504994512</v>
      </c>
      <c r="S30" s="116">
        <f>S25*Parametre!R58</f>
        <v>-12712.458262580551</v>
      </c>
      <c r="T30" s="116">
        <f>T25*Parametre!S58</f>
        <v>-12840.306157328858</v>
      </c>
      <c r="U30" s="116">
        <f>U25*Parametre!T58</f>
        <v>-12967.591810665122</v>
      </c>
      <c r="V30" s="116">
        <f>V25*Parametre!U58</f>
        <v>-13074.618852664102</v>
      </c>
      <c r="W30" s="116">
        <f>W25*Parametre!V58</f>
        <v>-13186.08059394892</v>
      </c>
      <c r="X30" s="116">
        <f>X25*Parametre!W58</f>
        <v>-13297.044189793196</v>
      </c>
      <c r="Y30" s="116">
        <f>Y25*Parametre!X58</f>
        <v>-13407.511186931713</v>
      </c>
      <c r="Z30" s="116">
        <f>Z25*Parametre!Y58</f>
        <v>-13517.483127904921</v>
      </c>
      <c r="AA30" s="116">
        <f>AA25*Parametre!Z58</f>
        <v>-13631.837029263068</v>
      </c>
      <c r="AB30" s="116">
        <f>AB25*Parametre!AA58</f>
        <v>-13745.679445083271</v>
      </c>
      <c r="AC30" s="116">
        <f>AC25*Parametre!AB58</f>
        <v>-13859.011963892073</v>
      </c>
      <c r="AD30" s="116">
        <f>AD25*Parametre!AC58</f>
        <v>-13976.682453699021</v>
      </c>
      <c r="AE30" s="116">
        <f>AE25*Parametre!AD58</f>
        <v>-14093.826825498891</v>
      </c>
      <c r="AF30" s="116">
        <f>AF25*Parametre!AE58</f>
        <v>-14200.792876999478</v>
      </c>
      <c r="AG30" s="116">
        <f>AG25*Parametre!AF58</f>
        <v>-14307.274688986774</v>
      </c>
      <c r="AH30" s="116">
        <f>AH25*Parametre!AG58</f>
        <v>-14418.081400231245</v>
      </c>
      <c r="AI30" s="116">
        <f>AI25*Parametre!AH58</f>
        <v>-14528.387655531977</v>
      </c>
      <c r="AJ30" s="116">
        <f>AJ25*Parametre!AI58</f>
        <v>-14638.195013485909</v>
      </c>
      <c r="AK30" s="116">
        <f>AK25*Parametre!AJ58</f>
        <v>-14747.505028457406</v>
      </c>
      <c r="AL30" s="116">
        <f>AL25*Parametre!AK58</f>
        <v>-14861.088534457525</v>
      </c>
      <c r="AM30" s="116">
        <f>AM25*Parametre!AL58</f>
        <v>-14974.158716413536</v>
      </c>
      <c r="AN30" s="116">
        <f>AN25*Parametre!AM58</f>
        <v>-15086.717173287583</v>
      </c>
      <c r="AO30" s="116">
        <f>AO25*Parametre!AN58</f>
        <v>-15198.76549969927</v>
      </c>
      <c r="AP30" s="116">
        <f>AP25*Parametre!AO58</f>
        <v>-15324.499017660281</v>
      </c>
      <c r="AQ30" s="116">
        <f>AQ25*Parametre!AP58</f>
        <v>-15454.390587907528</v>
      </c>
    </row>
    <row r="31" spans="2:43" x14ac:dyDescent="0.2">
      <c r="B31" s="8" t="s">
        <v>103</v>
      </c>
      <c r="C31" s="116">
        <f t="shared" si="60"/>
        <v>-1346045.8286750463</v>
      </c>
      <c r="D31" s="116">
        <f>D26*Parametre!C59</f>
        <v>0</v>
      </c>
      <c r="E31" s="116">
        <f>E26*Parametre!D59</f>
        <v>0</v>
      </c>
      <c r="F31" s="116">
        <f>F26*Parametre!E59</f>
        <v>0</v>
      </c>
      <c r="G31" s="116">
        <f>G26*Parametre!F59</f>
        <v>-12432.989505287087</v>
      </c>
      <c r="H31" s="116">
        <f>H26*Parametre!G59</f>
        <v>-24037.762043752922</v>
      </c>
      <c r="I31" s="116">
        <f>I26*Parametre!H59</f>
        <v>-28967.850987825896</v>
      </c>
      <c r="J31" s="116">
        <f>J26*Parametre!I59</f>
        <v>-29639.624099353274</v>
      </c>
      <c r="K31" s="116">
        <f>K26*Parametre!J59</f>
        <v>-30321.935888012413</v>
      </c>
      <c r="L31" s="116">
        <f>L26*Parametre!K59</f>
        <v>-30987.088899810362</v>
      </c>
      <c r="M31" s="116">
        <f>M26*Parametre!L59</f>
        <v>-31662.512778255463</v>
      </c>
      <c r="N31" s="116">
        <f>N26*Parametre!M59</f>
        <v>-32376.747080713456</v>
      </c>
      <c r="O31" s="116">
        <f>O26*Parametre!N59</f>
        <v>-33102.099817942777</v>
      </c>
      <c r="P31" s="116">
        <f>P26*Parametre!O59</f>
        <v>-33838.721935208603</v>
      </c>
      <c r="Q31" s="116">
        <f>Q26*Parametre!P59</f>
        <v>-34586.76628483797</v>
      </c>
      <c r="R31" s="116">
        <f>R26*Parametre!Q59</f>
        <v>-35346.387649266377</v>
      </c>
      <c r="S31" s="116">
        <f>S26*Parametre!R59</f>
        <v>-35688.621068144719</v>
      </c>
      <c r="T31" s="116">
        <f>T26*Parametre!S59</f>
        <v>-36058.779906496136</v>
      </c>
      <c r="U31" s="116">
        <f>U26*Parametre!T59</f>
        <v>-36427.315355009887</v>
      </c>
      <c r="V31" s="116">
        <f>V26*Parametre!U59</f>
        <v>-36735.596199635256</v>
      </c>
      <c r="W31" s="116">
        <f>W26*Parametre!V59</f>
        <v>-37042.498211620717</v>
      </c>
      <c r="X31" s="116">
        <f>X26*Parametre!W59</f>
        <v>-37348.025673173441</v>
      </c>
      <c r="Y31" s="116">
        <f>Y26*Parametre!X59</f>
        <v>-37652.182854887105</v>
      </c>
      <c r="Z31" s="116">
        <f>Z26*Parametre!Y59</f>
        <v>-37954.974015771229</v>
      </c>
      <c r="AA31" s="116">
        <f>AA26*Parametre!Z59</f>
        <v>-38285.429506014283</v>
      </c>
      <c r="AB31" s="116">
        <f>AB26*Parametre!AA59</f>
        <v>-38614.411354400305</v>
      </c>
      <c r="AC31" s="116">
        <f>AC26*Parametre!AB59</f>
        <v>-38941.924133674751</v>
      </c>
      <c r="AD31" s="116">
        <f>AD26*Parametre!AC59</f>
        <v>-39267.972404186679</v>
      </c>
      <c r="AE31" s="116">
        <f>AE26*Parametre!AD59</f>
        <v>-39592.560713920051</v>
      </c>
      <c r="AF31" s="116">
        <f>AF26*Parametre!AE59</f>
        <v>-39886.95659809393</v>
      </c>
      <c r="AG31" s="116">
        <f>AG26*Parametre!AF59</f>
        <v>-40180.016528488304</v>
      </c>
      <c r="AH31" s="116">
        <f>AH26*Parametre!AG59</f>
        <v>-40471.744671334694</v>
      </c>
      <c r="AI31" s="116">
        <f>AI26*Parametre!AH59</f>
        <v>-40790.710104585989</v>
      </c>
      <c r="AJ31" s="116">
        <f>AJ26*Parametre!AI59</f>
        <v>-41108.237789125611</v>
      </c>
      <c r="AK31" s="116">
        <f>AK26*Parametre!AJ59</f>
        <v>-41424.332200086668</v>
      </c>
      <c r="AL31" s="116">
        <f>AL26*Parametre!AK59</f>
        <v>-41738.997800452693</v>
      </c>
      <c r="AM31" s="116">
        <f>AM26*Parametre!AL59</f>
        <v>-42052.239041088491</v>
      </c>
      <c r="AN31" s="116">
        <f>AN26*Parametre!AM59</f>
        <v>-42364.06036077052</v>
      </c>
      <c r="AO31" s="116">
        <f>AO26*Parametre!AN59</f>
        <v>-42674.466186217673</v>
      </c>
      <c r="AP31" s="116">
        <f>AP26*Parametre!AO59</f>
        <v>-43039.795743303897</v>
      </c>
      <c r="AQ31" s="116">
        <f>AQ26*Parametre!AP59</f>
        <v>-43403.493284297045</v>
      </c>
    </row>
    <row r="32" spans="2:43" x14ac:dyDescent="0.2">
      <c r="B32" s="8" t="s">
        <v>104</v>
      </c>
      <c r="C32" s="119">
        <f t="shared" si="60"/>
        <v>-2410644.1438107523</v>
      </c>
      <c r="D32" s="116">
        <f>D27*Parametre!C60</f>
        <v>0</v>
      </c>
      <c r="E32" s="116">
        <f>E27*Parametre!D60</f>
        <v>0</v>
      </c>
      <c r="F32" s="116">
        <f>F27*Parametre!E60</f>
        <v>0</v>
      </c>
      <c r="G32" s="116">
        <f>G27*Parametre!F60</f>
        <v>-22261.462160933988</v>
      </c>
      <c r="H32" s="116">
        <f>H27*Parametre!G60</f>
        <v>-43030.376338308299</v>
      </c>
      <c r="I32" s="116">
        <f>I27*Parametre!H60</f>
        <v>-51870.157063566323</v>
      </c>
      <c r="J32" s="116">
        <f>J27*Parametre!I60</f>
        <v>-53061.468802116127</v>
      </c>
      <c r="K32" s="116">
        <f>K27*Parametre!J60</f>
        <v>-54271.419759730561</v>
      </c>
      <c r="L32" s="116">
        <f>L27*Parametre!K60</f>
        <v>-55500.263589617098</v>
      </c>
      <c r="M32" s="116">
        <f>M27*Parametre!L60</f>
        <v>-56748.257154125386</v>
      </c>
      <c r="N32" s="116">
        <f>N27*Parametre!M60</f>
        <v>-58015.660563564896</v>
      </c>
      <c r="O32" s="116">
        <f>O27*Parametre!N60</f>
        <v>-59302.737215477762</v>
      </c>
      <c r="P32" s="116">
        <f>P27*Parametre!O60</f>
        <v>-60609.753834372517</v>
      </c>
      <c r="Q32" s="116">
        <f>Q27*Parametre!P60</f>
        <v>-61936.980511923655</v>
      </c>
      <c r="R32" s="116">
        <f>R27*Parametre!Q60</f>
        <v>-63284.690747642337</v>
      </c>
      <c r="S32" s="116">
        <f>S27*Parametre!R60</f>
        <v>-63885.005115885302</v>
      </c>
      <c r="T32" s="116">
        <f>T27*Parametre!S60</f>
        <v>-64482.665087892325</v>
      </c>
      <c r="U32" s="116">
        <f>U27*Parametre!T60</f>
        <v>-65158.121004688001</v>
      </c>
      <c r="V32" s="116">
        <f>V27*Parametre!U60</f>
        <v>-65670.054686260613</v>
      </c>
      <c r="W32" s="116">
        <f>W27*Parametre!V60</f>
        <v>-66259.800678589803</v>
      </c>
      <c r="X32" s="116">
        <f>X27*Parametre!W60</f>
        <v>-66846.925006730933</v>
      </c>
      <c r="Y32" s="116">
        <f>Y27*Parametre!X60</f>
        <v>-67431.435798356775</v>
      </c>
      <c r="Z32" s="116">
        <f>Z27*Parametre!Y60</f>
        <v>-68013.341159116084</v>
      </c>
      <c r="AA32" s="116">
        <f>AA27*Parametre!Z60</f>
        <v>-68592.649172689184</v>
      </c>
      <c r="AB32" s="116">
        <f>AB27*Parametre!AA60</f>
        <v>-69169.367900843325</v>
      </c>
      <c r="AC32" s="116">
        <f>AC27*Parametre!AB60</f>
        <v>-69743.50538348814</v>
      </c>
      <c r="AD32" s="116">
        <f>AD27*Parametre!AC60</f>
        <v>-70315.069638730783</v>
      </c>
      <c r="AE32" s="116">
        <f>AE27*Parametre!AD60</f>
        <v>-70884.068662930964</v>
      </c>
      <c r="AF32" s="116">
        <f>AF27*Parametre!AE60</f>
        <v>-71450.510430755719</v>
      </c>
      <c r="AG32" s="116">
        <f>AG27*Parametre!AF60</f>
        <v>-72014.402895234598</v>
      </c>
      <c r="AH32" s="116">
        <f>AH27*Parametre!AG60</f>
        <v>-72575.753987813834</v>
      </c>
      <c r="AI32" s="116">
        <f>AI27*Parametre!AH60</f>
        <v>-73134.571618411108</v>
      </c>
      <c r="AJ32" s="116">
        <f>AJ27*Parametre!AI60</f>
        <v>-73690.863675470086</v>
      </c>
      <c r="AK32" s="116">
        <f>AK27*Parametre!AJ60</f>
        <v>-74244.638026014378</v>
      </c>
      <c r="AL32" s="116">
        <f>AL27*Parametre!AK60</f>
        <v>-74795.902515701731</v>
      </c>
      <c r="AM32" s="116">
        <f>AM27*Parametre!AL60</f>
        <v>-75344.664968878307</v>
      </c>
      <c r="AN32" s="116">
        <f>AN27*Parametre!AM60</f>
        <v>-75890.933188632072</v>
      </c>
      <c r="AO32" s="116">
        <f>AO27*Parametre!AN60</f>
        <v>-76434.714956846947</v>
      </c>
      <c r="AP32" s="116">
        <f>AP27*Parametre!AO60</f>
        <v>-77053.14831284761</v>
      </c>
      <c r="AQ32" s="116">
        <f>AQ27*Parametre!AP60</f>
        <v>-77668.802196564458</v>
      </c>
    </row>
    <row r="33" spans="2:43" x14ac:dyDescent="0.2">
      <c r="B33" s="226" t="s">
        <v>283</v>
      </c>
      <c r="C33" s="227">
        <f t="shared" si="60"/>
        <v>-4236033.6435692897</v>
      </c>
      <c r="D33" s="228">
        <f>SUM(D30:D32)</f>
        <v>0</v>
      </c>
      <c r="E33" s="227">
        <f t="shared" ref="E33:AG33" si="61">SUM(E30:E32)</f>
        <v>0</v>
      </c>
      <c r="F33" s="227">
        <f t="shared" si="61"/>
        <v>0</v>
      </c>
      <c r="G33" s="227">
        <f t="shared" si="61"/>
        <v>-39125.445675140712</v>
      </c>
      <c r="H33" s="227">
        <f t="shared" si="61"/>
        <v>-75636.08610911126</v>
      </c>
      <c r="I33" s="227">
        <f t="shared" si="61"/>
        <v>-91163.99052750312</v>
      </c>
      <c r="J33" s="227">
        <f t="shared" si="61"/>
        <v>-93263.279389912961</v>
      </c>
      <c r="K33" s="227">
        <f t="shared" si="61"/>
        <v>-95395.437630518252</v>
      </c>
      <c r="L33" s="227">
        <f t="shared" si="61"/>
        <v>-97528.395231367351</v>
      </c>
      <c r="M33" s="227">
        <f t="shared" si="61"/>
        <v>-99694.472440470359</v>
      </c>
      <c r="N33" s="227">
        <f t="shared" si="61"/>
        <v>-101927.2894321419</v>
      </c>
      <c r="O33" s="227">
        <f t="shared" si="61"/>
        <v>-104194.79331640282</v>
      </c>
      <c r="P33" s="227">
        <f t="shared" si="61"/>
        <v>-106497.45454940571</v>
      </c>
      <c r="Q33" s="227">
        <f t="shared" si="61"/>
        <v>-108840.66449888716</v>
      </c>
      <c r="R33" s="227">
        <f t="shared" si="61"/>
        <v>-111220.08890190322</v>
      </c>
      <c r="S33" s="227">
        <f t="shared" si="61"/>
        <v>-112286.08444661056</v>
      </c>
      <c r="T33" s="227">
        <f t="shared" si="61"/>
        <v>-113381.75115171733</v>
      </c>
      <c r="U33" s="227">
        <f t="shared" si="61"/>
        <v>-114553.02817036302</v>
      </c>
      <c r="V33" s="227">
        <f t="shared" si="61"/>
        <v>-115480.26973855997</v>
      </c>
      <c r="W33" s="227">
        <f t="shared" si="61"/>
        <v>-116488.37948415944</v>
      </c>
      <c r="X33" s="227">
        <f t="shared" si="61"/>
        <v>-117491.99486969758</v>
      </c>
      <c r="Y33" s="227">
        <f t="shared" si="61"/>
        <v>-118491.12984017559</v>
      </c>
      <c r="Z33" s="227">
        <f t="shared" si="61"/>
        <v>-119485.79830279223</v>
      </c>
      <c r="AA33" s="227">
        <f t="shared" si="61"/>
        <v>-120509.91570796653</v>
      </c>
      <c r="AB33" s="227">
        <f t="shared" si="61"/>
        <v>-121529.4587003269</v>
      </c>
      <c r="AC33" s="227">
        <f t="shared" si="61"/>
        <v>-122544.44148105496</v>
      </c>
      <c r="AD33" s="227">
        <f t="shared" si="61"/>
        <v>-123559.72449661649</v>
      </c>
      <c r="AE33" s="227">
        <f t="shared" si="61"/>
        <v>-124570.4562023499</v>
      </c>
      <c r="AF33" s="227">
        <f t="shared" si="61"/>
        <v>-125538.25990584912</v>
      </c>
      <c r="AG33" s="227">
        <f t="shared" si="61"/>
        <v>-126501.69411270968</v>
      </c>
      <c r="AH33" s="227">
        <f t="shared" ref="AH33:AN33" si="62">SUM(AH30:AH32)</f>
        <v>-127465.58005937978</v>
      </c>
      <c r="AI33" s="227">
        <f t="shared" si="62"/>
        <v>-128453.66937852907</v>
      </c>
      <c r="AJ33" s="227">
        <f t="shared" si="62"/>
        <v>-129437.29647808161</v>
      </c>
      <c r="AK33" s="227">
        <f t="shared" si="62"/>
        <v>-130416.47525455845</v>
      </c>
      <c r="AL33" s="227">
        <f t="shared" si="62"/>
        <v>-131395.98885061196</v>
      </c>
      <c r="AM33" s="227">
        <f t="shared" si="62"/>
        <v>-132371.06272638033</v>
      </c>
      <c r="AN33" s="227">
        <f t="shared" si="62"/>
        <v>-133341.71072269016</v>
      </c>
      <c r="AO33" s="227">
        <f t="shared" ref="AO33:AQ33" si="63">SUM(AO30:AO32)</f>
        <v>-134307.94664276388</v>
      </c>
      <c r="AP33" s="227">
        <f t="shared" si="63"/>
        <v>-135417.4430738118</v>
      </c>
      <c r="AQ33" s="227">
        <f t="shared" si="63"/>
        <v>-136526.68606876902</v>
      </c>
    </row>
    <row r="34" spans="2:43" x14ac:dyDescent="0.2">
      <c r="B34" s="1" t="s">
        <v>387</v>
      </c>
    </row>
    <row r="36" spans="2:43" x14ac:dyDescent="0.2">
      <c r="B36" s="3"/>
      <c r="C36" s="3"/>
      <c r="D36" s="3" t="s">
        <v>10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2:43" x14ac:dyDescent="0.2">
      <c r="B37" s="4"/>
      <c r="C37" s="4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5">
        <v>6</v>
      </c>
      <c r="J37" s="5">
        <v>7</v>
      </c>
      <c r="K37" s="5">
        <v>8</v>
      </c>
      <c r="L37" s="5">
        <v>9</v>
      </c>
      <c r="M37" s="5">
        <v>10</v>
      </c>
      <c r="N37" s="5">
        <v>11</v>
      </c>
      <c r="O37" s="5">
        <v>12</v>
      </c>
      <c r="P37" s="5">
        <v>13</v>
      </c>
      <c r="Q37" s="5">
        <v>14</v>
      </c>
      <c r="R37" s="5">
        <v>15</v>
      </c>
      <c r="S37" s="5">
        <v>16</v>
      </c>
      <c r="T37" s="5">
        <v>17</v>
      </c>
      <c r="U37" s="5">
        <v>18</v>
      </c>
      <c r="V37" s="5">
        <v>19</v>
      </c>
      <c r="W37" s="5">
        <v>20</v>
      </c>
      <c r="X37" s="5">
        <v>21</v>
      </c>
      <c r="Y37" s="5">
        <v>22</v>
      </c>
      <c r="Z37" s="5">
        <v>23</v>
      </c>
      <c r="AA37" s="5">
        <v>24</v>
      </c>
      <c r="AB37" s="5">
        <v>25</v>
      </c>
      <c r="AC37" s="5">
        <v>26</v>
      </c>
      <c r="AD37" s="5">
        <v>27</v>
      </c>
      <c r="AE37" s="5">
        <v>28</v>
      </c>
      <c r="AF37" s="5">
        <v>29</v>
      </c>
      <c r="AG37" s="5">
        <v>30</v>
      </c>
      <c r="AH37" s="5">
        <v>31</v>
      </c>
      <c r="AI37" s="5">
        <v>32</v>
      </c>
      <c r="AJ37" s="5">
        <v>33</v>
      </c>
      <c r="AK37" s="5">
        <v>34</v>
      </c>
      <c r="AL37" s="5">
        <v>35</v>
      </c>
      <c r="AM37" s="5">
        <v>36</v>
      </c>
      <c r="AN37" s="5">
        <v>37</v>
      </c>
      <c r="AO37" s="5">
        <v>38</v>
      </c>
      <c r="AP37" s="5">
        <v>39</v>
      </c>
      <c r="AQ37" s="5">
        <v>40</v>
      </c>
    </row>
    <row r="38" spans="2:43" x14ac:dyDescent="0.2">
      <c r="B38" s="6" t="s">
        <v>389</v>
      </c>
      <c r="C38" s="229" t="s">
        <v>9</v>
      </c>
      <c r="D38" s="7">
        <f>D4</f>
        <v>2026</v>
      </c>
      <c r="E38" s="7">
        <f>$D$4+D37</f>
        <v>2027</v>
      </c>
      <c r="F38" s="7">
        <f>$D$4+E37</f>
        <v>2028</v>
      </c>
      <c r="G38" s="7">
        <f t="shared" ref="G38" si="64">$D$4+F37</f>
        <v>2029</v>
      </c>
      <c r="H38" s="7">
        <f t="shared" ref="H38" si="65">$D$4+G37</f>
        <v>2030</v>
      </c>
      <c r="I38" s="7">
        <f t="shared" ref="I38" si="66">$D$4+H37</f>
        <v>2031</v>
      </c>
      <c r="J38" s="7">
        <f t="shared" ref="J38" si="67">$D$4+I37</f>
        <v>2032</v>
      </c>
      <c r="K38" s="7">
        <f t="shared" ref="K38" si="68">$D$4+J37</f>
        <v>2033</v>
      </c>
      <c r="L38" s="7">
        <f t="shared" ref="L38" si="69">$D$4+K37</f>
        <v>2034</v>
      </c>
      <c r="M38" s="7">
        <f t="shared" ref="M38" si="70">$D$4+L37</f>
        <v>2035</v>
      </c>
      <c r="N38" s="7">
        <f t="shared" ref="N38" si="71">$D$4+M37</f>
        <v>2036</v>
      </c>
      <c r="O38" s="7">
        <f t="shared" ref="O38" si="72">$D$4+N37</f>
        <v>2037</v>
      </c>
      <c r="P38" s="7">
        <f t="shared" ref="P38" si="73">$D$4+O37</f>
        <v>2038</v>
      </c>
      <c r="Q38" s="7">
        <f t="shared" ref="Q38" si="74">$D$4+P37</f>
        <v>2039</v>
      </c>
      <c r="R38" s="7">
        <f t="shared" ref="R38" si="75">$D$4+Q37</f>
        <v>2040</v>
      </c>
      <c r="S38" s="7">
        <f t="shared" ref="S38" si="76">$D$4+R37</f>
        <v>2041</v>
      </c>
      <c r="T38" s="7">
        <f t="shared" ref="T38" si="77">$D$4+S37</f>
        <v>2042</v>
      </c>
      <c r="U38" s="7">
        <f t="shared" ref="U38" si="78">$D$4+T37</f>
        <v>2043</v>
      </c>
      <c r="V38" s="7">
        <f t="shared" ref="V38" si="79">$D$4+U37</f>
        <v>2044</v>
      </c>
      <c r="W38" s="7">
        <f t="shared" ref="W38" si="80">$D$4+V37</f>
        <v>2045</v>
      </c>
      <c r="X38" s="7">
        <f t="shared" ref="X38" si="81">$D$4+W37</f>
        <v>2046</v>
      </c>
      <c r="Y38" s="7">
        <f t="shared" ref="Y38" si="82">$D$4+X37</f>
        <v>2047</v>
      </c>
      <c r="Z38" s="7">
        <f t="shared" ref="Z38" si="83">$D$4+Y37</f>
        <v>2048</v>
      </c>
      <c r="AA38" s="7">
        <f t="shared" ref="AA38" si="84">$D$4+Z37</f>
        <v>2049</v>
      </c>
      <c r="AB38" s="7">
        <f t="shared" ref="AB38" si="85">$D$4+AA37</f>
        <v>2050</v>
      </c>
      <c r="AC38" s="7">
        <f t="shared" ref="AC38" si="86">$D$4+AB37</f>
        <v>2051</v>
      </c>
      <c r="AD38" s="7">
        <f t="shared" ref="AD38" si="87">$D$4+AC37</f>
        <v>2052</v>
      </c>
      <c r="AE38" s="7">
        <f t="shared" ref="AE38" si="88">$D$4+AD37</f>
        <v>2053</v>
      </c>
      <c r="AF38" s="7">
        <f t="shared" ref="AF38" si="89">$D$4+AE37</f>
        <v>2054</v>
      </c>
      <c r="AG38" s="7">
        <f t="shared" ref="AG38" si="90">$D$4+AF37</f>
        <v>2055</v>
      </c>
      <c r="AH38" s="7">
        <f t="shared" ref="AH38" si="91">$D$4+AG37</f>
        <v>2056</v>
      </c>
      <c r="AI38" s="7">
        <f t="shared" ref="AI38" si="92">$D$4+AH37</f>
        <v>2057</v>
      </c>
      <c r="AJ38" s="7">
        <f t="shared" ref="AJ38" si="93">$D$4+AI37</f>
        <v>2058</v>
      </c>
      <c r="AK38" s="7">
        <f t="shared" ref="AK38" si="94">$D$4+AJ37</f>
        <v>2059</v>
      </c>
      <c r="AL38" s="7">
        <f t="shared" ref="AL38" si="95">$D$4+AK37</f>
        <v>2060</v>
      </c>
      <c r="AM38" s="7">
        <f t="shared" ref="AM38" si="96">$D$4+AL37</f>
        <v>2061</v>
      </c>
      <c r="AN38" s="7">
        <f t="shared" ref="AN38" si="97">$D$4+AM37</f>
        <v>2062</v>
      </c>
      <c r="AO38" s="7">
        <f t="shared" ref="AO38" si="98">$D$4+AN37</f>
        <v>2063</v>
      </c>
      <c r="AP38" s="7">
        <f t="shared" ref="AP38" si="99">$D$4+AO37</f>
        <v>2064</v>
      </c>
      <c r="AQ38" s="7">
        <f t="shared" ref="AQ38" si="100">$D$4+AP37</f>
        <v>2065</v>
      </c>
    </row>
    <row r="39" spans="2:43" x14ac:dyDescent="0.2">
      <c r="B39" s="3" t="s">
        <v>33</v>
      </c>
      <c r="C39" s="116">
        <f t="shared" ref="C39:C44" si="101">SUM(D39:AQ39)</f>
        <v>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</row>
    <row r="40" spans="2:43" x14ac:dyDescent="0.2">
      <c r="B40" s="3" t="s">
        <v>34</v>
      </c>
      <c r="C40" s="116">
        <f t="shared" si="101"/>
        <v>0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2:43" ht="12" thickBot="1" x14ac:dyDescent="0.25">
      <c r="B41" s="27" t="s">
        <v>195</v>
      </c>
      <c r="C41" s="117">
        <f t="shared" si="101"/>
        <v>0</v>
      </c>
      <c r="D41" s="117">
        <f>D39-D40</f>
        <v>0</v>
      </c>
      <c r="E41" s="117">
        <f t="shared" ref="E41:AG41" si="102">E39-E40</f>
        <v>0</v>
      </c>
      <c r="F41" s="117">
        <f t="shared" si="102"/>
        <v>0</v>
      </c>
      <c r="G41" s="117">
        <f t="shared" si="102"/>
        <v>0</v>
      </c>
      <c r="H41" s="117">
        <f t="shared" si="102"/>
        <v>0</v>
      </c>
      <c r="I41" s="117">
        <f t="shared" si="102"/>
        <v>0</v>
      </c>
      <c r="J41" s="117">
        <f t="shared" si="102"/>
        <v>0</v>
      </c>
      <c r="K41" s="117">
        <f t="shared" si="102"/>
        <v>0</v>
      </c>
      <c r="L41" s="117">
        <f t="shared" si="102"/>
        <v>0</v>
      </c>
      <c r="M41" s="117">
        <f t="shared" si="102"/>
        <v>0</v>
      </c>
      <c r="N41" s="117">
        <f t="shared" si="102"/>
        <v>0</v>
      </c>
      <c r="O41" s="117">
        <f t="shared" si="102"/>
        <v>0</v>
      </c>
      <c r="P41" s="117">
        <f t="shared" si="102"/>
        <v>0</v>
      </c>
      <c r="Q41" s="117">
        <f t="shared" si="102"/>
        <v>0</v>
      </c>
      <c r="R41" s="117">
        <f t="shared" si="102"/>
        <v>0</v>
      </c>
      <c r="S41" s="117">
        <f t="shared" si="102"/>
        <v>0</v>
      </c>
      <c r="T41" s="117">
        <f t="shared" si="102"/>
        <v>0</v>
      </c>
      <c r="U41" s="117">
        <f t="shared" si="102"/>
        <v>0</v>
      </c>
      <c r="V41" s="117">
        <f t="shared" si="102"/>
        <v>0</v>
      </c>
      <c r="W41" s="117">
        <f t="shared" si="102"/>
        <v>0</v>
      </c>
      <c r="X41" s="117">
        <f t="shared" si="102"/>
        <v>0</v>
      </c>
      <c r="Y41" s="117">
        <f t="shared" si="102"/>
        <v>0</v>
      </c>
      <c r="Z41" s="117">
        <f t="shared" si="102"/>
        <v>0</v>
      </c>
      <c r="AA41" s="117">
        <f t="shared" si="102"/>
        <v>0</v>
      </c>
      <c r="AB41" s="117">
        <f t="shared" si="102"/>
        <v>0</v>
      </c>
      <c r="AC41" s="117">
        <f t="shared" si="102"/>
        <v>0</v>
      </c>
      <c r="AD41" s="117">
        <f t="shared" si="102"/>
        <v>0</v>
      </c>
      <c r="AE41" s="117">
        <f t="shared" si="102"/>
        <v>0</v>
      </c>
      <c r="AF41" s="117">
        <f t="shared" si="102"/>
        <v>0</v>
      </c>
      <c r="AG41" s="117">
        <f t="shared" si="102"/>
        <v>0</v>
      </c>
      <c r="AH41" s="117">
        <f t="shared" ref="AH41:AN41" si="103">AH39-AH40</f>
        <v>0</v>
      </c>
      <c r="AI41" s="117">
        <f t="shared" si="103"/>
        <v>0</v>
      </c>
      <c r="AJ41" s="117">
        <f t="shared" si="103"/>
        <v>0</v>
      </c>
      <c r="AK41" s="117">
        <f t="shared" si="103"/>
        <v>0</v>
      </c>
      <c r="AL41" s="117">
        <f t="shared" si="103"/>
        <v>0</v>
      </c>
      <c r="AM41" s="117">
        <f t="shared" si="103"/>
        <v>0</v>
      </c>
      <c r="AN41" s="117">
        <f t="shared" si="103"/>
        <v>0</v>
      </c>
      <c r="AO41" s="117">
        <f t="shared" ref="AO41:AQ41" si="104">AO39-AO40</f>
        <v>0</v>
      </c>
      <c r="AP41" s="117">
        <f t="shared" si="104"/>
        <v>0</v>
      </c>
      <c r="AQ41" s="117">
        <f t="shared" si="104"/>
        <v>0</v>
      </c>
    </row>
    <row r="42" spans="2:43" ht="12" thickTop="1" x14ac:dyDescent="0.2">
      <c r="B42" s="29" t="s">
        <v>147</v>
      </c>
      <c r="C42" s="118">
        <f t="shared" si="101"/>
        <v>0</v>
      </c>
      <c r="D42" s="118">
        <f>D41*Parametre!$C$54</f>
        <v>0</v>
      </c>
      <c r="E42" s="118">
        <f>E41*Parametre!$C$54</f>
        <v>0</v>
      </c>
      <c r="F42" s="118">
        <f>F41*Parametre!$C$54</f>
        <v>0</v>
      </c>
      <c r="G42" s="118">
        <f>G41*Parametre!$C$54</f>
        <v>0</v>
      </c>
      <c r="H42" s="118">
        <f>H41*Parametre!$C$54</f>
        <v>0</v>
      </c>
      <c r="I42" s="118">
        <f>I41*Parametre!$C$54</f>
        <v>0</v>
      </c>
      <c r="J42" s="118">
        <f>J41*Parametre!$C$54</f>
        <v>0</v>
      </c>
      <c r="K42" s="118">
        <f>K41*Parametre!$C$54</f>
        <v>0</v>
      </c>
      <c r="L42" s="118">
        <f>L41*Parametre!$C$54</f>
        <v>0</v>
      </c>
      <c r="M42" s="118">
        <f>M41*Parametre!$C$54</f>
        <v>0</v>
      </c>
      <c r="N42" s="118">
        <f>N41*Parametre!$C$54</f>
        <v>0</v>
      </c>
      <c r="O42" s="118">
        <f>O41*Parametre!$C$54</f>
        <v>0</v>
      </c>
      <c r="P42" s="118">
        <f>P41*Parametre!$C$54</f>
        <v>0</v>
      </c>
      <c r="Q42" s="118">
        <f>Q41*Parametre!$C$54</f>
        <v>0</v>
      </c>
      <c r="R42" s="118">
        <f>R41*Parametre!$C$54</f>
        <v>0</v>
      </c>
      <c r="S42" s="118">
        <f>S41*Parametre!$C$54</f>
        <v>0</v>
      </c>
      <c r="T42" s="118">
        <f>T41*Parametre!$C$54</f>
        <v>0</v>
      </c>
      <c r="U42" s="118">
        <f>U41*Parametre!$C$54</f>
        <v>0</v>
      </c>
      <c r="V42" s="118">
        <f>V41*Parametre!$C$54</f>
        <v>0</v>
      </c>
      <c r="W42" s="118">
        <f>W41*Parametre!$C$54</f>
        <v>0</v>
      </c>
      <c r="X42" s="118">
        <f>X41*Parametre!$C$54</f>
        <v>0</v>
      </c>
      <c r="Y42" s="118">
        <f>Y41*Parametre!$C$54</f>
        <v>0</v>
      </c>
      <c r="Z42" s="118">
        <f>Z41*Parametre!$C$54</f>
        <v>0</v>
      </c>
      <c r="AA42" s="118">
        <f>AA41*Parametre!$C$54</f>
        <v>0</v>
      </c>
      <c r="AB42" s="118">
        <f>AB41*Parametre!$C$54</f>
        <v>0</v>
      </c>
      <c r="AC42" s="118">
        <f>AC41*Parametre!$C$54</f>
        <v>0</v>
      </c>
      <c r="AD42" s="118">
        <f>AD41*Parametre!$C$54</f>
        <v>0</v>
      </c>
      <c r="AE42" s="118">
        <f>AE41*Parametre!$C$54</f>
        <v>0</v>
      </c>
      <c r="AF42" s="118">
        <f>AF41*Parametre!$C$54</f>
        <v>0</v>
      </c>
      <c r="AG42" s="118">
        <f>AG41*Parametre!$C$54</f>
        <v>0</v>
      </c>
      <c r="AH42" s="118">
        <f>AH41*Parametre!$C$54</f>
        <v>0</v>
      </c>
      <c r="AI42" s="118">
        <f>AI41*Parametre!$C$54</f>
        <v>0</v>
      </c>
      <c r="AJ42" s="118">
        <f>AJ41*Parametre!$C$54</f>
        <v>0</v>
      </c>
      <c r="AK42" s="118">
        <f>AK41*Parametre!$C$54</f>
        <v>0</v>
      </c>
      <c r="AL42" s="118">
        <f>AL41*Parametre!$C$54</f>
        <v>0</v>
      </c>
      <c r="AM42" s="118">
        <f>AM41*Parametre!$C$54</f>
        <v>0</v>
      </c>
      <c r="AN42" s="118">
        <f>AN41*Parametre!$C$54</f>
        <v>0</v>
      </c>
      <c r="AO42" s="118">
        <f>AO41*Parametre!$C$54</f>
        <v>0</v>
      </c>
      <c r="AP42" s="118">
        <f>AP41*Parametre!$C$54</f>
        <v>0</v>
      </c>
      <c r="AQ42" s="118">
        <f>AQ41*Parametre!$C$54</f>
        <v>0</v>
      </c>
    </row>
    <row r="43" spans="2:43" x14ac:dyDescent="0.2">
      <c r="B43" s="3" t="s">
        <v>103</v>
      </c>
      <c r="C43" s="116">
        <f t="shared" si="101"/>
        <v>0</v>
      </c>
      <c r="D43" s="116">
        <f>D41*Parametre!$D$54</f>
        <v>0</v>
      </c>
      <c r="E43" s="116">
        <f>E41*Parametre!$D$54</f>
        <v>0</v>
      </c>
      <c r="F43" s="116">
        <f>F41*Parametre!$D$54</f>
        <v>0</v>
      </c>
      <c r="G43" s="116">
        <f>G41*Parametre!$D$54</f>
        <v>0</v>
      </c>
      <c r="H43" s="116">
        <f>H41*Parametre!$D$54</f>
        <v>0</v>
      </c>
      <c r="I43" s="116">
        <f>I41*Parametre!$D$54</f>
        <v>0</v>
      </c>
      <c r="J43" s="116">
        <f>J41*Parametre!$D$54</f>
        <v>0</v>
      </c>
      <c r="K43" s="116">
        <f>K41*Parametre!$D$54</f>
        <v>0</v>
      </c>
      <c r="L43" s="116">
        <f>L41*Parametre!$D$54</f>
        <v>0</v>
      </c>
      <c r="M43" s="116">
        <f>M41*Parametre!$D$54</f>
        <v>0</v>
      </c>
      <c r="N43" s="116">
        <f>N41*Parametre!$D$54</f>
        <v>0</v>
      </c>
      <c r="O43" s="116">
        <f>O41*Parametre!$D$54</f>
        <v>0</v>
      </c>
      <c r="P43" s="116">
        <f>P41*Parametre!$D$54</f>
        <v>0</v>
      </c>
      <c r="Q43" s="116">
        <f>Q41*Parametre!$D$54</f>
        <v>0</v>
      </c>
      <c r="R43" s="116">
        <f>R41*Parametre!$D$54</f>
        <v>0</v>
      </c>
      <c r="S43" s="116">
        <f>S41*Parametre!$D$54</f>
        <v>0</v>
      </c>
      <c r="T43" s="116">
        <f>T41*Parametre!$D$54</f>
        <v>0</v>
      </c>
      <c r="U43" s="116">
        <f>U41*Parametre!$D$54</f>
        <v>0</v>
      </c>
      <c r="V43" s="116">
        <f>V41*Parametre!$D$54</f>
        <v>0</v>
      </c>
      <c r="W43" s="116">
        <f>W41*Parametre!$D$54</f>
        <v>0</v>
      </c>
      <c r="X43" s="116">
        <f>X41*Parametre!$D$54</f>
        <v>0</v>
      </c>
      <c r="Y43" s="116">
        <f>Y41*Parametre!$D$54</f>
        <v>0</v>
      </c>
      <c r="Z43" s="116">
        <f>Z41*Parametre!$D$54</f>
        <v>0</v>
      </c>
      <c r="AA43" s="116">
        <f>AA41*Parametre!$D$54</f>
        <v>0</v>
      </c>
      <c r="AB43" s="116">
        <f>AB41*Parametre!$D$54</f>
        <v>0</v>
      </c>
      <c r="AC43" s="116">
        <f>AC41*Parametre!$D$54</f>
        <v>0</v>
      </c>
      <c r="AD43" s="116">
        <f>AD41*Parametre!$D$54</f>
        <v>0</v>
      </c>
      <c r="AE43" s="116">
        <f>AE41*Parametre!$D$54</f>
        <v>0</v>
      </c>
      <c r="AF43" s="116">
        <f>AF41*Parametre!$D$54</f>
        <v>0</v>
      </c>
      <c r="AG43" s="116">
        <f>AG41*Parametre!$D$54</f>
        <v>0</v>
      </c>
      <c r="AH43" s="116">
        <f>AH41*Parametre!$D$54</f>
        <v>0</v>
      </c>
      <c r="AI43" s="116">
        <f>AI41*Parametre!$D$54</f>
        <v>0</v>
      </c>
      <c r="AJ43" s="116">
        <f>AJ41*Parametre!$D$54</f>
        <v>0</v>
      </c>
      <c r="AK43" s="116">
        <f>AK41*Parametre!$D$54</f>
        <v>0</v>
      </c>
      <c r="AL43" s="116">
        <f>AL41*Parametre!$D$54</f>
        <v>0</v>
      </c>
      <c r="AM43" s="116">
        <f>AM41*Parametre!$D$54</f>
        <v>0</v>
      </c>
      <c r="AN43" s="116">
        <f>AN41*Parametre!$D$54</f>
        <v>0</v>
      </c>
      <c r="AO43" s="116">
        <f>AO41*Parametre!$D$54</f>
        <v>0</v>
      </c>
      <c r="AP43" s="116">
        <f>AP41*Parametre!$D$54</f>
        <v>0</v>
      </c>
      <c r="AQ43" s="116">
        <f>AQ41*Parametre!$D$54</f>
        <v>0</v>
      </c>
    </row>
    <row r="44" spans="2:43" x14ac:dyDescent="0.2">
      <c r="B44" s="3" t="s">
        <v>104</v>
      </c>
      <c r="C44" s="116">
        <f t="shared" si="101"/>
        <v>0</v>
      </c>
      <c r="D44" s="116">
        <f>D41*Parametre!$E$54</f>
        <v>0</v>
      </c>
      <c r="E44" s="116">
        <f>E41*Parametre!$E$54</f>
        <v>0</v>
      </c>
      <c r="F44" s="116">
        <f>F41*Parametre!$E$54</f>
        <v>0</v>
      </c>
      <c r="G44" s="116">
        <f>G41*Parametre!$E$54</f>
        <v>0</v>
      </c>
      <c r="H44" s="116">
        <f>H41*Parametre!$E$54</f>
        <v>0</v>
      </c>
      <c r="I44" s="116">
        <f>I41*Parametre!$E$54</f>
        <v>0</v>
      </c>
      <c r="J44" s="116">
        <f>J41*Parametre!$E$54</f>
        <v>0</v>
      </c>
      <c r="K44" s="116">
        <f>K41*Parametre!$E$54</f>
        <v>0</v>
      </c>
      <c r="L44" s="116">
        <f>L41*Parametre!$E$54</f>
        <v>0</v>
      </c>
      <c r="M44" s="116">
        <f>M41*Parametre!$E$54</f>
        <v>0</v>
      </c>
      <c r="N44" s="116">
        <f>N41*Parametre!$E$54</f>
        <v>0</v>
      </c>
      <c r="O44" s="116">
        <f>O41*Parametre!$E$54</f>
        <v>0</v>
      </c>
      <c r="P44" s="116">
        <f>P41*Parametre!$E$54</f>
        <v>0</v>
      </c>
      <c r="Q44" s="116">
        <f>Q41*Parametre!$E$54</f>
        <v>0</v>
      </c>
      <c r="R44" s="116">
        <f>R41*Parametre!$E$54</f>
        <v>0</v>
      </c>
      <c r="S44" s="116">
        <f>S41*Parametre!$E$54</f>
        <v>0</v>
      </c>
      <c r="T44" s="116">
        <f>T41*Parametre!$E$54</f>
        <v>0</v>
      </c>
      <c r="U44" s="116">
        <f>U41*Parametre!$E$54</f>
        <v>0</v>
      </c>
      <c r="V44" s="116">
        <f>V41*Parametre!$E$54</f>
        <v>0</v>
      </c>
      <c r="W44" s="116">
        <f>W41*Parametre!$E$54</f>
        <v>0</v>
      </c>
      <c r="X44" s="116">
        <f>X41*Parametre!$E$54</f>
        <v>0</v>
      </c>
      <c r="Y44" s="116">
        <f>Y41*Parametre!$E$54</f>
        <v>0</v>
      </c>
      <c r="Z44" s="116">
        <f>Z41*Parametre!$E$54</f>
        <v>0</v>
      </c>
      <c r="AA44" s="116">
        <f>AA41*Parametre!$E$54</f>
        <v>0</v>
      </c>
      <c r="AB44" s="116">
        <f>AB41*Parametre!$E$54</f>
        <v>0</v>
      </c>
      <c r="AC44" s="116">
        <f>AC41*Parametre!$E$54</f>
        <v>0</v>
      </c>
      <c r="AD44" s="116">
        <f>AD41*Parametre!$E$54</f>
        <v>0</v>
      </c>
      <c r="AE44" s="116">
        <f>AE41*Parametre!$E$54</f>
        <v>0</v>
      </c>
      <c r="AF44" s="116">
        <f>AF41*Parametre!$E$54</f>
        <v>0</v>
      </c>
      <c r="AG44" s="116">
        <f>AG41*Parametre!$E$54</f>
        <v>0</v>
      </c>
      <c r="AH44" s="116">
        <f>AH41*Parametre!$E$54</f>
        <v>0</v>
      </c>
      <c r="AI44" s="116">
        <f>AI41*Parametre!$E$54</f>
        <v>0</v>
      </c>
      <c r="AJ44" s="116">
        <f>AJ41*Parametre!$E$54</f>
        <v>0</v>
      </c>
      <c r="AK44" s="116">
        <f>AK41*Parametre!$E$54</f>
        <v>0</v>
      </c>
      <c r="AL44" s="116">
        <f>AL41*Parametre!$E$54</f>
        <v>0</v>
      </c>
      <c r="AM44" s="116">
        <f>AM41*Parametre!$E$54</f>
        <v>0</v>
      </c>
      <c r="AN44" s="116">
        <f>AN41*Parametre!$E$54</f>
        <v>0</v>
      </c>
      <c r="AO44" s="116">
        <f>AO41*Parametre!$E$54</f>
        <v>0</v>
      </c>
      <c r="AP44" s="116">
        <f>AP41*Parametre!$E$54</f>
        <v>0</v>
      </c>
      <c r="AQ44" s="116">
        <f>AQ41*Parametre!$E$54</f>
        <v>0</v>
      </c>
    </row>
    <row r="46" spans="2:43" x14ac:dyDescent="0.2">
      <c r="B46" s="15" t="s">
        <v>196</v>
      </c>
    </row>
    <row r="47" spans="2:43" x14ac:dyDescent="0.2">
      <c r="B47" s="8" t="s">
        <v>147</v>
      </c>
      <c r="C47" s="116">
        <f t="shared" ref="C47:C50" si="105">SUM(D47:AQ47)</f>
        <v>0</v>
      </c>
      <c r="D47" s="116">
        <f>D42*Parametre!C92</f>
        <v>0</v>
      </c>
      <c r="E47" s="116">
        <f>E42*Parametre!D92</f>
        <v>0</v>
      </c>
      <c r="F47" s="116">
        <f>F42*Parametre!E92</f>
        <v>0</v>
      </c>
      <c r="G47" s="116">
        <f>G42*Parametre!F92</f>
        <v>0</v>
      </c>
      <c r="H47" s="116">
        <f>H42*Parametre!G92</f>
        <v>0</v>
      </c>
      <c r="I47" s="116">
        <f>I42*Parametre!H92</f>
        <v>0</v>
      </c>
      <c r="J47" s="116">
        <f>J42*Parametre!I92</f>
        <v>0</v>
      </c>
      <c r="K47" s="116">
        <f>K42*Parametre!J92</f>
        <v>0</v>
      </c>
      <c r="L47" s="116">
        <f>L42*Parametre!K92</f>
        <v>0</v>
      </c>
      <c r="M47" s="116">
        <f>M42*Parametre!L92</f>
        <v>0</v>
      </c>
      <c r="N47" s="116">
        <f>N42*Parametre!M92</f>
        <v>0</v>
      </c>
      <c r="O47" s="116">
        <f>O42*Parametre!N92</f>
        <v>0</v>
      </c>
      <c r="P47" s="116">
        <f>P42*Parametre!O92</f>
        <v>0</v>
      </c>
      <c r="Q47" s="116">
        <f>Q42*Parametre!P92</f>
        <v>0</v>
      </c>
      <c r="R47" s="116">
        <f>R42*Parametre!Q92</f>
        <v>0</v>
      </c>
      <c r="S47" s="116">
        <f>S42*Parametre!R92</f>
        <v>0</v>
      </c>
      <c r="T47" s="116">
        <f>T42*Parametre!S92</f>
        <v>0</v>
      </c>
      <c r="U47" s="116">
        <f>U42*Parametre!T92</f>
        <v>0</v>
      </c>
      <c r="V47" s="116">
        <f>V42*Parametre!U92</f>
        <v>0</v>
      </c>
      <c r="W47" s="116">
        <f>W42*Parametre!V92</f>
        <v>0</v>
      </c>
      <c r="X47" s="116">
        <f>X42*Parametre!W92</f>
        <v>0</v>
      </c>
      <c r="Y47" s="116">
        <f>Y42*Parametre!X92</f>
        <v>0</v>
      </c>
      <c r="Z47" s="116">
        <f>Z42*Parametre!Y92</f>
        <v>0</v>
      </c>
      <c r="AA47" s="116">
        <f>AA42*Parametre!Z92</f>
        <v>0</v>
      </c>
      <c r="AB47" s="116">
        <f>AB42*Parametre!AA92</f>
        <v>0</v>
      </c>
      <c r="AC47" s="116">
        <f>AC42*Parametre!AB92</f>
        <v>0</v>
      </c>
      <c r="AD47" s="116">
        <f>AD42*Parametre!AC92</f>
        <v>0</v>
      </c>
      <c r="AE47" s="116">
        <f>AE42*Parametre!AD92</f>
        <v>0</v>
      </c>
      <c r="AF47" s="116">
        <f>AF42*Parametre!AE92</f>
        <v>0</v>
      </c>
      <c r="AG47" s="116">
        <f>AG42*Parametre!AF92</f>
        <v>0</v>
      </c>
      <c r="AH47" s="116">
        <f>AH42*Parametre!AG92</f>
        <v>0</v>
      </c>
      <c r="AI47" s="116">
        <f>AI42*Parametre!AH92</f>
        <v>0</v>
      </c>
      <c r="AJ47" s="116">
        <f>AJ42*Parametre!AI92</f>
        <v>0</v>
      </c>
      <c r="AK47" s="116">
        <f>AK42*Parametre!AJ92</f>
        <v>0</v>
      </c>
      <c r="AL47" s="116">
        <f>AL42*Parametre!AK92</f>
        <v>0</v>
      </c>
      <c r="AM47" s="116">
        <f>AM42*Parametre!AL92</f>
        <v>0</v>
      </c>
      <c r="AN47" s="116">
        <f>AN42*Parametre!AM92</f>
        <v>0</v>
      </c>
      <c r="AO47" s="116">
        <f>AO42*Parametre!AN92</f>
        <v>0</v>
      </c>
      <c r="AP47" s="116">
        <f>AP42*Parametre!AO92</f>
        <v>0</v>
      </c>
      <c r="AQ47" s="116">
        <f>AQ42*Parametre!AP92</f>
        <v>0</v>
      </c>
    </row>
    <row r="48" spans="2:43" x14ac:dyDescent="0.2">
      <c r="B48" s="8" t="s">
        <v>103</v>
      </c>
      <c r="C48" s="116">
        <f t="shared" si="105"/>
        <v>0</v>
      </c>
      <c r="D48" s="116">
        <f>D43*Parametre!C93</f>
        <v>0</v>
      </c>
      <c r="E48" s="116">
        <f>E43*Parametre!D93</f>
        <v>0</v>
      </c>
      <c r="F48" s="116">
        <f>F43*Parametre!E93</f>
        <v>0</v>
      </c>
      <c r="G48" s="116">
        <f>G43*Parametre!F93</f>
        <v>0</v>
      </c>
      <c r="H48" s="116">
        <f>H43*Parametre!G93</f>
        <v>0</v>
      </c>
      <c r="I48" s="116">
        <f>I43*Parametre!H93</f>
        <v>0</v>
      </c>
      <c r="J48" s="116">
        <f>J43*Parametre!I93</f>
        <v>0</v>
      </c>
      <c r="K48" s="116">
        <f>K43*Parametre!J93</f>
        <v>0</v>
      </c>
      <c r="L48" s="116">
        <f>L43*Parametre!K93</f>
        <v>0</v>
      </c>
      <c r="M48" s="116">
        <f>M43*Parametre!L93</f>
        <v>0</v>
      </c>
      <c r="N48" s="116">
        <f>N43*Parametre!M93</f>
        <v>0</v>
      </c>
      <c r="O48" s="116">
        <f>O43*Parametre!N93</f>
        <v>0</v>
      </c>
      <c r="P48" s="116">
        <f>P43*Parametre!O93</f>
        <v>0</v>
      </c>
      <c r="Q48" s="116">
        <f>Q43*Parametre!P93</f>
        <v>0</v>
      </c>
      <c r="R48" s="116">
        <f>R43*Parametre!Q93</f>
        <v>0</v>
      </c>
      <c r="S48" s="116">
        <f>S43*Parametre!R93</f>
        <v>0</v>
      </c>
      <c r="T48" s="116">
        <f>T43*Parametre!S93</f>
        <v>0</v>
      </c>
      <c r="U48" s="116">
        <f>U43*Parametre!T93</f>
        <v>0</v>
      </c>
      <c r="V48" s="116">
        <f>V43*Parametre!U93</f>
        <v>0</v>
      </c>
      <c r="W48" s="116">
        <f>W43*Parametre!V93</f>
        <v>0</v>
      </c>
      <c r="X48" s="116">
        <f>X43*Parametre!W93</f>
        <v>0</v>
      </c>
      <c r="Y48" s="116">
        <f>Y43*Parametre!X93</f>
        <v>0</v>
      </c>
      <c r="Z48" s="116">
        <f>Z43*Parametre!Y93</f>
        <v>0</v>
      </c>
      <c r="AA48" s="116">
        <f>AA43*Parametre!Z93</f>
        <v>0</v>
      </c>
      <c r="AB48" s="116">
        <f>AB43*Parametre!AA93</f>
        <v>0</v>
      </c>
      <c r="AC48" s="116">
        <f>AC43*Parametre!AB93</f>
        <v>0</v>
      </c>
      <c r="AD48" s="116">
        <f>AD43*Parametre!AC93</f>
        <v>0</v>
      </c>
      <c r="AE48" s="116">
        <f>AE43*Parametre!AD93</f>
        <v>0</v>
      </c>
      <c r="AF48" s="116">
        <f>AF43*Parametre!AE93</f>
        <v>0</v>
      </c>
      <c r="AG48" s="116">
        <f>AG43*Parametre!AF93</f>
        <v>0</v>
      </c>
      <c r="AH48" s="116">
        <f>AH43*Parametre!AG93</f>
        <v>0</v>
      </c>
      <c r="AI48" s="116">
        <f>AI43*Parametre!AH93</f>
        <v>0</v>
      </c>
      <c r="AJ48" s="116">
        <f>AJ43*Parametre!AI93</f>
        <v>0</v>
      </c>
      <c r="AK48" s="116">
        <f>AK43*Parametre!AJ93</f>
        <v>0</v>
      </c>
      <c r="AL48" s="116">
        <f>AL43*Parametre!AK93</f>
        <v>0</v>
      </c>
      <c r="AM48" s="116">
        <f>AM43*Parametre!AL93</f>
        <v>0</v>
      </c>
      <c r="AN48" s="116">
        <f>AN43*Parametre!AM93</f>
        <v>0</v>
      </c>
      <c r="AO48" s="116">
        <f>AO43*Parametre!AN93</f>
        <v>0</v>
      </c>
      <c r="AP48" s="116">
        <f>AP43*Parametre!AO93</f>
        <v>0</v>
      </c>
      <c r="AQ48" s="116">
        <f>AQ43*Parametre!AP93</f>
        <v>0</v>
      </c>
    </row>
    <row r="49" spans="2:43" x14ac:dyDescent="0.2">
      <c r="B49" s="8" t="s">
        <v>104</v>
      </c>
      <c r="C49" s="119">
        <f t="shared" si="105"/>
        <v>0</v>
      </c>
      <c r="D49" s="116">
        <f>D44*Parametre!C94</f>
        <v>0</v>
      </c>
      <c r="E49" s="116">
        <f>E44*Parametre!D94</f>
        <v>0</v>
      </c>
      <c r="F49" s="116">
        <f>F44*Parametre!E94</f>
        <v>0</v>
      </c>
      <c r="G49" s="116">
        <f>G44*Parametre!F94</f>
        <v>0</v>
      </c>
      <c r="H49" s="116">
        <f>H44*Parametre!G94</f>
        <v>0</v>
      </c>
      <c r="I49" s="116">
        <f>I44*Parametre!H94</f>
        <v>0</v>
      </c>
      <c r="J49" s="116">
        <f>J44*Parametre!I94</f>
        <v>0</v>
      </c>
      <c r="K49" s="116">
        <f>K44*Parametre!J94</f>
        <v>0</v>
      </c>
      <c r="L49" s="116">
        <f>L44*Parametre!K94</f>
        <v>0</v>
      </c>
      <c r="M49" s="116">
        <f>M44*Parametre!L94</f>
        <v>0</v>
      </c>
      <c r="N49" s="116">
        <f>N44*Parametre!M94</f>
        <v>0</v>
      </c>
      <c r="O49" s="116">
        <f>O44*Parametre!N94</f>
        <v>0</v>
      </c>
      <c r="P49" s="116">
        <f>P44*Parametre!O94</f>
        <v>0</v>
      </c>
      <c r="Q49" s="116">
        <f>Q44*Parametre!P94</f>
        <v>0</v>
      </c>
      <c r="R49" s="116">
        <f>R44*Parametre!Q94</f>
        <v>0</v>
      </c>
      <c r="S49" s="116">
        <f>S44*Parametre!R94</f>
        <v>0</v>
      </c>
      <c r="T49" s="116">
        <f>T44*Parametre!S94</f>
        <v>0</v>
      </c>
      <c r="U49" s="116">
        <f>U44*Parametre!T94</f>
        <v>0</v>
      </c>
      <c r="V49" s="116">
        <f>V44*Parametre!U94</f>
        <v>0</v>
      </c>
      <c r="W49" s="116">
        <f>W44*Parametre!V94</f>
        <v>0</v>
      </c>
      <c r="X49" s="116">
        <f>X44*Parametre!W94</f>
        <v>0</v>
      </c>
      <c r="Y49" s="116">
        <f>Y44*Parametre!X94</f>
        <v>0</v>
      </c>
      <c r="Z49" s="116">
        <f>Z44*Parametre!Y94</f>
        <v>0</v>
      </c>
      <c r="AA49" s="116">
        <f>AA44*Parametre!Z94</f>
        <v>0</v>
      </c>
      <c r="AB49" s="116">
        <f>AB44*Parametre!AA94</f>
        <v>0</v>
      </c>
      <c r="AC49" s="116">
        <f>AC44*Parametre!AB94</f>
        <v>0</v>
      </c>
      <c r="AD49" s="116">
        <f>AD44*Parametre!AC94</f>
        <v>0</v>
      </c>
      <c r="AE49" s="116">
        <f>AE44*Parametre!AD94</f>
        <v>0</v>
      </c>
      <c r="AF49" s="116">
        <f>AF44*Parametre!AE94</f>
        <v>0</v>
      </c>
      <c r="AG49" s="116">
        <f>AG44*Parametre!AF94</f>
        <v>0</v>
      </c>
      <c r="AH49" s="116">
        <f>AH44*Parametre!AG94</f>
        <v>0</v>
      </c>
      <c r="AI49" s="116">
        <f>AI44*Parametre!AH94</f>
        <v>0</v>
      </c>
      <c r="AJ49" s="116">
        <f>AJ44*Parametre!AI94</f>
        <v>0</v>
      </c>
      <c r="AK49" s="116">
        <f>AK44*Parametre!AJ94</f>
        <v>0</v>
      </c>
      <c r="AL49" s="116">
        <f>AL44*Parametre!AK94</f>
        <v>0</v>
      </c>
      <c r="AM49" s="116">
        <f>AM44*Parametre!AL94</f>
        <v>0</v>
      </c>
      <c r="AN49" s="116">
        <f>AN44*Parametre!AM94</f>
        <v>0</v>
      </c>
      <c r="AO49" s="116">
        <f>AO44*Parametre!AN94</f>
        <v>0</v>
      </c>
      <c r="AP49" s="116">
        <f>AP44*Parametre!AO94</f>
        <v>0</v>
      </c>
      <c r="AQ49" s="116">
        <f>AQ44*Parametre!AP94</f>
        <v>0</v>
      </c>
    </row>
    <row r="50" spans="2:43" x14ac:dyDescent="0.2">
      <c r="B50" s="226" t="s">
        <v>283</v>
      </c>
      <c r="C50" s="227">
        <f t="shared" si="105"/>
        <v>0</v>
      </c>
      <c r="D50" s="228">
        <f>SUM(D47:D49)</f>
        <v>0</v>
      </c>
      <c r="E50" s="227">
        <f t="shared" ref="E50:AG50" si="106">SUM(E47:E49)</f>
        <v>0</v>
      </c>
      <c r="F50" s="227">
        <f t="shared" si="106"/>
        <v>0</v>
      </c>
      <c r="G50" s="227">
        <f t="shared" si="106"/>
        <v>0</v>
      </c>
      <c r="H50" s="227">
        <f t="shared" si="106"/>
        <v>0</v>
      </c>
      <c r="I50" s="227">
        <f t="shared" si="106"/>
        <v>0</v>
      </c>
      <c r="J50" s="227">
        <f t="shared" si="106"/>
        <v>0</v>
      </c>
      <c r="K50" s="227">
        <f t="shared" si="106"/>
        <v>0</v>
      </c>
      <c r="L50" s="227">
        <f t="shared" si="106"/>
        <v>0</v>
      </c>
      <c r="M50" s="227">
        <f t="shared" si="106"/>
        <v>0</v>
      </c>
      <c r="N50" s="227">
        <f t="shared" si="106"/>
        <v>0</v>
      </c>
      <c r="O50" s="227">
        <f t="shared" si="106"/>
        <v>0</v>
      </c>
      <c r="P50" s="227">
        <f t="shared" si="106"/>
        <v>0</v>
      </c>
      <c r="Q50" s="227">
        <f t="shared" si="106"/>
        <v>0</v>
      </c>
      <c r="R50" s="227">
        <f t="shared" si="106"/>
        <v>0</v>
      </c>
      <c r="S50" s="227">
        <f t="shared" si="106"/>
        <v>0</v>
      </c>
      <c r="T50" s="227">
        <f t="shared" si="106"/>
        <v>0</v>
      </c>
      <c r="U50" s="227">
        <f t="shared" si="106"/>
        <v>0</v>
      </c>
      <c r="V50" s="227">
        <f t="shared" si="106"/>
        <v>0</v>
      </c>
      <c r="W50" s="227">
        <f t="shared" si="106"/>
        <v>0</v>
      </c>
      <c r="X50" s="227">
        <f t="shared" si="106"/>
        <v>0</v>
      </c>
      <c r="Y50" s="227">
        <f t="shared" si="106"/>
        <v>0</v>
      </c>
      <c r="Z50" s="227">
        <f t="shared" si="106"/>
        <v>0</v>
      </c>
      <c r="AA50" s="227">
        <f t="shared" si="106"/>
        <v>0</v>
      </c>
      <c r="AB50" s="227">
        <f t="shared" si="106"/>
        <v>0</v>
      </c>
      <c r="AC50" s="227">
        <f t="shared" si="106"/>
        <v>0</v>
      </c>
      <c r="AD50" s="227">
        <f t="shared" si="106"/>
        <v>0</v>
      </c>
      <c r="AE50" s="227">
        <f t="shared" si="106"/>
        <v>0</v>
      </c>
      <c r="AF50" s="227">
        <f t="shared" si="106"/>
        <v>0</v>
      </c>
      <c r="AG50" s="227">
        <f t="shared" si="106"/>
        <v>0</v>
      </c>
      <c r="AH50" s="227">
        <f t="shared" ref="AH50:AN50" si="107">SUM(AH47:AH49)</f>
        <v>0</v>
      </c>
      <c r="AI50" s="227">
        <f t="shared" si="107"/>
        <v>0</v>
      </c>
      <c r="AJ50" s="227">
        <f t="shared" si="107"/>
        <v>0</v>
      </c>
      <c r="AK50" s="227">
        <f t="shared" si="107"/>
        <v>0</v>
      </c>
      <c r="AL50" s="227">
        <f t="shared" si="107"/>
        <v>0</v>
      </c>
      <c r="AM50" s="227">
        <f t="shared" si="107"/>
        <v>0</v>
      </c>
      <c r="AN50" s="227">
        <f t="shared" si="107"/>
        <v>0</v>
      </c>
      <c r="AO50" s="227">
        <f t="shared" ref="AO50:AQ50" si="108">SUM(AO47:AO49)</f>
        <v>0</v>
      </c>
      <c r="AP50" s="227">
        <f t="shared" si="108"/>
        <v>0</v>
      </c>
      <c r="AQ50" s="227">
        <f t="shared" si="108"/>
        <v>0</v>
      </c>
    </row>
  </sheetData>
  <phoneticPr fontId="4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17F3-5034-40E7-8461-82131334C5C7}">
  <sheetPr>
    <tabColor rgb="FFCCFF99"/>
  </sheetPr>
  <dimension ref="B2:AQ91"/>
  <sheetViews>
    <sheetView showWhiteSpace="0" zoomScale="90" zoomScaleNormal="90" workbookViewId="0"/>
  </sheetViews>
  <sheetFormatPr defaultColWidth="9.140625" defaultRowHeight="11.25" x14ac:dyDescent="0.2"/>
  <cols>
    <col min="1" max="1" width="2.85546875" style="231" customWidth="1"/>
    <col min="2" max="2" width="54.42578125" style="231" customWidth="1"/>
    <col min="3" max="3" width="9.140625" style="231" bestFit="1" customWidth="1"/>
    <col min="4" max="6" width="5.5703125" style="231" bestFit="1" customWidth="1"/>
    <col min="7" max="8" width="6.85546875" style="231" bestFit="1" customWidth="1"/>
    <col min="9" max="43" width="7.5703125" style="231" bestFit="1" customWidth="1"/>
    <col min="44" max="16384" width="9.140625" style="231"/>
  </cols>
  <sheetData>
    <row r="2" spans="2:43" x14ac:dyDescent="0.2">
      <c r="B2" s="230"/>
      <c r="C2" s="230"/>
      <c r="D2" s="230" t="s">
        <v>10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</row>
    <row r="3" spans="2:43" x14ac:dyDescent="0.2">
      <c r="B3" s="232" t="s">
        <v>432</v>
      </c>
      <c r="C3" s="232"/>
      <c r="D3" s="237">
        <v>1</v>
      </c>
      <c r="E3" s="237">
        <v>2</v>
      </c>
      <c r="F3" s="237">
        <v>3</v>
      </c>
      <c r="G3" s="237">
        <v>4</v>
      </c>
      <c r="H3" s="237">
        <v>5</v>
      </c>
      <c r="I3" s="237">
        <v>6</v>
      </c>
      <c r="J3" s="237">
        <v>7</v>
      </c>
      <c r="K3" s="237">
        <v>8</v>
      </c>
      <c r="L3" s="237">
        <v>9</v>
      </c>
      <c r="M3" s="237">
        <v>10</v>
      </c>
      <c r="N3" s="237">
        <v>11</v>
      </c>
      <c r="O3" s="237">
        <v>12</v>
      </c>
      <c r="P3" s="237">
        <v>13</v>
      </c>
      <c r="Q3" s="237">
        <v>14</v>
      </c>
      <c r="R3" s="237">
        <v>15</v>
      </c>
      <c r="S3" s="237">
        <v>16</v>
      </c>
      <c r="T3" s="237">
        <v>17</v>
      </c>
      <c r="U3" s="237">
        <v>18</v>
      </c>
      <c r="V3" s="237">
        <v>19</v>
      </c>
      <c r="W3" s="237">
        <v>20</v>
      </c>
      <c r="X3" s="237">
        <v>21</v>
      </c>
      <c r="Y3" s="237">
        <v>22</v>
      </c>
      <c r="Z3" s="237">
        <v>23</v>
      </c>
      <c r="AA3" s="237">
        <v>24</v>
      </c>
      <c r="AB3" s="237">
        <v>25</v>
      </c>
      <c r="AC3" s="237">
        <v>26</v>
      </c>
      <c r="AD3" s="237">
        <v>27</v>
      </c>
      <c r="AE3" s="237">
        <v>28</v>
      </c>
      <c r="AF3" s="237">
        <v>29</v>
      </c>
      <c r="AG3" s="237">
        <v>30</v>
      </c>
      <c r="AH3" s="237">
        <v>31</v>
      </c>
      <c r="AI3" s="237">
        <v>32</v>
      </c>
      <c r="AJ3" s="237">
        <v>33</v>
      </c>
      <c r="AK3" s="237">
        <v>34</v>
      </c>
      <c r="AL3" s="237">
        <v>35</v>
      </c>
      <c r="AM3" s="237">
        <v>36</v>
      </c>
      <c r="AN3" s="237">
        <v>37</v>
      </c>
      <c r="AO3" s="237">
        <v>38</v>
      </c>
      <c r="AP3" s="237">
        <v>39</v>
      </c>
      <c r="AQ3" s="237">
        <v>40</v>
      </c>
    </row>
    <row r="4" spans="2:43" x14ac:dyDescent="0.2">
      <c r="B4" s="233" t="s">
        <v>33</v>
      </c>
      <c r="C4" s="234" t="s">
        <v>9</v>
      </c>
      <c r="D4" s="238">
        <v>2026</v>
      </c>
      <c r="E4" s="238">
        <f>$D$4+D3</f>
        <v>2027</v>
      </c>
      <c r="F4" s="238">
        <f>$D$4+E3</f>
        <v>2028</v>
      </c>
      <c r="G4" s="238">
        <f t="shared" ref="G4:AN4" si="0">$D$4+F3</f>
        <v>2029</v>
      </c>
      <c r="H4" s="238">
        <f t="shared" si="0"/>
        <v>2030</v>
      </c>
      <c r="I4" s="238">
        <f t="shared" si="0"/>
        <v>2031</v>
      </c>
      <c r="J4" s="238">
        <f t="shared" si="0"/>
        <v>2032</v>
      </c>
      <c r="K4" s="238">
        <f t="shared" si="0"/>
        <v>2033</v>
      </c>
      <c r="L4" s="238">
        <f t="shared" si="0"/>
        <v>2034</v>
      </c>
      <c r="M4" s="238">
        <f t="shared" si="0"/>
        <v>2035</v>
      </c>
      <c r="N4" s="238">
        <f t="shared" si="0"/>
        <v>2036</v>
      </c>
      <c r="O4" s="238">
        <f t="shared" si="0"/>
        <v>2037</v>
      </c>
      <c r="P4" s="238">
        <f t="shared" si="0"/>
        <v>2038</v>
      </c>
      <c r="Q4" s="238">
        <f t="shared" si="0"/>
        <v>2039</v>
      </c>
      <c r="R4" s="238">
        <f t="shared" si="0"/>
        <v>2040</v>
      </c>
      <c r="S4" s="238">
        <f t="shared" si="0"/>
        <v>2041</v>
      </c>
      <c r="T4" s="238">
        <f t="shared" si="0"/>
        <v>2042</v>
      </c>
      <c r="U4" s="238">
        <f t="shared" si="0"/>
        <v>2043</v>
      </c>
      <c r="V4" s="238">
        <f t="shared" si="0"/>
        <v>2044</v>
      </c>
      <c r="W4" s="238">
        <f t="shared" si="0"/>
        <v>2045</v>
      </c>
      <c r="X4" s="238">
        <f t="shared" si="0"/>
        <v>2046</v>
      </c>
      <c r="Y4" s="238">
        <f t="shared" si="0"/>
        <v>2047</v>
      </c>
      <c r="Z4" s="238">
        <f t="shared" si="0"/>
        <v>2048</v>
      </c>
      <c r="AA4" s="238">
        <f t="shared" si="0"/>
        <v>2049</v>
      </c>
      <c r="AB4" s="238">
        <f t="shared" si="0"/>
        <v>2050</v>
      </c>
      <c r="AC4" s="238">
        <f t="shared" si="0"/>
        <v>2051</v>
      </c>
      <c r="AD4" s="238">
        <f t="shared" si="0"/>
        <v>2052</v>
      </c>
      <c r="AE4" s="238">
        <f t="shared" si="0"/>
        <v>2053</v>
      </c>
      <c r="AF4" s="238">
        <f t="shared" si="0"/>
        <v>2054</v>
      </c>
      <c r="AG4" s="238">
        <f t="shared" si="0"/>
        <v>2055</v>
      </c>
      <c r="AH4" s="238">
        <f t="shared" si="0"/>
        <v>2056</v>
      </c>
      <c r="AI4" s="238">
        <f t="shared" si="0"/>
        <v>2057</v>
      </c>
      <c r="AJ4" s="238">
        <f t="shared" si="0"/>
        <v>2058</v>
      </c>
      <c r="AK4" s="238">
        <f t="shared" si="0"/>
        <v>2059</v>
      </c>
      <c r="AL4" s="238">
        <f t="shared" si="0"/>
        <v>2060</v>
      </c>
      <c r="AM4" s="238">
        <f t="shared" si="0"/>
        <v>2061</v>
      </c>
      <c r="AN4" s="238">
        <f t="shared" si="0"/>
        <v>2062</v>
      </c>
      <c r="AO4" s="238">
        <f t="shared" ref="AO4" si="1">$D$4+AN3</f>
        <v>2063</v>
      </c>
      <c r="AP4" s="238">
        <f t="shared" ref="AP4" si="2">$D$4+AO3</f>
        <v>2064</v>
      </c>
      <c r="AQ4" s="238">
        <f t="shared" ref="AQ4" si="3">$D$4+AP3</f>
        <v>2065</v>
      </c>
    </row>
    <row r="5" spans="2:43" x14ac:dyDescent="0.2">
      <c r="B5" s="230" t="s">
        <v>390</v>
      </c>
      <c r="C5" s="235">
        <f>SUM(D5:AQ5)</f>
        <v>1054569.9999812024</v>
      </c>
      <c r="D5" s="236">
        <f>'08_A Spotr. PHM_E(cesty)NOV200'!D7</f>
        <v>0</v>
      </c>
      <c r="E5" s="236">
        <f>'08_A Spotr. PHM_E(cesty)NOV200'!E7</f>
        <v>0</v>
      </c>
      <c r="F5" s="236">
        <f>'08_A Spotr. PHM_E(cesty)NOV200'!F7</f>
        <v>0</v>
      </c>
      <c r="G5" s="236">
        <f>'08_A Spotr. PHM_E(cesty)NOV200'!G7</f>
        <v>24377.995405170564</v>
      </c>
      <c r="H5" s="236">
        <f>'08_A Spotr. PHM_E(cesty)NOV200'!H7</f>
        <v>46030.26467365749</v>
      </c>
      <c r="I5" s="236">
        <f>'08_A Spotr. PHM_E(cesty)NOV200'!I7</f>
        <v>53817.328637637678</v>
      </c>
      <c r="J5" s="236">
        <f>'08_A Spotr. PHM_E(cesty)NOV200'!J7</f>
        <v>53209.30981822504</v>
      </c>
      <c r="K5" s="236">
        <f>'08_A Spotr. PHM_E(cesty)NOV200'!K7</f>
        <v>52321.188182440506</v>
      </c>
      <c r="L5" s="236">
        <f>'08_A Spotr. PHM_E(cesty)NOV200'!L7</f>
        <v>51223.147370687439</v>
      </c>
      <c r="M5" s="236">
        <f>'08_A Spotr. PHM_E(cesty)NOV200'!M7</f>
        <v>49610.935119639209</v>
      </c>
      <c r="N5" s="236">
        <f>'08_A Spotr. PHM_E(cesty)NOV200'!N7</f>
        <v>48397.87166557274</v>
      </c>
      <c r="O5" s="236">
        <f>'08_A Spotr. PHM_E(cesty)NOV200'!O7</f>
        <v>47149.376264260769</v>
      </c>
      <c r="P5" s="236">
        <f>'08_A Spotr. PHM_E(cesty)NOV200'!P7</f>
        <v>45877.342848254746</v>
      </c>
      <c r="Q5" s="236">
        <f>'08_A Spotr. PHM_E(cesty)NOV200'!Q7</f>
        <v>44568.819428998439</v>
      </c>
      <c r="R5" s="236">
        <f>'08_A Spotr. PHM_E(cesty)NOV200'!R7</f>
        <v>43235.935548348942</v>
      </c>
      <c r="S5" s="236">
        <f>'08_A Spotr. PHM_E(cesty)NOV200'!S7</f>
        <v>41368.063800668431</v>
      </c>
      <c r="T5" s="236">
        <f>'08_A Spotr. PHM_E(cesty)NOV200'!T7</f>
        <v>39513.862772139066</v>
      </c>
      <c r="U5" s="236">
        <f>'08_A Spotr. PHM_E(cesty)NOV200'!U7</f>
        <v>37660.553643917825</v>
      </c>
      <c r="V5" s="236">
        <f>'08_A Spotr. PHM_E(cesty)NOV200'!V7</f>
        <v>35820.846409446072</v>
      </c>
      <c r="W5" s="236">
        <f>'08_A Spotr. PHM_E(cesty)NOV200'!W7</f>
        <v>33982.01334243529</v>
      </c>
      <c r="X5" s="236">
        <f>'08_A Spotr. PHM_E(cesty)NOV200'!X7</f>
        <v>32156.713675530737</v>
      </c>
      <c r="Y5" s="236">
        <f>'08_A Spotr. PHM_E(cesty)NOV200'!Y7</f>
        <v>30332.270570719062</v>
      </c>
      <c r="Z5" s="236">
        <f>'08_A Spotr. PHM_E(cesty)NOV200'!Z7</f>
        <v>28521.292702576251</v>
      </c>
      <c r="AA5" s="236">
        <f>'08_A Spotr. PHM_E(cesty)NOV200'!AA7</f>
        <v>26711.153917901625</v>
      </c>
      <c r="AB5" s="236">
        <f>'08_A Spotr. PHM_E(cesty)NOV200'!AB7</f>
        <v>24914.412535119147</v>
      </c>
      <c r="AC5" s="236">
        <f>'08_A Spotr. PHM_E(cesty)NOV200'!AC7</f>
        <v>23124.751273252135</v>
      </c>
      <c r="AD5" s="236">
        <f>'08_A Spotr. PHM_E(cesty)NOV200'!AD7</f>
        <v>21335.903125502144</v>
      </c>
      <c r="AE5" s="236">
        <f>'08_A Spotr. PHM_E(cesty)NOV200'!AE7</f>
        <v>19560.351252871798</v>
      </c>
      <c r="AF5" s="236">
        <f>'08_A Spotr. PHM_E(cesty)NOV200'!AF7</f>
        <v>17785.595329348809</v>
      </c>
      <c r="AG5" s="236">
        <f>'08_A Spotr. PHM_E(cesty)NOV200'!AG7</f>
        <v>16024.068661056021</v>
      </c>
      <c r="AH5" s="236">
        <f>'08_A Spotr. PHM_E(cesty)NOV200'!AH7</f>
        <v>14263.320901059844</v>
      </c>
      <c r="AI5" s="236">
        <f>'08_A Spotr. PHM_E(cesty)NOV200'!AI7</f>
        <v>12515.735699712268</v>
      </c>
      <c r="AJ5" s="236">
        <f>'08_A Spotr. PHM_E(cesty)NOV200'!AJ7</f>
        <v>10768.912489330984</v>
      </c>
      <c r="AK5" s="236">
        <f>'08_A Spotr. PHM_E(cesty)NOV200'!AK7</f>
        <v>9035.1854628108103</v>
      </c>
      <c r="AL5" s="236">
        <f>'08_A Spotr. PHM_E(cesty)NOV200'!AL7</f>
        <v>7302.2036326922953</v>
      </c>
      <c r="AM5" s="236">
        <f>'08_A Spotr. PHM_E(cesty)NOV200'!AM7</f>
        <v>5582.2519319347539</v>
      </c>
      <c r="AN5" s="236">
        <f>'08_A Spotr. PHM_E(cesty)NOV200'!AN7</f>
        <v>3863.0287550689368</v>
      </c>
      <c r="AO5" s="236">
        <f>'08_A Spotr. PHM_E(cesty)NOV200'!AO7</f>
        <v>2156.7699718514336</v>
      </c>
      <c r="AP5" s="236">
        <f>'08_A Spotr. PHM_E(cesty)NOV200'!AP7</f>
        <v>451.22316136309155</v>
      </c>
      <c r="AQ5" s="236">
        <f>'08_A Spotr. PHM_E(cesty)NOV200'!AQ7</f>
        <v>0</v>
      </c>
    </row>
    <row r="6" spans="2:43" x14ac:dyDescent="0.2">
      <c r="B6" s="230" t="s">
        <v>391</v>
      </c>
      <c r="C6" s="235">
        <f t="shared" ref="C6:C8" si="4">SUM(D6:AQ6)</f>
        <v>729152.1126630595</v>
      </c>
      <c r="D6" s="236">
        <f>'08_A Spotr. PHM_E(cesty)NOV200'!D13</f>
        <v>0</v>
      </c>
      <c r="E6" s="236">
        <f>'08_A Spotr. PHM_E(cesty)NOV200'!E13</f>
        <v>0</v>
      </c>
      <c r="F6" s="236">
        <f>'08_A Spotr. PHM_E(cesty)NOV200'!F13</f>
        <v>0</v>
      </c>
      <c r="G6" s="236">
        <f>'08_A Spotr. PHM_E(cesty)NOV200'!G13</f>
        <v>16855.464172589123</v>
      </c>
      <c r="H6" s="236">
        <f>'08_A Spotr. PHM_E(cesty)NOV200'!H13</f>
        <v>31826.303359507099</v>
      </c>
      <c r="I6" s="236">
        <f>'08_A Spotr. PHM_E(cesty)NOV200'!I13</f>
        <v>37210.444896702109</v>
      </c>
      <c r="J6" s="236">
        <f>'08_A Spotr. PHM_E(cesty)NOV200'!J13</f>
        <v>36790.047761640868</v>
      </c>
      <c r="K6" s="236">
        <f>'08_A Spotr. PHM_E(cesty)NOV200'!K13</f>
        <v>36175.981585810332</v>
      </c>
      <c r="L6" s="236">
        <f>'08_A Spotr. PHM_E(cesty)NOV200'!L13</f>
        <v>35416.772829924732</v>
      </c>
      <c r="M6" s="236">
        <f>'08_A Spotr. PHM_E(cesty)NOV200'!M13</f>
        <v>34302.055012298551</v>
      </c>
      <c r="N6" s="236">
        <f>'08_A Spotr. PHM_E(cesty)NOV200'!N13</f>
        <v>33463.317156734032</v>
      </c>
      <c r="O6" s="236">
        <f>'08_A Spotr. PHM_E(cesty)NOV200'!O13</f>
        <v>32600.080899744964</v>
      </c>
      <c r="P6" s="236">
        <f>'08_A Spotr. PHM_E(cesty)NOV200'!P13</f>
        <v>31720.569959100598</v>
      </c>
      <c r="Q6" s="236">
        <f>'08_A Spotr. PHM_E(cesty)NOV200'!Q13</f>
        <v>30815.829054621197</v>
      </c>
      <c r="R6" s="236">
        <f>'08_A Spotr. PHM_E(cesty)NOV200'!R13</f>
        <v>29894.24480935778</v>
      </c>
      <c r="S6" s="236">
        <f>'08_A Spotr. PHM_E(cesty)NOV200'!S13</f>
        <v>28602.758581768183</v>
      </c>
      <c r="T6" s="236">
        <f>'08_A Spotr. PHM_E(cesty)NOV200'!T13</f>
        <v>27320.724579968115</v>
      </c>
      <c r="U6" s="236">
        <f>'08_A Spotr. PHM_E(cesty)NOV200'!U13</f>
        <v>26039.30725699824</v>
      </c>
      <c r="V6" s="236">
        <f>'08_A Spotr. PHM_E(cesty)NOV200'!V13</f>
        <v>24767.294572472314</v>
      </c>
      <c r="W6" s="236">
        <f>'08_A Spotr. PHM_E(cesty)NOV200'!W13</f>
        <v>23495.886305909164</v>
      </c>
      <c r="X6" s="236">
        <f>'08_A Spotr. PHM_E(cesty)NOV200'!X13</f>
        <v>22233.835319829188</v>
      </c>
      <c r="Y6" s="236">
        <f>'08_A Spotr. PHM_E(cesty)NOV200'!Y13</f>
        <v>20972.376578986292</v>
      </c>
      <c r="Z6" s="236">
        <f>'08_A Spotr. PHM_E(cesty)NOV200'!Z13</f>
        <v>19720.227988977174</v>
      </c>
      <c r="AA6" s="236">
        <f>'08_A Spotr. PHM_E(cesty)NOV200'!AA13</f>
        <v>18468.659559112519</v>
      </c>
      <c r="AB6" s="236">
        <f>'08_A Spotr. PHM_E(cesty)NOV200'!AB13</f>
        <v>17226.354377675212</v>
      </c>
      <c r="AC6" s="236">
        <f>'08_A Spotr. PHM_E(cesty)NOV200'!AC13</f>
        <v>15988.94454232542</v>
      </c>
      <c r="AD6" s="236">
        <f>'08_A Spotr. PHM_E(cesty)NOV200'!AD13</f>
        <v>14752.09691135872</v>
      </c>
      <c r="AE6" s="236">
        <f>'08_A Spotr. PHM_E(cesty)NOV200'!AE13</f>
        <v>13524.442607619427</v>
      </c>
      <c r="AF6" s="236">
        <f>'08_A Spotr. PHM_E(cesty)NOV200'!AF13</f>
        <v>12297.338640010701</v>
      </c>
      <c r="AG6" s="236">
        <f>'08_A Spotr. PHM_E(cesty)NOV200'!AG13</f>
        <v>11079.381660653331</v>
      </c>
      <c r="AH6" s="236">
        <f>'08_A Spotr. PHM_E(cesty)NOV200'!AH13</f>
        <v>9861.9632350477805</v>
      </c>
      <c r="AI6" s="236">
        <f>'08_A Spotr. PHM_E(cesty)NOV200'!AI13</f>
        <v>8653.6456822594428</v>
      </c>
      <c r="AJ6" s="236">
        <f>'08_A Spotr. PHM_E(cesty)NOV200'!AJ13</f>
        <v>7445.8549862211657</v>
      </c>
      <c r="AK6" s="236">
        <f>'08_A Spotr. PHM_E(cesty)NOV200'!AK13</f>
        <v>6247.1192700612519</v>
      </c>
      <c r="AL6" s="236">
        <f>'08_A Spotr. PHM_E(cesty)NOV200'!AL13</f>
        <v>5048.8987985324447</v>
      </c>
      <c r="AM6" s="236">
        <f>'08_A Spotr. PHM_E(cesty)NOV200'!AM13</f>
        <v>3859.6876353966286</v>
      </c>
      <c r="AN6" s="236">
        <f>'08_A Spotr. PHM_E(cesty)NOV200'!AN13</f>
        <v>2670.9801891641814</v>
      </c>
      <c r="AO6" s="236">
        <f>'08_A Spotr. PHM_E(cesty)NOV200'!AO13</f>
        <v>1491.2366002557928</v>
      </c>
      <c r="AP6" s="236">
        <f>'08_A Spotr. PHM_E(cesty)NOV200'!AP13</f>
        <v>311.98528442518494</v>
      </c>
      <c r="AQ6" s="236">
        <f>'08_A Spotr. PHM_E(cesty)NOV200'!AQ13</f>
        <v>0</v>
      </c>
    </row>
    <row r="7" spans="2:43" x14ac:dyDescent="0.2">
      <c r="B7" s="230" t="s">
        <v>392</v>
      </c>
      <c r="C7" s="235">
        <f t="shared" si="4"/>
        <v>4020670.0996634527</v>
      </c>
      <c r="D7" s="236">
        <f>'08_A Spotr. PHM_E(cesty)NOV200'!D19</f>
        <v>0</v>
      </c>
      <c r="E7" s="236">
        <f>'08_A Spotr. PHM_E(cesty)NOV200'!E19</f>
        <v>0</v>
      </c>
      <c r="F7" s="236">
        <f>'08_A Spotr. PHM_E(cesty)NOV200'!F19</f>
        <v>0</v>
      </c>
      <c r="G7" s="236">
        <f>'08_A Spotr. PHM_E(cesty)NOV200'!G19</f>
        <v>4817.5077353792531</v>
      </c>
      <c r="H7" s="236">
        <f>'08_A Spotr. PHM_E(cesty)NOV200'!H19</f>
        <v>10802.852135965473</v>
      </c>
      <c r="I7" s="236">
        <f>'08_A Spotr. PHM_E(cesty)NOV200'!I19</f>
        <v>15798.560227801088</v>
      </c>
      <c r="J7" s="236">
        <f>'08_A Spotr. PHM_E(cesty)NOV200'!J19</f>
        <v>19826.008193873276</v>
      </c>
      <c r="K7" s="236">
        <f>'08_A Spotr. PHM_E(cesty)NOV200'!K19</f>
        <v>24818.811384105029</v>
      </c>
      <c r="L7" s="236">
        <f>'08_A Spotr. PHM_E(cesty)NOV200'!L19</f>
        <v>30540.232342870993</v>
      </c>
      <c r="M7" s="236">
        <f>'08_A Spotr. PHM_E(cesty)NOV200'!M19</f>
        <v>38017.604352201502</v>
      </c>
      <c r="N7" s="236">
        <f>'08_A Spotr. PHM_E(cesty)NOV200'!N19</f>
        <v>44167.825233567368</v>
      </c>
      <c r="O7" s="236">
        <f>'08_A Spotr. PHM_E(cesty)NOV200'!O19</f>
        <v>50458.21188466571</v>
      </c>
      <c r="P7" s="236">
        <f>'08_A Spotr. PHM_E(cesty)NOV200'!P19</f>
        <v>56848.8167425969</v>
      </c>
      <c r="Q7" s="236">
        <f>'08_A Spotr. PHM_E(cesty)NOV200'!Q19</f>
        <v>63383.572347600653</v>
      </c>
      <c r="R7" s="236">
        <f>'08_A Spotr. PHM_E(cesty)NOV200'!R19</f>
        <v>70021.739867216791</v>
      </c>
      <c r="S7" s="236">
        <f>'08_A Spotr. PHM_E(cesty)NOV200'!S19</f>
        <v>75895.574639212035</v>
      </c>
      <c r="T7" s="236">
        <f>'08_A Spotr. PHM_E(cesty)NOV200'!T19</f>
        <v>81724.121976216324</v>
      </c>
      <c r="U7" s="236">
        <f>'08_A Spotr. PHM_E(cesty)NOV200'!U19</f>
        <v>87550.520526499662</v>
      </c>
      <c r="V7" s="236">
        <f>'08_A Spotr. PHM_E(cesty)NOV200'!V19</f>
        <v>93331.860539138215</v>
      </c>
      <c r="W7" s="236">
        <f>'08_A Spotr. PHM_E(cesty)NOV200'!W19</f>
        <v>99111.108184505909</v>
      </c>
      <c r="X7" s="236">
        <f>'08_A Spotr. PHM_E(cesty)NOV200'!X19</f>
        <v>104845.52508337793</v>
      </c>
      <c r="Y7" s="236">
        <f>'08_A Spotr. PHM_E(cesty)NOV200'!Y19</f>
        <v>110577.9056178368</v>
      </c>
      <c r="Z7" s="236">
        <f>'08_A Spotr. PHM_E(cesty)NOV200'!Z19</f>
        <v>116265.68209593766</v>
      </c>
      <c r="AA7" s="236">
        <f>'08_A Spotr. PHM_E(cesty)NOV200'!AA19</f>
        <v>121951.47779831926</v>
      </c>
      <c r="AB7" s="236">
        <f>'08_A Spotr. PHM_E(cesty)NOV200'!AB19</f>
        <v>127592.89503863094</v>
      </c>
      <c r="AC7" s="236">
        <f>'08_A Spotr. PHM_E(cesty)NOV200'!AC19</f>
        <v>133211.25880407018</v>
      </c>
      <c r="AD7" s="236">
        <f>'08_A Spotr. PHM_E(cesty)NOV200'!AD19</f>
        <v>138827.72436321428</v>
      </c>
      <c r="AE7" s="236">
        <f>'08_A Spotr. PHM_E(cesty)NOV200'!AE19</f>
        <v>144400.14776598051</v>
      </c>
      <c r="AF7" s="236">
        <f>'08_A Spotr. PHM_E(cesty)NOV200'!AF19</f>
        <v>149970.72752644605</v>
      </c>
      <c r="AG7" s="236">
        <f>'08_A Spotr. PHM_E(cesty)NOV200'!AG19</f>
        <v>155497.48800779527</v>
      </c>
      <c r="AH7" s="236">
        <f>'08_A Spotr. PHM_E(cesty)NOV200'!AH19</f>
        <v>161022.45900507347</v>
      </c>
      <c r="AI7" s="236">
        <f>'08_A Spotr. PHM_E(cesty)NOV200'!AI19</f>
        <v>166503.83252252749</v>
      </c>
      <c r="AJ7" s="236">
        <f>'08_A Spotr. PHM_E(cesty)NOV200'!AJ19</f>
        <v>171983.47031074695</v>
      </c>
      <c r="AK7" s="236">
        <f>'08_A Spotr. PHM_E(cesty)NOV200'!AK19</f>
        <v>177419.73134552161</v>
      </c>
      <c r="AL7" s="236">
        <f>'08_A Spotr. PHM_E(cesty)NOV200'!AL19</f>
        <v>182854.31000486374</v>
      </c>
      <c r="AM7" s="236">
        <f>'08_A Spotr. PHM_E(cesty)NOV200'!AM19</f>
        <v>188245.73156926048</v>
      </c>
      <c r="AN7" s="236">
        <f>'08_A Spotr. PHM_E(cesty)NOV200'!AN19</f>
        <v>193635.52371333961</v>
      </c>
      <c r="AO7" s="236">
        <f>'08_A Spotr. PHM_E(cesty)NOV200'!AO19</f>
        <v>198982.37735810241</v>
      </c>
      <c r="AP7" s="236">
        <f>'08_A Spotr. PHM_E(cesty)NOV200'!AP19</f>
        <v>204327.65414130944</v>
      </c>
      <c r="AQ7" s="236">
        <f>'08_A Spotr. PHM_E(cesty)NOV200'!AQ19</f>
        <v>205439.24927768161</v>
      </c>
    </row>
    <row r="8" spans="2:43" x14ac:dyDescent="0.2">
      <c r="B8" s="230" t="s">
        <v>138</v>
      </c>
      <c r="C8" s="235">
        <f t="shared" si="4"/>
        <v>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</row>
    <row r="9" spans="2:43" x14ac:dyDescent="0.2">
      <c r="H9" s="244"/>
      <c r="I9" s="244"/>
      <c r="J9" s="244"/>
      <c r="K9" s="244"/>
    </row>
    <row r="11" spans="2:43" x14ac:dyDescent="0.2">
      <c r="B11" s="230"/>
      <c r="C11" s="230"/>
      <c r="D11" s="230" t="s">
        <v>10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</row>
    <row r="12" spans="2:43" x14ac:dyDescent="0.2">
      <c r="B12" s="232" t="s">
        <v>433</v>
      </c>
      <c r="C12" s="232"/>
      <c r="D12" s="237">
        <v>1</v>
      </c>
      <c r="E12" s="237">
        <v>2</v>
      </c>
      <c r="F12" s="237">
        <v>3</v>
      </c>
      <c r="G12" s="237">
        <v>4</v>
      </c>
      <c r="H12" s="237">
        <v>5</v>
      </c>
      <c r="I12" s="237">
        <v>6</v>
      </c>
      <c r="J12" s="237">
        <v>7</v>
      </c>
      <c r="K12" s="237">
        <v>8</v>
      </c>
      <c r="L12" s="237">
        <v>9</v>
      </c>
      <c r="M12" s="237">
        <v>10</v>
      </c>
      <c r="N12" s="237">
        <v>11</v>
      </c>
      <c r="O12" s="237">
        <v>12</v>
      </c>
      <c r="P12" s="237">
        <v>13</v>
      </c>
      <c r="Q12" s="237">
        <v>14</v>
      </c>
      <c r="R12" s="237">
        <v>15</v>
      </c>
      <c r="S12" s="237">
        <v>16</v>
      </c>
      <c r="T12" s="237">
        <v>17</v>
      </c>
      <c r="U12" s="237">
        <v>18</v>
      </c>
      <c r="V12" s="237">
        <v>19</v>
      </c>
      <c r="W12" s="237">
        <v>20</v>
      </c>
      <c r="X12" s="237">
        <v>21</v>
      </c>
      <c r="Y12" s="237">
        <v>22</v>
      </c>
      <c r="Z12" s="237">
        <v>23</v>
      </c>
      <c r="AA12" s="237">
        <v>24</v>
      </c>
      <c r="AB12" s="237">
        <v>25</v>
      </c>
      <c r="AC12" s="237">
        <v>26</v>
      </c>
      <c r="AD12" s="237">
        <v>27</v>
      </c>
      <c r="AE12" s="237">
        <v>28</v>
      </c>
      <c r="AF12" s="237">
        <v>29</v>
      </c>
      <c r="AG12" s="237">
        <v>30</v>
      </c>
      <c r="AH12" s="237">
        <v>31</v>
      </c>
      <c r="AI12" s="237">
        <v>32</v>
      </c>
      <c r="AJ12" s="237">
        <v>33</v>
      </c>
      <c r="AK12" s="237">
        <v>34</v>
      </c>
      <c r="AL12" s="237">
        <v>35</v>
      </c>
      <c r="AM12" s="237">
        <v>36</v>
      </c>
      <c r="AN12" s="237">
        <v>37</v>
      </c>
      <c r="AO12" s="237">
        <v>38</v>
      </c>
      <c r="AP12" s="237">
        <v>39</v>
      </c>
      <c r="AQ12" s="237">
        <v>40</v>
      </c>
    </row>
    <row r="13" spans="2:43" x14ac:dyDescent="0.2">
      <c r="B13" s="233" t="s">
        <v>34</v>
      </c>
      <c r="C13" s="234" t="s">
        <v>9</v>
      </c>
      <c r="D13" s="238">
        <f t="shared" ref="D13:AN13" si="5">D4</f>
        <v>2026</v>
      </c>
      <c r="E13" s="238">
        <f t="shared" si="5"/>
        <v>2027</v>
      </c>
      <c r="F13" s="238">
        <f t="shared" si="5"/>
        <v>2028</v>
      </c>
      <c r="G13" s="238">
        <f t="shared" si="5"/>
        <v>2029</v>
      </c>
      <c r="H13" s="238">
        <f t="shared" si="5"/>
        <v>2030</v>
      </c>
      <c r="I13" s="238">
        <f t="shared" si="5"/>
        <v>2031</v>
      </c>
      <c r="J13" s="238">
        <f t="shared" si="5"/>
        <v>2032</v>
      </c>
      <c r="K13" s="238">
        <f t="shared" si="5"/>
        <v>2033</v>
      </c>
      <c r="L13" s="238">
        <f t="shared" si="5"/>
        <v>2034</v>
      </c>
      <c r="M13" s="238">
        <f t="shared" si="5"/>
        <v>2035</v>
      </c>
      <c r="N13" s="238">
        <f t="shared" si="5"/>
        <v>2036</v>
      </c>
      <c r="O13" s="238">
        <f t="shared" si="5"/>
        <v>2037</v>
      </c>
      <c r="P13" s="238">
        <f t="shared" si="5"/>
        <v>2038</v>
      </c>
      <c r="Q13" s="238">
        <f t="shared" si="5"/>
        <v>2039</v>
      </c>
      <c r="R13" s="238">
        <f t="shared" si="5"/>
        <v>2040</v>
      </c>
      <c r="S13" s="238">
        <f t="shared" si="5"/>
        <v>2041</v>
      </c>
      <c r="T13" s="238">
        <f t="shared" si="5"/>
        <v>2042</v>
      </c>
      <c r="U13" s="238">
        <f t="shared" si="5"/>
        <v>2043</v>
      </c>
      <c r="V13" s="238">
        <f t="shared" si="5"/>
        <v>2044</v>
      </c>
      <c r="W13" s="238">
        <f t="shared" si="5"/>
        <v>2045</v>
      </c>
      <c r="X13" s="238">
        <f t="shared" si="5"/>
        <v>2046</v>
      </c>
      <c r="Y13" s="238">
        <f t="shared" si="5"/>
        <v>2047</v>
      </c>
      <c r="Z13" s="238">
        <f t="shared" si="5"/>
        <v>2048</v>
      </c>
      <c r="AA13" s="238">
        <f t="shared" si="5"/>
        <v>2049</v>
      </c>
      <c r="AB13" s="238">
        <f t="shared" si="5"/>
        <v>2050</v>
      </c>
      <c r="AC13" s="238">
        <f t="shared" si="5"/>
        <v>2051</v>
      </c>
      <c r="AD13" s="238">
        <f t="shared" si="5"/>
        <v>2052</v>
      </c>
      <c r="AE13" s="238">
        <f t="shared" si="5"/>
        <v>2053</v>
      </c>
      <c r="AF13" s="238">
        <f t="shared" si="5"/>
        <v>2054</v>
      </c>
      <c r="AG13" s="238">
        <f t="shared" si="5"/>
        <v>2055</v>
      </c>
      <c r="AH13" s="238">
        <f t="shared" si="5"/>
        <v>2056</v>
      </c>
      <c r="AI13" s="238">
        <f t="shared" si="5"/>
        <v>2057</v>
      </c>
      <c r="AJ13" s="238">
        <f t="shared" si="5"/>
        <v>2058</v>
      </c>
      <c r="AK13" s="238">
        <f t="shared" si="5"/>
        <v>2059</v>
      </c>
      <c r="AL13" s="238">
        <f t="shared" si="5"/>
        <v>2060</v>
      </c>
      <c r="AM13" s="238">
        <f t="shared" si="5"/>
        <v>2061</v>
      </c>
      <c r="AN13" s="238">
        <f t="shared" si="5"/>
        <v>2062</v>
      </c>
      <c r="AO13" s="238">
        <f t="shared" ref="AO13:AQ13" si="6">AO4</f>
        <v>2063</v>
      </c>
      <c r="AP13" s="238">
        <f t="shared" si="6"/>
        <v>2064</v>
      </c>
      <c r="AQ13" s="238">
        <f t="shared" si="6"/>
        <v>2065</v>
      </c>
    </row>
    <row r="14" spans="2:43" x14ac:dyDescent="0.2">
      <c r="B14" s="230" t="s">
        <v>390</v>
      </c>
      <c r="C14" s="235">
        <f t="shared" ref="C14:C17" si="7">SUM(D14:AQ14)</f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0</v>
      </c>
      <c r="AO14" s="236">
        <v>0</v>
      </c>
      <c r="AP14" s="236">
        <v>0</v>
      </c>
      <c r="AQ14" s="236">
        <v>0</v>
      </c>
    </row>
    <row r="15" spans="2:43" x14ac:dyDescent="0.2">
      <c r="B15" s="230" t="s">
        <v>391</v>
      </c>
      <c r="C15" s="235">
        <f t="shared" si="7"/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  <c r="AO15" s="236">
        <v>0</v>
      </c>
      <c r="AP15" s="236">
        <v>0</v>
      </c>
      <c r="AQ15" s="236">
        <v>0</v>
      </c>
    </row>
    <row r="16" spans="2:43" x14ac:dyDescent="0.2">
      <c r="B16" s="230" t="s">
        <v>392</v>
      </c>
      <c r="C16" s="235">
        <f t="shared" si="7"/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  <c r="AP16" s="236">
        <v>0</v>
      </c>
      <c r="AQ16" s="236">
        <v>0</v>
      </c>
    </row>
    <row r="17" spans="2:43" x14ac:dyDescent="0.2">
      <c r="B17" s="230" t="s">
        <v>138</v>
      </c>
      <c r="C17" s="235">
        <f t="shared" si="7"/>
        <v>0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20" spans="2:43" x14ac:dyDescent="0.2">
      <c r="B20" s="230"/>
      <c r="C20" s="230"/>
      <c r="D20" s="230" t="s">
        <v>10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</row>
    <row r="21" spans="2:43" x14ac:dyDescent="0.2">
      <c r="B21" s="232" t="s">
        <v>434</v>
      </c>
      <c r="C21" s="232"/>
      <c r="D21" s="237">
        <v>1</v>
      </c>
      <c r="E21" s="237">
        <v>2</v>
      </c>
      <c r="F21" s="237">
        <v>3</v>
      </c>
      <c r="G21" s="237">
        <v>4</v>
      </c>
      <c r="H21" s="237">
        <v>5</v>
      </c>
      <c r="I21" s="237">
        <v>6</v>
      </c>
      <c r="J21" s="237">
        <v>7</v>
      </c>
      <c r="K21" s="237">
        <v>8</v>
      </c>
      <c r="L21" s="237">
        <v>9</v>
      </c>
      <c r="M21" s="237">
        <v>10</v>
      </c>
      <c r="N21" s="237">
        <v>11</v>
      </c>
      <c r="O21" s="237">
        <v>12</v>
      </c>
      <c r="P21" s="237">
        <v>13</v>
      </c>
      <c r="Q21" s="237">
        <v>14</v>
      </c>
      <c r="R21" s="237">
        <v>15</v>
      </c>
      <c r="S21" s="237">
        <v>16</v>
      </c>
      <c r="T21" s="237">
        <v>17</v>
      </c>
      <c r="U21" s="237">
        <v>18</v>
      </c>
      <c r="V21" s="237">
        <v>19</v>
      </c>
      <c r="W21" s="237">
        <v>20</v>
      </c>
      <c r="X21" s="237">
        <v>21</v>
      </c>
      <c r="Y21" s="237">
        <v>22</v>
      </c>
      <c r="Z21" s="237">
        <v>23</v>
      </c>
      <c r="AA21" s="237">
        <v>24</v>
      </c>
      <c r="AB21" s="237">
        <v>25</v>
      </c>
      <c r="AC21" s="237">
        <v>26</v>
      </c>
      <c r="AD21" s="237">
        <v>27</v>
      </c>
      <c r="AE21" s="237">
        <v>28</v>
      </c>
      <c r="AF21" s="237">
        <v>29</v>
      </c>
      <c r="AG21" s="237">
        <v>30</v>
      </c>
      <c r="AH21" s="237">
        <v>31</v>
      </c>
      <c r="AI21" s="237">
        <v>32</v>
      </c>
      <c r="AJ21" s="237">
        <v>33</v>
      </c>
      <c r="AK21" s="237">
        <v>34</v>
      </c>
      <c r="AL21" s="237">
        <v>35</v>
      </c>
      <c r="AM21" s="237">
        <v>36</v>
      </c>
      <c r="AN21" s="237">
        <v>37</v>
      </c>
      <c r="AO21" s="237">
        <v>38</v>
      </c>
      <c r="AP21" s="237">
        <v>39</v>
      </c>
      <c r="AQ21" s="237">
        <v>40</v>
      </c>
    </row>
    <row r="22" spans="2:43" x14ac:dyDescent="0.2">
      <c r="B22" s="233" t="s">
        <v>63</v>
      </c>
      <c r="C22" s="234" t="s">
        <v>9</v>
      </c>
      <c r="D22" s="238">
        <f t="shared" ref="D22:AN22" si="8">D4</f>
        <v>2026</v>
      </c>
      <c r="E22" s="238">
        <f t="shared" si="8"/>
        <v>2027</v>
      </c>
      <c r="F22" s="238">
        <f t="shared" si="8"/>
        <v>2028</v>
      </c>
      <c r="G22" s="238">
        <f t="shared" si="8"/>
        <v>2029</v>
      </c>
      <c r="H22" s="238">
        <f t="shared" si="8"/>
        <v>2030</v>
      </c>
      <c r="I22" s="238">
        <f t="shared" si="8"/>
        <v>2031</v>
      </c>
      <c r="J22" s="238">
        <f t="shared" si="8"/>
        <v>2032</v>
      </c>
      <c r="K22" s="238">
        <f t="shared" si="8"/>
        <v>2033</v>
      </c>
      <c r="L22" s="238">
        <f t="shared" si="8"/>
        <v>2034</v>
      </c>
      <c r="M22" s="238">
        <f t="shared" si="8"/>
        <v>2035</v>
      </c>
      <c r="N22" s="238">
        <f t="shared" si="8"/>
        <v>2036</v>
      </c>
      <c r="O22" s="238">
        <f t="shared" si="8"/>
        <v>2037</v>
      </c>
      <c r="P22" s="238">
        <f t="shared" si="8"/>
        <v>2038</v>
      </c>
      <c r="Q22" s="238">
        <f t="shared" si="8"/>
        <v>2039</v>
      </c>
      <c r="R22" s="238">
        <f t="shared" si="8"/>
        <v>2040</v>
      </c>
      <c r="S22" s="238">
        <f t="shared" si="8"/>
        <v>2041</v>
      </c>
      <c r="T22" s="238">
        <f t="shared" si="8"/>
        <v>2042</v>
      </c>
      <c r="U22" s="238">
        <f t="shared" si="8"/>
        <v>2043</v>
      </c>
      <c r="V22" s="238">
        <f t="shared" si="8"/>
        <v>2044</v>
      </c>
      <c r="W22" s="238">
        <f t="shared" si="8"/>
        <v>2045</v>
      </c>
      <c r="X22" s="238">
        <f t="shared" si="8"/>
        <v>2046</v>
      </c>
      <c r="Y22" s="238">
        <f t="shared" si="8"/>
        <v>2047</v>
      </c>
      <c r="Z22" s="238">
        <f t="shared" si="8"/>
        <v>2048</v>
      </c>
      <c r="AA22" s="238">
        <f t="shared" si="8"/>
        <v>2049</v>
      </c>
      <c r="AB22" s="238">
        <f t="shared" si="8"/>
        <v>2050</v>
      </c>
      <c r="AC22" s="238">
        <f t="shared" si="8"/>
        <v>2051</v>
      </c>
      <c r="AD22" s="238">
        <f t="shared" si="8"/>
        <v>2052</v>
      </c>
      <c r="AE22" s="238">
        <f t="shared" si="8"/>
        <v>2053</v>
      </c>
      <c r="AF22" s="238">
        <f t="shared" si="8"/>
        <v>2054</v>
      </c>
      <c r="AG22" s="238">
        <f t="shared" si="8"/>
        <v>2055</v>
      </c>
      <c r="AH22" s="238">
        <f t="shared" si="8"/>
        <v>2056</v>
      </c>
      <c r="AI22" s="238">
        <f t="shared" si="8"/>
        <v>2057</v>
      </c>
      <c r="AJ22" s="238">
        <f t="shared" si="8"/>
        <v>2058</v>
      </c>
      <c r="AK22" s="238">
        <f t="shared" si="8"/>
        <v>2059</v>
      </c>
      <c r="AL22" s="238">
        <f t="shared" si="8"/>
        <v>2060</v>
      </c>
      <c r="AM22" s="238">
        <f t="shared" si="8"/>
        <v>2061</v>
      </c>
      <c r="AN22" s="238">
        <f t="shared" si="8"/>
        <v>2062</v>
      </c>
      <c r="AO22" s="238">
        <f t="shared" ref="AO22:AQ22" si="9">AO4</f>
        <v>2063</v>
      </c>
      <c r="AP22" s="238">
        <f t="shared" si="9"/>
        <v>2064</v>
      </c>
      <c r="AQ22" s="238">
        <f t="shared" si="9"/>
        <v>2065</v>
      </c>
    </row>
    <row r="23" spans="2:43" x14ac:dyDescent="0.2">
      <c r="B23" s="230" t="s">
        <v>390</v>
      </c>
      <c r="C23" s="235">
        <f t="shared" ref="C23:C29" si="10">SUM(D23:AQ23)</f>
        <v>1054569.9999812024</v>
      </c>
      <c r="D23" s="235">
        <f t="shared" ref="D23:AN26" si="11">D5-D14</f>
        <v>0</v>
      </c>
      <c r="E23" s="235">
        <f t="shared" si="11"/>
        <v>0</v>
      </c>
      <c r="F23" s="235">
        <f t="shared" si="11"/>
        <v>0</v>
      </c>
      <c r="G23" s="235">
        <f t="shared" si="11"/>
        <v>24377.995405170564</v>
      </c>
      <c r="H23" s="235">
        <f t="shared" si="11"/>
        <v>46030.26467365749</v>
      </c>
      <c r="I23" s="235">
        <f t="shared" si="11"/>
        <v>53817.328637637678</v>
      </c>
      <c r="J23" s="235">
        <f t="shared" si="11"/>
        <v>53209.30981822504</v>
      </c>
      <c r="K23" s="235">
        <f t="shared" si="11"/>
        <v>52321.188182440506</v>
      </c>
      <c r="L23" s="235">
        <f t="shared" si="11"/>
        <v>51223.147370687439</v>
      </c>
      <c r="M23" s="235">
        <f t="shared" si="11"/>
        <v>49610.935119639209</v>
      </c>
      <c r="N23" s="235">
        <f t="shared" si="11"/>
        <v>48397.87166557274</v>
      </c>
      <c r="O23" s="235">
        <f t="shared" si="11"/>
        <v>47149.376264260769</v>
      </c>
      <c r="P23" s="235">
        <f t="shared" si="11"/>
        <v>45877.342848254746</v>
      </c>
      <c r="Q23" s="235">
        <f t="shared" si="11"/>
        <v>44568.819428998439</v>
      </c>
      <c r="R23" s="235">
        <f t="shared" si="11"/>
        <v>43235.935548348942</v>
      </c>
      <c r="S23" s="235">
        <f t="shared" si="11"/>
        <v>41368.063800668431</v>
      </c>
      <c r="T23" s="235">
        <f t="shared" si="11"/>
        <v>39513.862772139066</v>
      </c>
      <c r="U23" s="235">
        <f t="shared" si="11"/>
        <v>37660.553643917825</v>
      </c>
      <c r="V23" s="235">
        <f t="shared" si="11"/>
        <v>35820.846409446072</v>
      </c>
      <c r="W23" s="235">
        <f t="shared" si="11"/>
        <v>33982.01334243529</v>
      </c>
      <c r="X23" s="235">
        <f t="shared" si="11"/>
        <v>32156.713675530737</v>
      </c>
      <c r="Y23" s="235">
        <f t="shared" si="11"/>
        <v>30332.270570719062</v>
      </c>
      <c r="Z23" s="235">
        <f t="shared" si="11"/>
        <v>28521.292702576251</v>
      </c>
      <c r="AA23" s="235">
        <f t="shared" si="11"/>
        <v>26711.153917901625</v>
      </c>
      <c r="AB23" s="235">
        <f t="shared" si="11"/>
        <v>24914.412535119147</v>
      </c>
      <c r="AC23" s="235">
        <f t="shared" si="11"/>
        <v>23124.751273252135</v>
      </c>
      <c r="AD23" s="235">
        <f t="shared" si="11"/>
        <v>21335.903125502144</v>
      </c>
      <c r="AE23" s="235">
        <f t="shared" si="11"/>
        <v>19560.351252871798</v>
      </c>
      <c r="AF23" s="235">
        <f t="shared" si="11"/>
        <v>17785.595329348809</v>
      </c>
      <c r="AG23" s="235">
        <f t="shared" si="11"/>
        <v>16024.068661056021</v>
      </c>
      <c r="AH23" s="235">
        <f t="shared" si="11"/>
        <v>14263.320901059844</v>
      </c>
      <c r="AI23" s="235">
        <f t="shared" si="11"/>
        <v>12515.735699712268</v>
      </c>
      <c r="AJ23" s="235">
        <f t="shared" si="11"/>
        <v>10768.912489330984</v>
      </c>
      <c r="AK23" s="235">
        <f t="shared" si="11"/>
        <v>9035.1854628108103</v>
      </c>
      <c r="AL23" s="235">
        <f t="shared" si="11"/>
        <v>7302.2036326922953</v>
      </c>
      <c r="AM23" s="235">
        <f t="shared" si="11"/>
        <v>5582.2519319347539</v>
      </c>
      <c r="AN23" s="235">
        <f t="shared" si="11"/>
        <v>3863.0287550689368</v>
      </c>
      <c r="AO23" s="235">
        <f t="shared" ref="AO23:AQ23" si="12">AO5-AO14</f>
        <v>2156.7699718514336</v>
      </c>
      <c r="AP23" s="235">
        <f t="shared" si="12"/>
        <v>451.22316136309155</v>
      </c>
      <c r="AQ23" s="235">
        <f t="shared" si="12"/>
        <v>0</v>
      </c>
    </row>
    <row r="24" spans="2:43" x14ac:dyDescent="0.2">
      <c r="B24" s="230" t="s">
        <v>391</v>
      </c>
      <c r="C24" s="235">
        <f t="shared" si="10"/>
        <v>729152.1126630595</v>
      </c>
      <c r="D24" s="235">
        <f t="shared" si="11"/>
        <v>0</v>
      </c>
      <c r="E24" s="235">
        <f t="shared" si="11"/>
        <v>0</v>
      </c>
      <c r="F24" s="235">
        <f t="shared" si="11"/>
        <v>0</v>
      </c>
      <c r="G24" s="235">
        <f t="shared" si="11"/>
        <v>16855.464172589123</v>
      </c>
      <c r="H24" s="235">
        <f t="shared" si="11"/>
        <v>31826.303359507099</v>
      </c>
      <c r="I24" s="235">
        <f t="shared" si="11"/>
        <v>37210.444896702109</v>
      </c>
      <c r="J24" s="235">
        <f t="shared" si="11"/>
        <v>36790.047761640868</v>
      </c>
      <c r="K24" s="235">
        <f t="shared" si="11"/>
        <v>36175.981585810332</v>
      </c>
      <c r="L24" s="235">
        <f t="shared" si="11"/>
        <v>35416.772829924732</v>
      </c>
      <c r="M24" s="235">
        <f t="shared" si="11"/>
        <v>34302.055012298551</v>
      </c>
      <c r="N24" s="235">
        <f t="shared" si="11"/>
        <v>33463.317156734032</v>
      </c>
      <c r="O24" s="235">
        <f t="shared" si="11"/>
        <v>32600.080899744964</v>
      </c>
      <c r="P24" s="235">
        <f t="shared" si="11"/>
        <v>31720.569959100598</v>
      </c>
      <c r="Q24" s="235">
        <f t="shared" si="11"/>
        <v>30815.829054621197</v>
      </c>
      <c r="R24" s="235">
        <f t="shared" si="11"/>
        <v>29894.24480935778</v>
      </c>
      <c r="S24" s="235">
        <f t="shared" si="11"/>
        <v>28602.758581768183</v>
      </c>
      <c r="T24" s="235">
        <f t="shared" si="11"/>
        <v>27320.724579968115</v>
      </c>
      <c r="U24" s="235">
        <f t="shared" si="11"/>
        <v>26039.30725699824</v>
      </c>
      <c r="V24" s="235">
        <f t="shared" si="11"/>
        <v>24767.294572472314</v>
      </c>
      <c r="W24" s="235">
        <f t="shared" si="11"/>
        <v>23495.886305909164</v>
      </c>
      <c r="X24" s="235">
        <f t="shared" si="11"/>
        <v>22233.835319829188</v>
      </c>
      <c r="Y24" s="235">
        <f t="shared" si="11"/>
        <v>20972.376578986292</v>
      </c>
      <c r="Z24" s="235">
        <f t="shared" si="11"/>
        <v>19720.227988977174</v>
      </c>
      <c r="AA24" s="235">
        <f t="shared" si="11"/>
        <v>18468.659559112519</v>
      </c>
      <c r="AB24" s="235">
        <f t="shared" si="11"/>
        <v>17226.354377675212</v>
      </c>
      <c r="AC24" s="235">
        <f t="shared" si="11"/>
        <v>15988.94454232542</v>
      </c>
      <c r="AD24" s="235">
        <f t="shared" si="11"/>
        <v>14752.09691135872</v>
      </c>
      <c r="AE24" s="235">
        <f t="shared" si="11"/>
        <v>13524.442607619427</v>
      </c>
      <c r="AF24" s="235">
        <f t="shared" si="11"/>
        <v>12297.338640010701</v>
      </c>
      <c r="AG24" s="235">
        <f t="shared" si="11"/>
        <v>11079.381660653331</v>
      </c>
      <c r="AH24" s="235">
        <f t="shared" si="11"/>
        <v>9861.9632350477805</v>
      </c>
      <c r="AI24" s="235">
        <f t="shared" si="11"/>
        <v>8653.6456822594428</v>
      </c>
      <c r="AJ24" s="235">
        <f t="shared" si="11"/>
        <v>7445.8549862211657</v>
      </c>
      <c r="AK24" s="235">
        <f t="shared" si="11"/>
        <v>6247.1192700612519</v>
      </c>
      <c r="AL24" s="235">
        <f t="shared" si="11"/>
        <v>5048.8987985324447</v>
      </c>
      <c r="AM24" s="235">
        <f t="shared" si="11"/>
        <v>3859.6876353966286</v>
      </c>
      <c r="AN24" s="235">
        <f t="shared" si="11"/>
        <v>2670.9801891641814</v>
      </c>
      <c r="AO24" s="235">
        <f t="shared" ref="AO24:AQ24" si="13">AO6-AO15</f>
        <v>1491.2366002557928</v>
      </c>
      <c r="AP24" s="235">
        <f t="shared" si="13"/>
        <v>311.98528442518494</v>
      </c>
      <c r="AQ24" s="235">
        <f t="shared" si="13"/>
        <v>0</v>
      </c>
    </row>
    <row r="25" spans="2:43" x14ac:dyDescent="0.2">
      <c r="B25" s="230" t="s">
        <v>392</v>
      </c>
      <c r="C25" s="235">
        <f t="shared" si="10"/>
        <v>4020670.0996634527</v>
      </c>
      <c r="D25" s="235">
        <f t="shared" si="11"/>
        <v>0</v>
      </c>
      <c r="E25" s="235">
        <f t="shared" si="11"/>
        <v>0</v>
      </c>
      <c r="F25" s="235">
        <f t="shared" si="11"/>
        <v>0</v>
      </c>
      <c r="G25" s="235">
        <f t="shared" si="11"/>
        <v>4817.5077353792531</v>
      </c>
      <c r="H25" s="235">
        <f t="shared" si="11"/>
        <v>10802.852135965473</v>
      </c>
      <c r="I25" s="235">
        <f t="shared" si="11"/>
        <v>15798.560227801088</v>
      </c>
      <c r="J25" s="235">
        <f t="shared" si="11"/>
        <v>19826.008193873276</v>
      </c>
      <c r="K25" s="235">
        <f t="shared" si="11"/>
        <v>24818.811384105029</v>
      </c>
      <c r="L25" s="235">
        <f t="shared" si="11"/>
        <v>30540.232342870993</v>
      </c>
      <c r="M25" s="235">
        <f t="shared" si="11"/>
        <v>38017.604352201502</v>
      </c>
      <c r="N25" s="235">
        <f t="shared" si="11"/>
        <v>44167.825233567368</v>
      </c>
      <c r="O25" s="235">
        <f t="shared" si="11"/>
        <v>50458.21188466571</v>
      </c>
      <c r="P25" s="235">
        <f t="shared" si="11"/>
        <v>56848.8167425969</v>
      </c>
      <c r="Q25" s="235">
        <f t="shared" si="11"/>
        <v>63383.572347600653</v>
      </c>
      <c r="R25" s="235">
        <f t="shared" si="11"/>
        <v>70021.739867216791</v>
      </c>
      <c r="S25" s="235">
        <f t="shared" si="11"/>
        <v>75895.574639212035</v>
      </c>
      <c r="T25" s="235">
        <f t="shared" si="11"/>
        <v>81724.121976216324</v>
      </c>
      <c r="U25" s="235">
        <f t="shared" si="11"/>
        <v>87550.520526499662</v>
      </c>
      <c r="V25" s="235">
        <f t="shared" si="11"/>
        <v>93331.860539138215</v>
      </c>
      <c r="W25" s="235">
        <f t="shared" si="11"/>
        <v>99111.108184505909</v>
      </c>
      <c r="X25" s="235">
        <f t="shared" si="11"/>
        <v>104845.52508337793</v>
      </c>
      <c r="Y25" s="235">
        <f t="shared" si="11"/>
        <v>110577.9056178368</v>
      </c>
      <c r="Z25" s="235">
        <f t="shared" si="11"/>
        <v>116265.68209593766</v>
      </c>
      <c r="AA25" s="235">
        <f t="shared" si="11"/>
        <v>121951.47779831926</v>
      </c>
      <c r="AB25" s="235">
        <f t="shared" si="11"/>
        <v>127592.89503863094</v>
      </c>
      <c r="AC25" s="235">
        <f t="shared" si="11"/>
        <v>133211.25880407018</v>
      </c>
      <c r="AD25" s="235">
        <f t="shared" si="11"/>
        <v>138827.72436321428</v>
      </c>
      <c r="AE25" s="235">
        <f t="shared" si="11"/>
        <v>144400.14776598051</v>
      </c>
      <c r="AF25" s="235">
        <f t="shared" si="11"/>
        <v>149970.72752644605</v>
      </c>
      <c r="AG25" s="235">
        <f t="shared" si="11"/>
        <v>155497.48800779527</v>
      </c>
      <c r="AH25" s="235">
        <f t="shared" si="11"/>
        <v>161022.45900507347</v>
      </c>
      <c r="AI25" s="235">
        <f t="shared" si="11"/>
        <v>166503.83252252749</v>
      </c>
      <c r="AJ25" s="235">
        <f t="shared" si="11"/>
        <v>171983.47031074695</v>
      </c>
      <c r="AK25" s="235">
        <f t="shared" si="11"/>
        <v>177419.73134552161</v>
      </c>
      <c r="AL25" s="235">
        <f t="shared" si="11"/>
        <v>182854.31000486374</v>
      </c>
      <c r="AM25" s="235">
        <f t="shared" si="11"/>
        <v>188245.73156926048</v>
      </c>
      <c r="AN25" s="235">
        <f t="shared" si="11"/>
        <v>193635.52371333961</v>
      </c>
      <c r="AO25" s="235">
        <f t="shared" ref="AO25:AQ25" si="14">AO7-AO16</f>
        <v>198982.37735810241</v>
      </c>
      <c r="AP25" s="235">
        <f t="shared" si="14"/>
        <v>204327.65414130944</v>
      </c>
      <c r="AQ25" s="235">
        <f t="shared" si="14"/>
        <v>205439.24927768161</v>
      </c>
    </row>
    <row r="26" spans="2:43" ht="12" thickBot="1" x14ac:dyDescent="0.25">
      <c r="B26" s="239" t="s">
        <v>138</v>
      </c>
      <c r="C26" s="240">
        <f t="shared" si="10"/>
        <v>0</v>
      </c>
      <c r="D26" s="240">
        <f t="shared" si="11"/>
        <v>0</v>
      </c>
      <c r="E26" s="240">
        <f t="shared" si="11"/>
        <v>0</v>
      </c>
      <c r="F26" s="240">
        <f t="shared" si="11"/>
        <v>0</v>
      </c>
      <c r="G26" s="240">
        <f t="shared" si="11"/>
        <v>0</v>
      </c>
      <c r="H26" s="240">
        <f t="shared" si="11"/>
        <v>0</v>
      </c>
      <c r="I26" s="240">
        <f t="shared" si="11"/>
        <v>0</v>
      </c>
      <c r="J26" s="240">
        <f t="shared" si="11"/>
        <v>0</v>
      </c>
      <c r="K26" s="240">
        <f t="shared" si="11"/>
        <v>0</v>
      </c>
      <c r="L26" s="240">
        <f t="shared" si="11"/>
        <v>0</v>
      </c>
      <c r="M26" s="240">
        <f t="shared" si="11"/>
        <v>0</v>
      </c>
      <c r="N26" s="240">
        <f t="shared" si="11"/>
        <v>0</v>
      </c>
      <c r="O26" s="240">
        <f t="shared" si="11"/>
        <v>0</v>
      </c>
      <c r="P26" s="240">
        <f t="shared" si="11"/>
        <v>0</v>
      </c>
      <c r="Q26" s="240">
        <f t="shared" si="11"/>
        <v>0</v>
      </c>
      <c r="R26" s="240">
        <f t="shared" si="11"/>
        <v>0</v>
      </c>
      <c r="S26" s="240">
        <f t="shared" si="11"/>
        <v>0</v>
      </c>
      <c r="T26" s="240">
        <f t="shared" si="11"/>
        <v>0</v>
      </c>
      <c r="U26" s="240">
        <f t="shared" si="11"/>
        <v>0</v>
      </c>
      <c r="V26" s="240">
        <f t="shared" si="11"/>
        <v>0</v>
      </c>
      <c r="W26" s="240">
        <f t="shared" si="11"/>
        <v>0</v>
      </c>
      <c r="X26" s="240">
        <f t="shared" si="11"/>
        <v>0</v>
      </c>
      <c r="Y26" s="240">
        <f t="shared" si="11"/>
        <v>0</v>
      </c>
      <c r="Z26" s="240">
        <f t="shared" si="11"/>
        <v>0</v>
      </c>
      <c r="AA26" s="240">
        <f t="shared" si="11"/>
        <v>0</v>
      </c>
      <c r="AB26" s="240">
        <f t="shared" si="11"/>
        <v>0</v>
      </c>
      <c r="AC26" s="240">
        <f t="shared" si="11"/>
        <v>0</v>
      </c>
      <c r="AD26" s="240">
        <f t="shared" si="11"/>
        <v>0</v>
      </c>
      <c r="AE26" s="240">
        <f t="shared" si="11"/>
        <v>0</v>
      </c>
      <c r="AF26" s="240">
        <f t="shared" si="11"/>
        <v>0</v>
      </c>
      <c r="AG26" s="240">
        <f t="shared" si="11"/>
        <v>0</v>
      </c>
      <c r="AH26" s="240">
        <f t="shared" si="11"/>
        <v>0</v>
      </c>
      <c r="AI26" s="240">
        <f t="shared" si="11"/>
        <v>0</v>
      </c>
      <c r="AJ26" s="240">
        <f t="shared" si="11"/>
        <v>0</v>
      </c>
      <c r="AK26" s="240">
        <f t="shared" si="11"/>
        <v>0</v>
      </c>
      <c r="AL26" s="240">
        <f t="shared" si="11"/>
        <v>0</v>
      </c>
      <c r="AM26" s="240">
        <f t="shared" si="11"/>
        <v>0</v>
      </c>
      <c r="AN26" s="240">
        <f t="shared" si="11"/>
        <v>0</v>
      </c>
      <c r="AO26" s="240">
        <f t="shared" ref="AO26:AQ26" si="15">AO8-AO17</f>
        <v>0</v>
      </c>
      <c r="AP26" s="240">
        <f t="shared" si="15"/>
        <v>0</v>
      </c>
      <c r="AQ26" s="240">
        <f t="shared" si="15"/>
        <v>0</v>
      </c>
    </row>
    <row r="27" spans="2:43" ht="12" thickTop="1" x14ac:dyDescent="0.2">
      <c r="B27" s="241" t="s">
        <v>393</v>
      </c>
      <c r="C27" s="242">
        <f t="shared" si="10"/>
        <v>1054569.9999812024</v>
      </c>
      <c r="D27" s="243">
        <f t="shared" ref="D27:AN27" si="16">D23</f>
        <v>0</v>
      </c>
      <c r="E27" s="243">
        <f t="shared" si="16"/>
        <v>0</v>
      </c>
      <c r="F27" s="243">
        <f t="shared" si="16"/>
        <v>0</v>
      </c>
      <c r="G27" s="243">
        <f t="shared" si="16"/>
        <v>24377.995405170564</v>
      </c>
      <c r="H27" s="243">
        <f t="shared" si="16"/>
        <v>46030.26467365749</v>
      </c>
      <c r="I27" s="243">
        <f t="shared" si="16"/>
        <v>53817.328637637678</v>
      </c>
      <c r="J27" s="243">
        <f t="shared" si="16"/>
        <v>53209.30981822504</v>
      </c>
      <c r="K27" s="243">
        <f t="shared" si="16"/>
        <v>52321.188182440506</v>
      </c>
      <c r="L27" s="243">
        <f t="shared" si="16"/>
        <v>51223.147370687439</v>
      </c>
      <c r="M27" s="243">
        <f t="shared" si="16"/>
        <v>49610.935119639209</v>
      </c>
      <c r="N27" s="243">
        <f t="shared" si="16"/>
        <v>48397.87166557274</v>
      </c>
      <c r="O27" s="243">
        <f t="shared" si="16"/>
        <v>47149.376264260769</v>
      </c>
      <c r="P27" s="243">
        <f t="shared" si="16"/>
        <v>45877.342848254746</v>
      </c>
      <c r="Q27" s="243">
        <f t="shared" si="16"/>
        <v>44568.819428998439</v>
      </c>
      <c r="R27" s="243">
        <f t="shared" si="16"/>
        <v>43235.935548348942</v>
      </c>
      <c r="S27" s="243">
        <f t="shared" si="16"/>
        <v>41368.063800668431</v>
      </c>
      <c r="T27" s="243">
        <f t="shared" si="16"/>
        <v>39513.862772139066</v>
      </c>
      <c r="U27" s="243">
        <f t="shared" si="16"/>
        <v>37660.553643917825</v>
      </c>
      <c r="V27" s="243">
        <f t="shared" si="16"/>
        <v>35820.846409446072</v>
      </c>
      <c r="W27" s="243">
        <f t="shared" si="16"/>
        <v>33982.01334243529</v>
      </c>
      <c r="X27" s="243">
        <f t="shared" si="16"/>
        <v>32156.713675530737</v>
      </c>
      <c r="Y27" s="243">
        <f t="shared" si="16"/>
        <v>30332.270570719062</v>
      </c>
      <c r="Z27" s="243">
        <f t="shared" si="16"/>
        <v>28521.292702576251</v>
      </c>
      <c r="AA27" s="243">
        <f t="shared" si="16"/>
        <v>26711.153917901625</v>
      </c>
      <c r="AB27" s="243">
        <f t="shared" si="16"/>
        <v>24914.412535119147</v>
      </c>
      <c r="AC27" s="243">
        <f t="shared" si="16"/>
        <v>23124.751273252135</v>
      </c>
      <c r="AD27" s="243">
        <f t="shared" si="16"/>
        <v>21335.903125502144</v>
      </c>
      <c r="AE27" s="243">
        <f t="shared" si="16"/>
        <v>19560.351252871798</v>
      </c>
      <c r="AF27" s="243">
        <f t="shared" si="16"/>
        <v>17785.595329348809</v>
      </c>
      <c r="AG27" s="243">
        <f t="shared" si="16"/>
        <v>16024.068661056021</v>
      </c>
      <c r="AH27" s="243">
        <f t="shared" si="16"/>
        <v>14263.320901059844</v>
      </c>
      <c r="AI27" s="243">
        <f t="shared" si="16"/>
        <v>12515.735699712268</v>
      </c>
      <c r="AJ27" s="243">
        <f t="shared" si="16"/>
        <v>10768.912489330984</v>
      </c>
      <c r="AK27" s="243">
        <f t="shared" si="16"/>
        <v>9035.1854628108103</v>
      </c>
      <c r="AL27" s="243">
        <f t="shared" si="16"/>
        <v>7302.2036326922953</v>
      </c>
      <c r="AM27" s="243">
        <f t="shared" si="16"/>
        <v>5582.2519319347539</v>
      </c>
      <c r="AN27" s="243">
        <f t="shared" si="16"/>
        <v>3863.0287550689368</v>
      </c>
      <c r="AO27" s="243">
        <f t="shared" ref="AO27:AQ27" si="17">AO23</f>
        <v>2156.7699718514336</v>
      </c>
      <c r="AP27" s="243">
        <f t="shared" si="17"/>
        <v>451.22316136309155</v>
      </c>
      <c r="AQ27" s="243">
        <f t="shared" si="17"/>
        <v>0</v>
      </c>
    </row>
    <row r="28" spans="2:43" x14ac:dyDescent="0.2">
      <c r="B28" s="230" t="s">
        <v>394</v>
      </c>
      <c r="C28" s="235">
        <f t="shared" si="10"/>
        <v>729152.1126630595</v>
      </c>
      <c r="D28" s="235">
        <f>D24+D26</f>
        <v>0</v>
      </c>
      <c r="E28" s="235">
        <f t="shared" ref="E28:AN28" si="18">E24+E26</f>
        <v>0</v>
      </c>
      <c r="F28" s="235">
        <f t="shared" si="18"/>
        <v>0</v>
      </c>
      <c r="G28" s="235">
        <f t="shared" si="18"/>
        <v>16855.464172589123</v>
      </c>
      <c r="H28" s="235">
        <f t="shared" si="18"/>
        <v>31826.303359507099</v>
      </c>
      <c r="I28" s="235">
        <f t="shared" si="18"/>
        <v>37210.444896702109</v>
      </c>
      <c r="J28" s="235">
        <f t="shared" si="18"/>
        <v>36790.047761640868</v>
      </c>
      <c r="K28" s="235">
        <f t="shared" si="18"/>
        <v>36175.981585810332</v>
      </c>
      <c r="L28" s="235">
        <f t="shared" si="18"/>
        <v>35416.772829924732</v>
      </c>
      <c r="M28" s="235">
        <f t="shared" si="18"/>
        <v>34302.055012298551</v>
      </c>
      <c r="N28" s="235">
        <f t="shared" si="18"/>
        <v>33463.317156734032</v>
      </c>
      <c r="O28" s="235">
        <f t="shared" si="18"/>
        <v>32600.080899744964</v>
      </c>
      <c r="P28" s="235">
        <f t="shared" si="18"/>
        <v>31720.569959100598</v>
      </c>
      <c r="Q28" s="235">
        <f t="shared" si="18"/>
        <v>30815.829054621197</v>
      </c>
      <c r="R28" s="235">
        <f t="shared" si="18"/>
        <v>29894.24480935778</v>
      </c>
      <c r="S28" s="235">
        <f t="shared" si="18"/>
        <v>28602.758581768183</v>
      </c>
      <c r="T28" s="235">
        <f t="shared" si="18"/>
        <v>27320.724579968115</v>
      </c>
      <c r="U28" s="235">
        <f t="shared" si="18"/>
        <v>26039.30725699824</v>
      </c>
      <c r="V28" s="235">
        <f t="shared" si="18"/>
        <v>24767.294572472314</v>
      </c>
      <c r="W28" s="235">
        <f t="shared" si="18"/>
        <v>23495.886305909164</v>
      </c>
      <c r="X28" s="235">
        <f t="shared" si="18"/>
        <v>22233.835319829188</v>
      </c>
      <c r="Y28" s="235">
        <f t="shared" si="18"/>
        <v>20972.376578986292</v>
      </c>
      <c r="Z28" s="235">
        <f t="shared" si="18"/>
        <v>19720.227988977174</v>
      </c>
      <c r="AA28" s="235">
        <f t="shared" si="18"/>
        <v>18468.659559112519</v>
      </c>
      <c r="AB28" s="235">
        <f t="shared" si="18"/>
        <v>17226.354377675212</v>
      </c>
      <c r="AC28" s="235">
        <f t="shared" si="18"/>
        <v>15988.94454232542</v>
      </c>
      <c r="AD28" s="235">
        <f t="shared" si="18"/>
        <v>14752.09691135872</v>
      </c>
      <c r="AE28" s="235">
        <f t="shared" si="18"/>
        <v>13524.442607619427</v>
      </c>
      <c r="AF28" s="235">
        <f t="shared" si="18"/>
        <v>12297.338640010701</v>
      </c>
      <c r="AG28" s="235">
        <f t="shared" si="18"/>
        <v>11079.381660653331</v>
      </c>
      <c r="AH28" s="235">
        <f t="shared" si="18"/>
        <v>9861.9632350477805</v>
      </c>
      <c r="AI28" s="235">
        <f t="shared" si="18"/>
        <v>8653.6456822594428</v>
      </c>
      <c r="AJ28" s="235">
        <f t="shared" si="18"/>
        <v>7445.8549862211657</v>
      </c>
      <c r="AK28" s="235">
        <f t="shared" si="18"/>
        <v>6247.1192700612519</v>
      </c>
      <c r="AL28" s="235">
        <f t="shared" si="18"/>
        <v>5048.8987985324447</v>
      </c>
      <c r="AM28" s="235">
        <f t="shared" si="18"/>
        <v>3859.6876353966286</v>
      </c>
      <c r="AN28" s="235">
        <f t="shared" si="18"/>
        <v>2670.9801891641814</v>
      </c>
      <c r="AO28" s="235">
        <f t="shared" ref="AO28:AQ28" si="19">AO24+AO26</f>
        <v>1491.2366002557928</v>
      </c>
      <c r="AP28" s="235">
        <f t="shared" si="19"/>
        <v>311.98528442518494</v>
      </c>
      <c r="AQ28" s="235">
        <f t="shared" si="19"/>
        <v>0</v>
      </c>
    </row>
    <row r="29" spans="2:43" x14ac:dyDescent="0.2">
      <c r="B29" s="230" t="s">
        <v>395</v>
      </c>
      <c r="C29" s="235">
        <f t="shared" si="10"/>
        <v>4020670.0996634527</v>
      </c>
      <c r="D29" s="235">
        <f t="shared" ref="D29:AN29" si="20">D25</f>
        <v>0</v>
      </c>
      <c r="E29" s="235">
        <f t="shared" si="20"/>
        <v>0</v>
      </c>
      <c r="F29" s="235">
        <f t="shared" si="20"/>
        <v>0</v>
      </c>
      <c r="G29" s="235">
        <f t="shared" si="20"/>
        <v>4817.5077353792531</v>
      </c>
      <c r="H29" s="235">
        <f t="shared" si="20"/>
        <v>10802.852135965473</v>
      </c>
      <c r="I29" s="235">
        <f t="shared" si="20"/>
        <v>15798.560227801088</v>
      </c>
      <c r="J29" s="235">
        <f t="shared" si="20"/>
        <v>19826.008193873276</v>
      </c>
      <c r="K29" s="235">
        <f t="shared" si="20"/>
        <v>24818.811384105029</v>
      </c>
      <c r="L29" s="235">
        <f t="shared" si="20"/>
        <v>30540.232342870993</v>
      </c>
      <c r="M29" s="235">
        <f t="shared" si="20"/>
        <v>38017.604352201502</v>
      </c>
      <c r="N29" s="235">
        <f t="shared" si="20"/>
        <v>44167.825233567368</v>
      </c>
      <c r="O29" s="235">
        <f t="shared" si="20"/>
        <v>50458.21188466571</v>
      </c>
      <c r="P29" s="235">
        <f t="shared" si="20"/>
        <v>56848.8167425969</v>
      </c>
      <c r="Q29" s="235">
        <f t="shared" si="20"/>
        <v>63383.572347600653</v>
      </c>
      <c r="R29" s="235">
        <f t="shared" si="20"/>
        <v>70021.739867216791</v>
      </c>
      <c r="S29" s="235">
        <f t="shared" si="20"/>
        <v>75895.574639212035</v>
      </c>
      <c r="T29" s="235">
        <f t="shared" si="20"/>
        <v>81724.121976216324</v>
      </c>
      <c r="U29" s="235">
        <f t="shared" si="20"/>
        <v>87550.520526499662</v>
      </c>
      <c r="V29" s="235">
        <f t="shared" si="20"/>
        <v>93331.860539138215</v>
      </c>
      <c r="W29" s="235">
        <f t="shared" si="20"/>
        <v>99111.108184505909</v>
      </c>
      <c r="X29" s="235">
        <f t="shared" si="20"/>
        <v>104845.52508337793</v>
      </c>
      <c r="Y29" s="235">
        <f t="shared" si="20"/>
        <v>110577.9056178368</v>
      </c>
      <c r="Z29" s="235">
        <f t="shared" si="20"/>
        <v>116265.68209593766</v>
      </c>
      <c r="AA29" s="235">
        <f t="shared" si="20"/>
        <v>121951.47779831926</v>
      </c>
      <c r="AB29" s="235">
        <f t="shared" si="20"/>
        <v>127592.89503863094</v>
      </c>
      <c r="AC29" s="235">
        <f t="shared" si="20"/>
        <v>133211.25880407018</v>
      </c>
      <c r="AD29" s="235">
        <f t="shared" si="20"/>
        <v>138827.72436321428</v>
      </c>
      <c r="AE29" s="235">
        <f t="shared" si="20"/>
        <v>144400.14776598051</v>
      </c>
      <c r="AF29" s="235">
        <f t="shared" si="20"/>
        <v>149970.72752644605</v>
      </c>
      <c r="AG29" s="235">
        <f t="shared" si="20"/>
        <v>155497.48800779527</v>
      </c>
      <c r="AH29" s="235">
        <f t="shared" si="20"/>
        <v>161022.45900507347</v>
      </c>
      <c r="AI29" s="235">
        <f t="shared" si="20"/>
        <v>166503.83252252749</v>
      </c>
      <c r="AJ29" s="235">
        <f t="shared" si="20"/>
        <v>171983.47031074695</v>
      </c>
      <c r="AK29" s="235">
        <f t="shared" si="20"/>
        <v>177419.73134552161</v>
      </c>
      <c r="AL29" s="235">
        <f t="shared" si="20"/>
        <v>182854.31000486374</v>
      </c>
      <c r="AM29" s="235">
        <f t="shared" si="20"/>
        <v>188245.73156926048</v>
      </c>
      <c r="AN29" s="235">
        <f t="shared" si="20"/>
        <v>193635.52371333961</v>
      </c>
      <c r="AO29" s="235">
        <f t="shared" ref="AO29:AQ29" si="21">AO25</f>
        <v>198982.37735810241</v>
      </c>
      <c r="AP29" s="235">
        <f t="shared" si="21"/>
        <v>204327.65414130944</v>
      </c>
      <c r="AQ29" s="235">
        <f t="shared" si="21"/>
        <v>205439.24927768161</v>
      </c>
    </row>
    <row r="30" spans="2:43" x14ac:dyDescent="0.2"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</row>
    <row r="32" spans="2:43" x14ac:dyDescent="0.2">
      <c r="B32" s="232" t="s">
        <v>435</v>
      </c>
      <c r="C32" s="249" t="s">
        <v>9</v>
      </c>
    </row>
    <row r="33" spans="2:43" x14ac:dyDescent="0.2">
      <c r="B33" s="245" t="s">
        <v>109</v>
      </c>
      <c r="C33" s="235">
        <f t="shared" ref="C33:C36" si="22">SUM(D33:AQ33)</f>
        <v>635905.70998866518</v>
      </c>
      <c r="D33" s="235">
        <f>D27*[1]Parametre!$C$180</f>
        <v>0</v>
      </c>
      <c r="E33" s="235">
        <f>E27*[1]Parametre!$C$180</f>
        <v>0</v>
      </c>
      <c r="F33" s="235">
        <f>F27*[1]Parametre!$C$180</f>
        <v>0</v>
      </c>
      <c r="G33" s="235">
        <f>G27*[1]Parametre!$C$180</f>
        <v>14699.93122931785</v>
      </c>
      <c r="H33" s="235">
        <f>H27*[1]Parametre!$C$180</f>
        <v>27756.249598215465</v>
      </c>
      <c r="I33" s="235">
        <f>I27*[1]Parametre!$C$180</f>
        <v>32451.849168495519</v>
      </c>
      <c r="J33" s="235">
        <f>J27*[1]Parametre!$C$180</f>
        <v>32085.213820389698</v>
      </c>
      <c r="K33" s="235">
        <f>K27*[1]Parametre!$C$180</f>
        <v>31549.676474011623</v>
      </c>
      <c r="L33" s="235">
        <f>L27*[1]Parametre!$C$180</f>
        <v>30887.557864524526</v>
      </c>
      <c r="M33" s="235">
        <f>M27*[1]Parametre!$C$180</f>
        <v>29915.393877142444</v>
      </c>
      <c r="N33" s="235">
        <f>N27*[1]Parametre!$C$180</f>
        <v>29183.91661434036</v>
      </c>
      <c r="O33" s="235">
        <f>O27*[1]Parametre!$C$180</f>
        <v>28431.073887349241</v>
      </c>
      <c r="P33" s="235">
        <f>P27*[1]Parametre!$C$180</f>
        <v>27664.037737497612</v>
      </c>
      <c r="Q33" s="235">
        <f>Q27*[1]Parametre!$C$180</f>
        <v>26874.998115686056</v>
      </c>
      <c r="R33" s="235">
        <f>R27*[1]Parametre!$C$180</f>
        <v>26071.269135654409</v>
      </c>
      <c r="S33" s="235">
        <f>S27*[1]Parametre!$C$180</f>
        <v>24944.942471803064</v>
      </c>
      <c r="T33" s="235">
        <f>T27*[1]Parametre!$C$180</f>
        <v>23826.859251599857</v>
      </c>
      <c r="U33" s="235">
        <f>U27*[1]Parametre!$C$180</f>
        <v>22709.313847282447</v>
      </c>
      <c r="V33" s="235">
        <f>V27*[1]Parametre!$C$180</f>
        <v>21599.97038489598</v>
      </c>
      <c r="W33" s="235">
        <f>W27*[1]Parametre!$C$180</f>
        <v>20491.154045488478</v>
      </c>
      <c r="X33" s="235">
        <f>X27*[1]Parametre!$C$180</f>
        <v>19390.498346345033</v>
      </c>
      <c r="Y33" s="235">
        <f>Y27*[1]Parametre!$C$180</f>
        <v>18290.359154143593</v>
      </c>
      <c r="Z33" s="235">
        <f>Z27*[1]Parametre!$C$180</f>
        <v>17198.339499653477</v>
      </c>
      <c r="AA33" s="235">
        <f>AA27*[1]Parametre!$C$180</f>
        <v>16106.825812494679</v>
      </c>
      <c r="AB33" s="235">
        <f>AB27*[1]Parametre!$C$180</f>
        <v>15023.390758676846</v>
      </c>
      <c r="AC33" s="235">
        <f>AC27*[1]Parametre!$C$180</f>
        <v>13944.225017771038</v>
      </c>
      <c r="AD33" s="235">
        <f>AD27*[1]Parametre!$C$180</f>
        <v>12865.549584677792</v>
      </c>
      <c r="AE33" s="235">
        <f>AE27*[1]Parametre!$C$180</f>
        <v>11794.891805481693</v>
      </c>
      <c r="AF33" s="235">
        <f>AF27*[1]Parametre!$C$180</f>
        <v>10724.713983597332</v>
      </c>
      <c r="AG33" s="235">
        <f>AG27*[1]Parametre!$C$180</f>
        <v>9662.5134026167798</v>
      </c>
      <c r="AH33" s="235">
        <f>AH27*[1]Parametre!$C$180</f>
        <v>8600.7825033390855</v>
      </c>
      <c r="AI33" s="235">
        <f>AI27*[1]Parametre!$C$180</f>
        <v>7546.9886269264971</v>
      </c>
      <c r="AJ33" s="235">
        <f>AJ27*[1]Parametre!$C$180</f>
        <v>6493.6542310665827</v>
      </c>
      <c r="AK33" s="235">
        <f>AK27*[1]Parametre!$C$180</f>
        <v>5448.2168340749186</v>
      </c>
      <c r="AL33" s="235">
        <f>AL27*[1]Parametre!$C$180</f>
        <v>4403.2287905134535</v>
      </c>
      <c r="AM33" s="235">
        <f>AM27*[1]Parametre!$C$180</f>
        <v>3366.0979149566565</v>
      </c>
      <c r="AN33" s="235">
        <f>AN27*[1]Parametre!$C$180</f>
        <v>2329.406339306569</v>
      </c>
      <c r="AO33" s="235">
        <f>AO27*[1]Parametre!$C$180</f>
        <v>1300.5322930264144</v>
      </c>
      <c r="AP33" s="235">
        <f>AP27*[1]Parametre!$C$180</f>
        <v>272.08756630194421</v>
      </c>
      <c r="AQ33" s="235">
        <f>AQ27*[1]Parametre!$C$180</f>
        <v>0</v>
      </c>
    </row>
    <row r="34" spans="2:43" x14ac:dyDescent="0.2">
      <c r="B34" s="245" t="s">
        <v>110</v>
      </c>
      <c r="C34" s="235">
        <f t="shared" si="22"/>
        <v>476136.3295689777</v>
      </c>
      <c r="D34" s="235">
        <f>D28*[1]Parametre!$C$181</f>
        <v>0</v>
      </c>
      <c r="E34" s="235">
        <f>E28*[1]Parametre!$C$181</f>
        <v>0</v>
      </c>
      <c r="F34" s="235">
        <f>F28*[1]Parametre!$C$181</f>
        <v>0</v>
      </c>
      <c r="G34" s="235">
        <f>G28*[1]Parametre!$C$181</f>
        <v>11006.618104700698</v>
      </c>
      <c r="H34" s="235">
        <f>H28*[1]Parametre!$C$181</f>
        <v>20782.576093758136</v>
      </c>
      <c r="I34" s="235">
        <f>I28*[1]Parametre!$C$181</f>
        <v>24298.420517546478</v>
      </c>
      <c r="J34" s="235">
        <f>J28*[1]Parametre!$C$181</f>
        <v>24023.901188351487</v>
      </c>
      <c r="K34" s="235">
        <f>K28*[1]Parametre!$C$181</f>
        <v>23622.915975534146</v>
      </c>
      <c r="L34" s="235">
        <f>L28*[1]Parametre!$C$181</f>
        <v>23127.152657940849</v>
      </c>
      <c r="M34" s="235">
        <f>M28*[1]Parametre!$C$181</f>
        <v>22399.241923030953</v>
      </c>
      <c r="N34" s="235">
        <f>N28*[1]Parametre!$C$181</f>
        <v>21851.546103347326</v>
      </c>
      <c r="O34" s="235">
        <f>O28*[1]Parametre!$C$181</f>
        <v>21287.852827533461</v>
      </c>
      <c r="P34" s="235">
        <f>P28*[1]Parametre!$C$181</f>
        <v>20713.532183292693</v>
      </c>
      <c r="Q34" s="235">
        <f>Q28*[1]Parametre!$C$181</f>
        <v>20122.736372667641</v>
      </c>
      <c r="R34" s="235">
        <f>R28*[1]Parametre!$C$181</f>
        <v>19520.941860510633</v>
      </c>
      <c r="S34" s="235">
        <f>S28*[1]Parametre!$C$181</f>
        <v>18677.601353894624</v>
      </c>
      <c r="T34" s="235">
        <f>T28*[1]Parametre!$C$181</f>
        <v>17840.433150719178</v>
      </c>
      <c r="U34" s="235">
        <f>U28*[1]Parametre!$C$181</f>
        <v>17003.66763881985</v>
      </c>
      <c r="V34" s="235">
        <f>V28*[1]Parametre!$C$181</f>
        <v>16173.043355824422</v>
      </c>
      <c r="W34" s="235">
        <f>W28*[1]Parametre!$C$181</f>
        <v>15342.813757758684</v>
      </c>
      <c r="X34" s="235">
        <f>X28*[1]Parametre!$C$181</f>
        <v>14518.69446384846</v>
      </c>
      <c r="Y34" s="235">
        <f>Y28*[1]Parametre!$C$181</f>
        <v>13694.96190607805</v>
      </c>
      <c r="Z34" s="235">
        <f>Z28*[1]Parametre!$C$181</f>
        <v>12877.308876802095</v>
      </c>
      <c r="AA34" s="235">
        <f>AA28*[1]Parametre!$C$181</f>
        <v>12060.034692100475</v>
      </c>
      <c r="AB34" s="235">
        <f>AB28*[1]Parametre!$C$181</f>
        <v>11248.809408621913</v>
      </c>
      <c r="AC34" s="235">
        <f>AC28*[1]Parametre!$C$181</f>
        <v>10440.780786138499</v>
      </c>
      <c r="AD34" s="235">
        <f>AD28*[1]Parametre!$C$181</f>
        <v>9633.1192831172448</v>
      </c>
      <c r="AE34" s="235">
        <f>AE28*[1]Parametre!$C$181</f>
        <v>8831.4610227754856</v>
      </c>
      <c r="AF34" s="235">
        <f>AF28*[1]Parametre!$C$181</f>
        <v>8030.162131926988</v>
      </c>
      <c r="AG34" s="235">
        <f>AG28*[1]Parametre!$C$181</f>
        <v>7234.8362244066257</v>
      </c>
      <c r="AH34" s="235">
        <f>AH28*[1]Parametre!$C$181</f>
        <v>6439.8619924862005</v>
      </c>
      <c r="AI34" s="235">
        <f>AI28*[1]Parametre!$C$181</f>
        <v>5650.8306305154165</v>
      </c>
      <c r="AJ34" s="235">
        <f>AJ28*[1]Parametre!$C$181</f>
        <v>4862.143306002421</v>
      </c>
      <c r="AK34" s="235">
        <f>AK28*[1]Parametre!$C$181</f>
        <v>4079.3688833499978</v>
      </c>
      <c r="AL34" s="235">
        <f>AL28*[1]Parametre!$C$181</f>
        <v>3296.9309154416865</v>
      </c>
      <c r="AM34" s="235">
        <f>AM28*[1]Parametre!$C$181</f>
        <v>2520.3760259139985</v>
      </c>
      <c r="AN34" s="235">
        <f>AN28*[1]Parametre!$C$181</f>
        <v>1744.1500635242105</v>
      </c>
      <c r="AO34" s="235">
        <f>AO28*[1]Parametre!$C$181</f>
        <v>973.77749996703278</v>
      </c>
      <c r="AP34" s="235">
        <f>AP28*[1]Parametre!$C$181</f>
        <v>203.72639072964577</v>
      </c>
      <c r="AQ34" s="235">
        <f>AQ28*[1]Parametre!$C$181</f>
        <v>0</v>
      </c>
    </row>
    <row r="35" spans="2:43" x14ac:dyDescent="0.2">
      <c r="B35" s="299" t="s">
        <v>308</v>
      </c>
      <c r="C35" s="235">
        <f t="shared" si="22"/>
        <v>812175.36013201729</v>
      </c>
      <c r="D35" s="300">
        <f>D29*[1]Parametre!$C$182</f>
        <v>0</v>
      </c>
      <c r="E35" s="300">
        <f>E29*[1]Parametre!$C$182</f>
        <v>0</v>
      </c>
      <c r="F35" s="300">
        <f>F29*[1]Parametre!$C$182</f>
        <v>0</v>
      </c>
      <c r="G35" s="300">
        <f>G29*[1]Parametre!$C$182</f>
        <v>973.13656254660918</v>
      </c>
      <c r="H35" s="300">
        <f>H29*[1]Parametre!$C$182</f>
        <v>2182.1761314650257</v>
      </c>
      <c r="I35" s="300">
        <f>I29*[1]Parametre!$C$182</f>
        <v>3191.3091660158202</v>
      </c>
      <c r="J35" s="300">
        <f>J29*[1]Parametre!$C$182</f>
        <v>4004.853655162402</v>
      </c>
      <c r="K35" s="300">
        <f>K29*[1]Parametre!$C$182</f>
        <v>5013.3998995892161</v>
      </c>
      <c r="L35" s="300">
        <f>L29*[1]Parametre!$C$182</f>
        <v>6169.1269332599413</v>
      </c>
      <c r="M35" s="300">
        <f>M29*[1]Parametre!$C$182</f>
        <v>7679.5560791447042</v>
      </c>
      <c r="N35" s="300">
        <f>N29*[1]Parametre!$C$182</f>
        <v>8921.9006971806084</v>
      </c>
      <c r="O35" s="300">
        <f>O29*[1]Parametre!$C$182</f>
        <v>10192.558800702474</v>
      </c>
      <c r="P35" s="300">
        <f>P29*[1]Parametre!$C$182</f>
        <v>11483.460982004575</v>
      </c>
      <c r="Q35" s="300">
        <f>Q29*[1]Parametre!$C$182</f>
        <v>12803.481614215332</v>
      </c>
      <c r="R35" s="300">
        <f>R29*[1]Parametre!$C$182</f>
        <v>14144.391453177792</v>
      </c>
      <c r="S35" s="300">
        <f>S29*[1]Parametre!$C$182</f>
        <v>15330.906077120831</v>
      </c>
      <c r="T35" s="300">
        <f>T29*[1]Parametre!$C$182</f>
        <v>16508.272639195697</v>
      </c>
      <c r="U35" s="300">
        <f>U29*[1]Parametre!$C$182</f>
        <v>17685.205146352931</v>
      </c>
      <c r="V35" s="300">
        <f>V29*[1]Parametre!$C$182</f>
        <v>18853.035828905922</v>
      </c>
      <c r="W35" s="300">
        <f>W29*[1]Parametre!$C$182</f>
        <v>20020.443853270193</v>
      </c>
      <c r="X35" s="300">
        <f>X29*[1]Parametre!$C$182</f>
        <v>21178.796066842344</v>
      </c>
      <c r="Y35" s="300">
        <f>Y29*[1]Parametre!$C$182</f>
        <v>22336.736934803037</v>
      </c>
      <c r="Z35" s="300">
        <f>Z29*[1]Parametre!$C$182</f>
        <v>23485.667783379409</v>
      </c>
      <c r="AA35" s="300">
        <f>AA29*[1]Parametre!$C$182</f>
        <v>24634.198515260494</v>
      </c>
      <c r="AB35" s="300">
        <f>AB29*[1]Parametre!$C$182</f>
        <v>25773.764797803451</v>
      </c>
      <c r="AC35" s="300">
        <f>AC29*[1]Parametre!$C$182</f>
        <v>26908.674278422179</v>
      </c>
      <c r="AD35" s="300">
        <f>AD29*[1]Parametre!$C$182</f>
        <v>28043.200321369284</v>
      </c>
      <c r="AE35" s="300">
        <f>AE29*[1]Parametre!$C$182</f>
        <v>29168.829848728066</v>
      </c>
      <c r="AF35" s="300">
        <f>AF29*[1]Parametre!$C$182</f>
        <v>30294.086960342105</v>
      </c>
      <c r="AG35" s="300">
        <f>AG29*[1]Parametre!$C$182</f>
        <v>31410.492577574645</v>
      </c>
      <c r="AH35" s="300">
        <f>AH29*[1]Parametre!$C$182</f>
        <v>32526.536719024843</v>
      </c>
      <c r="AI35" s="300">
        <f>AI29*[1]Parametre!$C$182</f>
        <v>33633.774169550554</v>
      </c>
      <c r="AJ35" s="300">
        <f>AJ29*[1]Parametre!$C$182</f>
        <v>34740.661002770888</v>
      </c>
      <c r="AK35" s="300">
        <f>AK29*[1]Parametre!$C$182</f>
        <v>35838.785731795368</v>
      </c>
      <c r="AL35" s="300">
        <f>AL29*[1]Parametre!$C$182</f>
        <v>36936.570620982478</v>
      </c>
      <c r="AM35" s="300">
        <f>AM29*[1]Parametre!$C$182</f>
        <v>38025.637776990618</v>
      </c>
      <c r="AN35" s="300">
        <f>AN29*[1]Parametre!$C$182</f>
        <v>39114.375790094608</v>
      </c>
      <c r="AO35" s="300">
        <f>AO29*[1]Parametre!$C$182</f>
        <v>40194.440226336694</v>
      </c>
      <c r="AP35" s="300">
        <f>AP29*[1]Parametre!$C$182</f>
        <v>41274.186136544507</v>
      </c>
      <c r="AQ35" s="300">
        <f>AQ29*[1]Parametre!$C$182</f>
        <v>41498.728354091691</v>
      </c>
    </row>
    <row r="36" spans="2:43" x14ac:dyDescent="0.2">
      <c r="B36" s="246" t="s">
        <v>9</v>
      </c>
      <c r="C36" s="247">
        <f t="shared" si="22"/>
        <v>1924217.3996896599</v>
      </c>
      <c r="D36" s="248">
        <f>SUM(D33:D35)</f>
        <v>0</v>
      </c>
      <c r="E36" s="248">
        <f>SUM(E33:E35)</f>
        <v>0</v>
      </c>
      <c r="F36" s="248">
        <f t="shared" ref="F36:AN36" si="23">SUM(F33:F35)</f>
        <v>0</v>
      </c>
      <c r="G36" s="248">
        <f t="shared" si="23"/>
        <v>26679.685896565159</v>
      </c>
      <c r="H36" s="248">
        <f t="shared" si="23"/>
        <v>50721.00182343863</v>
      </c>
      <c r="I36" s="248">
        <f t="shared" si="23"/>
        <v>59941.578852057813</v>
      </c>
      <c r="J36" s="248">
        <f t="shared" si="23"/>
        <v>60113.968663903579</v>
      </c>
      <c r="K36" s="248">
        <f t="shared" si="23"/>
        <v>60185.992349134991</v>
      </c>
      <c r="L36" s="248">
        <f t="shared" si="23"/>
        <v>60183.837455725319</v>
      </c>
      <c r="M36" s="248">
        <f t="shared" si="23"/>
        <v>59994.191879318103</v>
      </c>
      <c r="N36" s="248">
        <f t="shared" si="23"/>
        <v>59957.36341486829</v>
      </c>
      <c r="O36" s="248">
        <f t="shared" si="23"/>
        <v>59911.485515585184</v>
      </c>
      <c r="P36" s="248">
        <f t="shared" si="23"/>
        <v>59861.030902794882</v>
      </c>
      <c r="Q36" s="248">
        <f t="shared" si="23"/>
        <v>59801.216102569029</v>
      </c>
      <c r="R36" s="248">
        <f t="shared" si="23"/>
        <v>59736.602449342834</v>
      </c>
      <c r="S36" s="248">
        <f t="shared" si="23"/>
        <v>58953.449902818524</v>
      </c>
      <c r="T36" s="248">
        <f t="shared" si="23"/>
        <v>58175.565041514732</v>
      </c>
      <c r="U36" s="248">
        <f t="shared" si="23"/>
        <v>57398.186632455225</v>
      </c>
      <c r="V36" s="248">
        <f t="shared" si="23"/>
        <v>56626.049569626324</v>
      </c>
      <c r="W36" s="248">
        <f t="shared" si="23"/>
        <v>55854.411656517361</v>
      </c>
      <c r="X36" s="248">
        <f t="shared" si="23"/>
        <v>55087.988877035838</v>
      </c>
      <c r="Y36" s="248">
        <f t="shared" si="23"/>
        <v>54322.057995024676</v>
      </c>
      <c r="Z36" s="248">
        <f t="shared" si="23"/>
        <v>53561.316159834983</v>
      </c>
      <c r="AA36" s="248">
        <f t="shared" si="23"/>
        <v>52801.059019855646</v>
      </c>
      <c r="AB36" s="248">
        <f t="shared" si="23"/>
        <v>52045.964965102212</v>
      </c>
      <c r="AC36" s="248">
        <f t="shared" si="23"/>
        <v>51293.680082331717</v>
      </c>
      <c r="AD36" s="248">
        <f t="shared" si="23"/>
        <v>50541.869189164325</v>
      </c>
      <c r="AE36" s="248">
        <f t="shared" si="23"/>
        <v>49795.182676985249</v>
      </c>
      <c r="AF36" s="248">
        <f t="shared" si="23"/>
        <v>49048.963075866428</v>
      </c>
      <c r="AG36" s="248">
        <f t="shared" si="23"/>
        <v>48307.842204598055</v>
      </c>
      <c r="AH36" s="248">
        <f t="shared" si="23"/>
        <v>47567.181214850134</v>
      </c>
      <c r="AI36" s="248">
        <f t="shared" si="23"/>
        <v>46831.593426992469</v>
      </c>
      <c r="AJ36" s="248">
        <f t="shared" si="23"/>
        <v>46096.458539839892</v>
      </c>
      <c r="AK36" s="248">
        <f t="shared" si="23"/>
        <v>45366.371449220285</v>
      </c>
      <c r="AL36" s="248">
        <f t="shared" si="23"/>
        <v>44636.730326937621</v>
      </c>
      <c r="AM36" s="248">
        <f t="shared" si="23"/>
        <v>43912.111717861277</v>
      </c>
      <c r="AN36" s="248">
        <f t="shared" si="23"/>
        <v>43187.932192925386</v>
      </c>
      <c r="AO36" s="248">
        <f t="shared" ref="AO36:AQ36" si="24">SUM(AO33:AO35)</f>
        <v>42468.750019330138</v>
      </c>
      <c r="AP36" s="248">
        <f t="shared" si="24"/>
        <v>41750.000093576098</v>
      </c>
      <c r="AQ36" s="248">
        <f t="shared" si="24"/>
        <v>41498.728354091691</v>
      </c>
    </row>
    <row r="39" spans="2:43" x14ac:dyDescent="0.2">
      <c r="B39" s="230"/>
      <c r="C39" s="230"/>
      <c r="D39" s="230" t="s">
        <v>10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</row>
    <row r="40" spans="2:43" x14ac:dyDescent="0.2">
      <c r="B40" s="232" t="s">
        <v>436</v>
      </c>
      <c r="C40" s="232"/>
      <c r="D40" s="237">
        <v>1</v>
      </c>
      <c r="E40" s="237">
        <v>2</v>
      </c>
      <c r="F40" s="237">
        <v>3</v>
      </c>
      <c r="G40" s="237">
        <v>4</v>
      </c>
      <c r="H40" s="237">
        <v>5</v>
      </c>
      <c r="I40" s="237">
        <v>6</v>
      </c>
      <c r="J40" s="237">
        <v>7</v>
      </c>
      <c r="K40" s="237">
        <v>8</v>
      </c>
      <c r="L40" s="237">
        <v>9</v>
      </c>
      <c r="M40" s="237">
        <v>10</v>
      </c>
      <c r="N40" s="237">
        <v>11</v>
      </c>
      <c r="O40" s="237">
        <v>12</v>
      </c>
      <c r="P40" s="237">
        <v>13</v>
      </c>
      <c r="Q40" s="237">
        <v>14</v>
      </c>
      <c r="R40" s="237">
        <v>15</v>
      </c>
      <c r="S40" s="237">
        <v>16</v>
      </c>
      <c r="T40" s="237">
        <v>17</v>
      </c>
      <c r="U40" s="237">
        <v>18</v>
      </c>
      <c r="V40" s="237">
        <v>19</v>
      </c>
      <c r="W40" s="237">
        <v>20</v>
      </c>
      <c r="X40" s="237">
        <v>21</v>
      </c>
      <c r="Y40" s="237">
        <v>22</v>
      </c>
      <c r="Z40" s="237">
        <v>23</v>
      </c>
      <c r="AA40" s="237">
        <v>24</v>
      </c>
      <c r="AB40" s="237">
        <v>25</v>
      </c>
      <c r="AC40" s="237">
        <v>26</v>
      </c>
      <c r="AD40" s="237">
        <v>27</v>
      </c>
      <c r="AE40" s="237">
        <v>28</v>
      </c>
      <c r="AF40" s="237">
        <v>29</v>
      </c>
      <c r="AG40" s="237">
        <v>30</v>
      </c>
      <c r="AH40" s="237">
        <v>31</v>
      </c>
      <c r="AI40" s="237">
        <v>32</v>
      </c>
      <c r="AJ40" s="237">
        <v>33</v>
      </c>
      <c r="AK40" s="237">
        <v>34</v>
      </c>
      <c r="AL40" s="237">
        <v>35</v>
      </c>
      <c r="AM40" s="237">
        <v>36</v>
      </c>
      <c r="AN40" s="237">
        <v>37</v>
      </c>
      <c r="AO40" s="237">
        <v>38</v>
      </c>
      <c r="AP40" s="237">
        <v>39</v>
      </c>
      <c r="AQ40" s="237">
        <v>40</v>
      </c>
    </row>
    <row r="41" spans="2:43" x14ac:dyDescent="0.2">
      <c r="B41" s="233" t="s">
        <v>33</v>
      </c>
      <c r="C41" s="234" t="s">
        <v>9</v>
      </c>
      <c r="D41" s="238">
        <f t="shared" ref="D41:AN41" si="25">D4</f>
        <v>2026</v>
      </c>
      <c r="E41" s="238">
        <f t="shared" si="25"/>
        <v>2027</v>
      </c>
      <c r="F41" s="238">
        <f t="shared" si="25"/>
        <v>2028</v>
      </c>
      <c r="G41" s="238">
        <f t="shared" si="25"/>
        <v>2029</v>
      </c>
      <c r="H41" s="238">
        <f t="shared" si="25"/>
        <v>2030</v>
      </c>
      <c r="I41" s="238">
        <f t="shared" si="25"/>
        <v>2031</v>
      </c>
      <c r="J41" s="238">
        <f t="shared" si="25"/>
        <v>2032</v>
      </c>
      <c r="K41" s="238">
        <f t="shared" si="25"/>
        <v>2033</v>
      </c>
      <c r="L41" s="238">
        <f t="shared" si="25"/>
        <v>2034</v>
      </c>
      <c r="M41" s="238">
        <f t="shared" si="25"/>
        <v>2035</v>
      </c>
      <c r="N41" s="238">
        <f t="shared" si="25"/>
        <v>2036</v>
      </c>
      <c r="O41" s="238">
        <f t="shared" si="25"/>
        <v>2037</v>
      </c>
      <c r="P41" s="238">
        <f t="shared" si="25"/>
        <v>2038</v>
      </c>
      <c r="Q41" s="238">
        <f t="shared" si="25"/>
        <v>2039</v>
      </c>
      <c r="R41" s="238">
        <f t="shared" si="25"/>
        <v>2040</v>
      </c>
      <c r="S41" s="238">
        <f t="shared" si="25"/>
        <v>2041</v>
      </c>
      <c r="T41" s="238">
        <f t="shared" si="25"/>
        <v>2042</v>
      </c>
      <c r="U41" s="238">
        <f t="shared" si="25"/>
        <v>2043</v>
      </c>
      <c r="V41" s="238">
        <f t="shared" si="25"/>
        <v>2044</v>
      </c>
      <c r="W41" s="238">
        <f t="shared" si="25"/>
        <v>2045</v>
      </c>
      <c r="X41" s="238">
        <f t="shared" si="25"/>
        <v>2046</v>
      </c>
      <c r="Y41" s="238">
        <f t="shared" si="25"/>
        <v>2047</v>
      </c>
      <c r="Z41" s="238">
        <f t="shared" si="25"/>
        <v>2048</v>
      </c>
      <c r="AA41" s="238">
        <f t="shared" si="25"/>
        <v>2049</v>
      </c>
      <c r="AB41" s="238">
        <f t="shared" si="25"/>
        <v>2050</v>
      </c>
      <c r="AC41" s="238">
        <f t="shared" si="25"/>
        <v>2051</v>
      </c>
      <c r="AD41" s="238">
        <f t="shared" si="25"/>
        <v>2052</v>
      </c>
      <c r="AE41" s="238">
        <f t="shared" si="25"/>
        <v>2053</v>
      </c>
      <c r="AF41" s="238">
        <f t="shared" si="25"/>
        <v>2054</v>
      </c>
      <c r="AG41" s="238">
        <f t="shared" si="25"/>
        <v>2055</v>
      </c>
      <c r="AH41" s="238">
        <f t="shared" si="25"/>
        <v>2056</v>
      </c>
      <c r="AI41" s="238">
        <f t="shared" si="25"/>
        <v>2057</v>
      </c>
      <c r="AJ41" s="238">
        <f t="shared" si="25"/>
        <v>2058</v>
      </c>
      <c r="AK41" s="238">
        <f t="shared" si="25"/>
        <v>2059</v>
      </c>
      <c r="AL41" s="238">
        <f t="shared" si="25"/>
        <v>2060</v>
      </c>
      <c r="AM41" s="238">
        <f t="shared" si="25"/>
        <v>2061</v>
      </c>
      <c r="AN41" s="238">
        <f t="shared" si="25"/>
        <v>2062</v>
      </c>
      <c r="AO41" s="238">
        <f t="shared" ref="AO41:AQ41" si="26">AO4</f>
        <v>2063</v>
      </c>
      <c r="AP41" s="238">
        <f t="shared" si="26"/>
        <v>2064</v>
      </c>
      <c r="AQ41" s="238">
        <f t="shared" si="26"/>
        <v>2065</v>
      </c>
    </row>
    <row r="42" spans="2:43" x14ac:dyDescent="0.2">
      <c r="B42" s="230" t="s">
        <v>390</v>
      </c>
      <c r="C42" s="235">
        <f t="shared" ref="C42:C45" si="27">SUM(D42:AQ42)</f>
        <v>51632.199864941504</v>
      </c>
      <c r="D42" s="236">
        <f>'08_A Spotr. PHM_E(cesty)NOV200'!D25</f>
        <v>0</v>
      </c>
      <c r="E42" s="236">
        <f>'08_A Spotr. PHM_E(cesty)NOV200'!E25</f>
        <v>0</v>
      </c>
      <c r="F42" s="236">
        <f>'08_A Spotr. PHM_E(cesty)NOV200'!F25</f>
        <v>0</v>
      </c>
      <c r="G42" s="236">
        <f>'08_A Spotr. PHM_E(cesty)NOV200'!G25</f>
        <v>1193.5571190995649</v>
      </c>
      <c r="H42" s="236">
        <f>'08_A Spotr. PHM_E(cesty)NOV200'!H25</f>
        <v>2253.661516550635</v>
      </c>
      <c r="I42" s="236">
        <f>'08_A Spotr. PHM_E(cesty)NOV200'!I25</f>
        <v>2634.9195107629448</v>
      </c>
      <c r="J42" s="236">
        <f>'08_A Spotr. PHM_E(cesty)NOV200'!J25</f>
        <v>2605.1506483772155</v>
      </c>
      <c r="K42" s="236">
        <f>'08_A Spotr. PHM_E(cesty)NOV200'!K25</f>
        <v>2561.6678318699915</v>
      </c>
      <c r="L42" s="236">
        <f>'08_A Spotr. PHM_E(cesty)NOV200'!L25</f>
        <v>2507.907282401196</v>
      </c>
      <c r="M42" s="236">
        <f>'08_A Spotr. PHM_E(cesty)NOV200'!M25</f>
        <v>2428.9726785604712</v>
      </c>
      <c r="N42" s="236">
        <f>'08_A Spotr. PHM_E(cesty)NOV200'!N25</f>
        <v>2369.580571151449</v>
      </c>
      <c r="O42" s="236">
        <f>'08_A Spotr. PHM_E(cesty)NOV200'!O25</f>
        <v>2308.4537003964028</v>
      </c>
      <c r="P42" s="236">
        <f>'08_A Spotr. PHM_E(cesty)NOV200'!P25</f>
        <v>2246.1743983384281</v>
      </c>
      <c r="Q42" s="236">
        <f>'08_A Spotr. PHM_E(cesty)NOV200'!Q25</f>
        <v>2182.1085300582736</v>
      </c>
      <c r="R42" s="236">
        <f>'08_A Spotr. PHM_E(cesty)NOV200'!R25</f>
        <v>2116.8499631317727</v>
      </c>
      <c r="S42" s="236">
        <f>'08_A Spotr. PHM_E(cesty)NOV200'!S25</f>
        <v>2025.3981605961069</v>
      </c>
      <c r="T42" s="236">
        <f>'08_A Spotr. PHM_E(cesty)NOV200'!T25</f>
        <v>1934.6156823381302</v>
      </c>
      <c r="U42" s="236">
        <f>'08_A Spotr. PHM_E(cesty)NOV200'!U25</f>
        <v>1843.87687190208</v>
      </c>
      <c r="V42" s="236">
        <f>'08_A Spotr. PHM_E(cesty)NOV200'!V25</f>
        <v>1753.8040160225103</v>
      </c>
      <c r="W42" s="236">
        <f>'08_A Spotr. PHM_E(cesty)NOV200'!W25</f>
        <v>1663.7739597570599</v>
      </c>
      <c r="X42" s="236">
        <f>'08_A Spotr. PHM_E(cesty)NOV200'!X25</f>
        <v>1574.4065045699156</v>
      </c>
      <c r="Y42" s="236">
        <f>'08_A Spotr. PHM_E(cesty)NOV200'!Y25</f>
        <v>1485.0809870305106</v>
      </c>
      <c r="Z42" s="236">
        <f>'08_A Spotr. PHM_E(cesty)NOV200'!Z25</f>
        <v>1396.4147332582606</v>
      </c>
      <c r="AA42" s="236">
        <f>'08_A Spotr. PHM_E(cesty)NOV200'!AA25</f>
        <v>1307.7895613727826</v>
      </c>
      <c r="AB42" s="236">
        <f>'08_A Spotr. PHM_E(cesty)NOV200'!AB25</f>
        <v>1219.8203320346734</v>
      </c>
      <c r="AC42" s="236">
        <f>'08_A Spotr. PHM_E(cesty)NOV200'!AC25</f>
        <v>1132.1977484556712</v>
      </c>
      <c r="AD42" s="236">
        <f>'08_A Spotr. PHM_E(cesty)NOV200'!AD25</f>
        <v>1044.6149752928616</v>
      </c>
      <c r="AE42" s="236">
        <f>'08_A Spotr. PHM_E(cesty)NOV200'!AE25</f>
        <v>957.68319346723115</v>
      </c>
      <c r="AF42" s="236">
        <f>'08_A Spotr. PHM_E(cesty)NOV200'!AF25</f>
        <v>870.79038165155146</v>
      </c>
      <c r="AG42" s="236">
        <f>'08_A Spotr. PHM_E(cesty)NOV200'!AG25</f>
        <v>784.54527985049594</v>
      </c>
      <c r="AH42" s="236">
        <f>'08_A Spotr. PHM_E(cesty)NOV200'!AH25</f>
        <v>698.33831373398311</v>
      </c>
      <c r="AI42" s="236">
        <f>'08_A Spotr. PHM_E(cesty)NOV200'!AI25</f>
        <v>612.77579213883007</v>
      </c>
      <c r="AJ42" s="236">
        <f>'08_A Spotr. PHM_E(cesty)NOV200'!AJ25</f>
        <v>527.25057794846521</v>
      </c>
      <c r="AK42" s="236">
        <f>'08_A Spotr. PHM_E(cesty)NOV200'!AK25</f>
        <v>442.36655854137433</v>
      </c>
      <c r="AL42" s="236">
        <f>'08_A Spotr. PHM_E(cesty)NOV200'!AL25</f>
        <v>357.51902426997827</v>
      </c>
      <c r="AM42" s="236">
        <f>'08_A Spotr. PHM_E(cesty)NOV200'!AM25</f>
        <v>273.30945072517579</v>
      </c>
      <c r="AN42" s="236">
        <f>'08_A Spotr. PHM_E(cesty)NOV200'!AN25</f>
        <v>189.1355460228252</v>
      </c>
      <c r="AO42" s="236">
        <f>'08_A Spotr. PHM_E(cesty)NOV200'!AO25</f>
        <v>105.59638359835995</v>
      </c>
      <c r="AP42" s="236">
        <f>'08_A Spotr. PHM_E(cesty)NOV200'!AP25</f>
        <v>22.092079664323062</v>
      </c>
      <c r="AQ42" s="236">
        <f>'08_A Spotr. PHM_E(cesty)NOV200'!AQ25</f>
        <v>0</v>
      </c>
    </row>
    <row r="43" spans="2:43" x14ac:dyDescent="0.2">
      <c r="B43" s="230" t="s">
        <v>391</v>
      </c>
      <c r="C43" s="235">
        <f t="shared" si="27"/>
        <v>38540.897383618852</v>
      </c>
      <c r="D43" s="236">
        <f>'08_A Spotr. PHM_E(cesty)NOV200'!D31</f>
        <v>0</v>
      </c>
      <c r="E43" s="236">
        <f>'08_A Spotr. PHM_E(cesty)NOV200'!E31</f>
        <v>0</v>
      </c>
      <c r="F43" s="236">
        <f>'08_A Spotr. PHM_E(cesty)NOV200'!F31</f>
        <v>0</v>
      </c>
      <c r="G43" s="236">
        <f>'08_A Spotr. PHM_E(cesty)NOV200'!G31</f>
        <v>890.93167769399645</v>
      </c>
      <c r="H43" s="236">
        <f>'08_A Spotr. PHM_E(cesty)NOV200'!H31</f>
        <v>1682.2474632882322</v>
      </c>
      <c r="I43" s="236">
        <f>'08_A Spotr. PHM_E(cesty)NOV200'!I31</f>
        <v>1966.8378016828253</v>
      </c>
      <c r="J43" s="236">
        <f>'08_A Spotr. PHM_E(cesty)NOV200'!J31</f>
        <v>1944.6168102581603</v>
      </c>
      <c r="K43" s="236">
        <f>'08_A Spotr. PHM_E(cesty)NOV200'!K31</f>
        <v>1912.1590266785463</v>
      </c>
      <c r="L43" s="236">
        <f>'08_A Spotr. PHM_E(cesty)NOV200'!L31</f>
        <v>1872.029421010307</v>
      </c>
      <c r="M43" s="236">
        <f>'08_A Spotr. PHM_E(cesty)NOV200'!M31</f>
        <v>1813.1086220786376</v>
      </c>
      <c r="N43" s="236">
        <f>'08_A Spotr. PHM_E(cesty)NOV200'!N31</f>
        <v>1768.7753354273705</v>
      </c>
      <c r="O43" s="236">
        <f>'08_A Spotr. PHM_E(cesty)NOV200'!O31</f>
        <v>1723.1471332722335</v>
      </c>
      <c r="P43" s="236">
        <f>'08_A Spotr. PHM_E(cesty)NOV200'!P31</f>
        <v>1676.6586978381742</v>
      </c>
      <c r="Q43" s="236">
        <f>'08_A Spotr. PHM_E(cesty)NOV200'!Q31</f>
        <v>1628.8366786014062</v>
      </c>
      <c r="R43" s="236">
        <f>'08_A Spotr. PHM_E(cesty)NOV200'!R31</f>
        <v>1580.1243684946255</v>
      </c>
      <c r="S43" s="236">
        <f>'08_A Spotr. PHM_E(cesty)NOV200'!S31</f>
        <v>1511.8600964648897</v>
      </c>
      <c r="T43" s="236">
        <f>'08_A Spotr. PHM_E(cesty)NOV200'!T31</f>
        <v>1444.0954420840287</v>
      </c>
      <c r="U43" s="236">
        <f>'08_A Spotr. PHM_E(cesty)NOV200'!U31</f>
        <v>1376.3633835841927</v>
      </c>
      <c r="V43" s="236">
        <f>'08_A Spotr. PHM_E(cesty)NOV200'!V31</f>
        <v>1309.1284274021082</v>
      </c>
      <c r="W43" s="236">
        <f>'08_A Spotr. PHM_E(cesty)NOV200'!W31</f>
        <v>1241.925419026627</v>
      </c>
      <c r="X43" s="236">
        <f>'08_A Spotr. PHM_E(cesty)NOV200'!X31</f>
        <v>1175.2170097623998</v>
      </c>
      <c r="Y43" s="236">
        <f>'08_A Spotr. PHM_E(cesty)NOV200'!Y31</f>
        <v>1108.539904889275</v>
      </c>
      <c r="Z43" s="236">
        <f>'08_A Spotr. PHM_E(cesty)NOV200'!Z31</f>
        <v>1042.3549079887935</v>
      </c>
      <c r="AA43" s="236">
        <f>'08_A Spotr. PHM_E(cesty)NOV200'!AA31</f>
        <v>976.20057669594735</v>
      </c>
      <c r="AB43" s="236">
        <f>'08_A Spotr. PHM_E(cesty)NOV200'!AB31</f>
        <v>910.53587424854675</v>
      </c>
      <c r="AC43" s="236">
        <f>'08_A Spotr. PHM_E(cesty)NOV200'!AC31</f>
        <v>845.12992580862931</v>
      </c>
      <c r="AD43" s="236">
        <f>'08_A Spotr. PHM_E(cesty)NOV200'!AD31</f>
        <v>779.75369388610363</v>
      </c>
      <c r="AE43" s="236">
        <f>'08_A Spotr. PHM_E(cesty)NOV200'!AE31</f>
        <v>714.86339497416975</v>
      </c>
      <c r="AF43" s="236">
        <f>'08_A Spotr. PHM_E(cesty)NOV200'!AF31</f>
        <v>650.00218525770845</v>
      </c>
      <c r="AG43" s="236">
        <f>'08_A Spotr. PHM_E(cesty)NOV200'!AG31</f>
        <v>585.62445920596178</v>
      </c>
      <c r="AH43" s="236">
        <f>'08_A Spotr. PHM_E(cesty)NOV200'!AH31</f>
        <v>521.27519956681124</v>
      </c>
      <c r="AI43" s="236">
        <f>'08_A Spotr. PHM_E(cesty)NOV200'!AI31</f>
        <v>457.40698606228477</v>
      </c>
      <c r="AJ43" s="236">
        <f>'08_A Spotr. PHM_E(cesty)NOV200'!AJ31</f>
        <v>393.56662070026152</v>
      </c>
      <c r="AK43" s="236">
        <f>'08_A Spotr. PHM_E(cesty)NOV200'!AK31</f>
        <v>330.20487570323758</v>
      </c>
      <c r="AL43" s="236">
        <f>'08_A Spotr. PHM_E(cesty)NOV200'!AL31</f>
        <v>266.87036506528636</v>
      </c>
      <c r="AM43" s="236">
        <f>'08_A Spotr. PHM_E(cesty)NOV200'!AM31</f>
        <v>204.01206072810751</v>
      </c>
      <c r="AN43" s="236">
        <f>'08_A Spotr. PHM_E(cesty)NOV200'!AN31</f>
        <v>141.18038142724959</v>
      </c>
      <c r="AO43" s="236">
        <f>'08_A Spotr. PHM_E(cesty)NOV200'!AO31</f>
        <v>78.822506013520467</v>
      </c>
      <c r="AP43" s="236">
        <f>'08_A Spotr. PHM_E(cesty)NOV200'!AP31</f>
        <v>16.490650748188344</v>
      </c>
      <c r="AQ43" s="236">
        <f>'08_A Spotr. PHM_E(cesty)NOV200'!AQ31</f>
        <v>0</v>
      </c>
    </row>
    <row r="44" spans="2:43" x14ac:dyDescent="0.2">
      <c r="B44" s="230" t="s">
        <v>392</v>
      </c>
      <c r="C44" s="235">
        <f t="shared" si="27"/>
        <v>207973.45725620887</v>
      </c>
      <c r="D44" s="236">
        <f>'08_A Spotr. PHM_E(cesty)NOV200'!D37</f>
        <v>0</v>
      </c>
      <c r="E44" s="236">
        <f>'08_A Spotr. PHM_E(cesty)NOV200'!E37</f>
        <v>0</v>
      </c>
      <c r="F44" s="236">
        <f>'08_A Spotr. PHM_E(cesty)NOV200'!F37</f>
        <v>0</v>
      </c>
      <c r="G44" s="236">
        <f>'08_A Spotr. PHM_E(cesty)NOV200'!G37</f>
        <v>249.19073543716436</v>
      </c>
      <c r="H44" s="236">
        <f>'08_A Spotr. PHM_E(cesty)NOV200'!H37</f>
        <v>558.78907029264087</v>
      </c>
      <c r="I44" s="236">
        <f>'08_A Spotr. PHM_E(cesty)NOV200'!I37</f>
        <v>817.19740958634168</v>
      </c>
      <c r="J44" s="236">
        <f>'08_A Spotr. PHM_E(cesty)NOV200'!J37</f>
        <v>1025.5214592251396</v>
      </c>
      <c r="K44" s="236">
        <f>'08_A Spotr. PHM_E(cesty)NOV200'!K37</f>
        <v>1283.7795393793017</v>
      </c>
      <c r="L44" s="236">
        <f>'08_A Spotr. PHM_E(cesty)NOV200'!L37</f>
        <v>1579.7261521870255</v>
      </c>
      <c r="M44" s="236">
        <f>'08_A Spotr. PHM_E(cesty)NOV200'!M37</f>
        <v>1966.5012094346812</v>
      </c>
      <c r="N44" s="236">
        <f>'08_A Spotr. PHM_E(cesty)NOV200'!N37</f>
        <v>2284.6279564398765</v>
      </c>
      <c r="O44" s="236">
        <f>'08_A Spotr. PHM_E(cesty)NOV200'!O37</f>
        <v>2610.0049276608506</v>
      </c>
      <c r="P44" s="236">
        <f>'08_A Spotr. PHM_E(cesty)NOV200'!P37</f>
        <v>2940.5657927200168</v>
      </c>
      <c r="Q44" s="236">
        <f>'08_A Spotr. PHM_E(cesty)NOV200'!Q37</f>
        <v>3278.5830092060896</v>
      </c>
      <c r="R44" s="236">
        <f>'08_A Spotr. PHM_E(cesty)NOV200'!R37</f>
        <v>3621.9493174779359</v>
      </c>
      <c r="S44" s="236">
        <f>'08_A Spotr. PHM_E(cesty)NOV200'!S37</f>
        <v>3925.7796976391533</v>
      </c>
      <c r="T44" s="236">
        <f>'08_A Spotr. PHM_E(cesty)NOV200'!T37</f>
        <v>4227.2675368328537</v>
      </c>
      <c r="U44" s="236">
        <f>'08_A Spotr. PHM_E(cesty)NOV200'!U37</f>
        <v>4528.6442277372917</v>
      </c>
      <c r="V44" s="236">
        <f>'08_A Spotr. PHM_E(cesty)NOV200'!V37</f>
        <v>4827.6902176340345</v>
      </c>
      <c r="W44" s="236">
        <f>'08_A Spotr. PHM_E(cesty)NOV200'!W37</f>
        <v>5126.627977597861</v>
      </c>
      <c r="X44" s="236">
        <f>'08_A Spotr. PHM_E(cesty)NOV200'!X37</f>
        <v>5423.246819294588</v>
      </c>
      <c r="Y44" s="236">
        <f>'08_A Spotr. PHM_E(cesty)NOV200'!Y37</f>
        <v>5719.7603278660581</v>
      </c>
      <c r="Z44" s="236">
        <f>'08_A Spotr. PHM_E(cesty)NOV200'!Z37</f>
        <v>6013.9666439600323</v>
      </c>
      <c r="AA44" s="236">
        <f>'08_A Spotr. PHM_E(cesty)NOV200'!AA37</f>
        <v>6308.0705023133387</v>
      </c>
      <c r="AB44" s="236">
        <f>'08_A Spotr. PHM_E(cesty)NOV200'!AB37</f>
        <v>6599.8788372947665</v>
      </c>
      <c r="AC44" s="236">
        <f>'08_A Spotr. PHM_E(cesty)NOV200'!AC37</f>
        <v>6890.4947066542572</v>
      </c>
      <c r="AD44" s="236">
        <f>'08_A Spotr. PHM_E(cesty)NOV200'!AD37</f>
        <v>7181.0123892647762</v>
      </c>
      <c r="AE44" s="236">
        <f>'08_A Spotr. PHM_E(cesty)NOV200'!AE37</f>
        <v>7469.2519442746998</v>
      </c>
      <c r="AF44" s="236">
        <f>'08_A Spotr. PHM_E(cesty)NOV200'!AF37</f>
        <v>7757.3961349165684</v>
      </c>
      <c r="AG44" s="236">
        <f>'08_A Spotr. PHM_E(cesty)NOV200'!AG37</f>
        <v>8043.2737265223541</v>
      </c>
      <c r="AH44" s="236">
        <f>'08_A Spotr. PHM_E(cesty)NOV200'!AH37</f>
        <v>8329.0587551523859</v>
      </c>
      <c r="AI44" s="236">
        <f>'08_A Spotr. PHM_E(cesty)NOV200'!AI37</f>
        <v>8612.5886575517306</v>
      </c>
      <c r="AJ44" s="236">
        <f>'08_A Spotr. PHM_E(cesty)NOV200'!AJ37</f>
        <v>8896.028777501675</v>
      </c>
      <c r="AK44" s="236">
        <f>'08_A Spotr. PHM_E(cesty)NOV200'!AK37</f>
        <v>9177.2251885287642</v>
      </c>
      <c r="AL44" s="236">
        <f>'08_A Spotr. PHM_E(cesty)NOV200'!AL37</f>
        <v>9458.3345768888812</v>
      </c>
      <c r="AM44" s="236">
        <f>'08_A Spotr. PHM_E(cesty)NOV200'!AM37</f>
        <v>9737.2116183967446</v>
      </c>
      <c r="AN44" s="236">
        <f>'08_A Spotr. PHM_E(cesty)NOV200'!AN37</f>
        <v>10016.004376397535</v>
      </c>
      <c r="AO44" s="236">
        <f>'08_A Spotr. PHM_E(cesty)NOV200'!AO37</f>
        <v>10292.576094638574</v>
      </c>
      <c r="AP44" s="236">
        <f>'08_A Spotr. PHM_E(cesty)NOV200'!AP37</f>
        <v>10569.066248030656</v>
      </c>
      <c r="AQ44" s="236">
        <f>'08_A Spotr. PHM_E(cesty)NOV200'!AQ37</f>
        <v>10626.564694272207</v>
      </c>
    </row>
    <row r="45" spans="2:43" x14ac:dyDescent="0.2">
      <c r="B45" s="230" t="s">
        <v>138</v>
      </c>
      <c r="C45" s="235">
        <f t="shared" si="27"/>
        <v>0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  <row r="48" spans="2:43" x14ac:dyDescent="0.2">
      <c r="B48" s="230"/>
      <c r="C48" s="230"/>
      <c r="D48" s="230" t="s">
        <v>10</v>
      </c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</row>
    <row r="49" spans="2:43" x14ac:dyDescent="0.2">
      <c r="B49" s="232" t="s">
        <v>437</v>
      </c>
      <c r="C49" s="232"/>
      <c r="D49" s="237">
        <v>1</v>
      </c>
      <c r="E49" s="237">
        <v>2</v>
      </c>
      <c r="F49" s="237">
        <v>3</v>
      </c>
      <c r="G49" s="237">
        <v>4</v>
      </c>
      <c r="H49" s="237">
        <v>5</v>
      </c>
      <c r="I49" s="237">
        <v>6</v>
      </c>
      <c r="J49" s="237">
        <v>7</v>
      </c>
      <c r="K49" s="237">
        <v>8</v>
      </c>
      <c r="L49" s="237">
        <v>9</v>
      </c>
      <c r="M49" s="237">
        <v>10</v>
      </c>
      <c r="N49" s="237">
        <v>11</v>
      </c>
      <c r="O49" s="237">
        <v>12</v>
      </c>
      <c r="P49" s="237">
        <v>13</v>
      </c>
      <c r="Q49" s="237">
        <v>14</v>
      </c>
      <c r="R49" s="237">
        <v>15</v>
      </c>
      <c r="S49" s="237">
        <v>16</v>
      </c>
      <c r="T49" s="237">
        <v>17</v>
      </c>
      <c r="U49" s="237">
        <v>18</v>
      </c>
      <c r="V49" s="237">
        <v>19</v>
      </c>
      <c r="W49" s="237">
        <v>20</v>
      </c>
      <c r="X49" s="237">
        <v>21</v>
      </c>
      <c r="Y49" s="237">
        <v>22</v>
      </c>
      <c r="Z49" s="237">
        <v>23</v>
      </c>
      <c r="AA49" s="237">
        <v>24</v>
      </c>
      <c r="AB49" s="237">
        <v>25</v>
      </c>
      <c r="AC49" s="237">
        <v>26</v>
      </c>
      <c r="AD49" s="237">
        <v>27</v>
      </c>
      <c r="AE49" s="237">
        <v>28</v>
      </c>
      <c r="AF49" s="237">
        <v>29</v>
      </c>
      <c r="AG49" s="237">
        <v>30</v>
      </c>
      <c r="AH49" s="237">
        <v>31</v>
      </c>
      <c r="AI49" s="237">
        <v>32</v>
      </c>
      <c r="AJ49" s="237">
        <v>33</v>
      </c>
      <c r="AK49" s="237">
        <v>34</v>
      </c>
      <c r="AL49" s="237">
        <v>35</v>
      </c>
      <c r="AM49" s="237">
        <v>36</v>
      </c>
      <c r="AN49" s="237">
        <v>37</v>
      </c>
      <c r="AO49" s="237">
        <v>38</v>
      </c>
      <c r="AP49" s="237">
        <v>39</v>
      </c>
      <c r="AQ49" s="237">
        <v>40</v>
      </c>
    </row>
    <row r="50" spans="2:43" x14ac:dyDescent="0.2">
      <c r="B50" s="233" t="s">
        <v>34</v>
      </c>
      <c r="C50" s="234" t="s">
        <v>9</v>
      </c>
      <c r="D50" s="238">
        <f t="shared" ref="D50:AN50" si="28">D4</f>
        <v>2026</v>
      </c>
      <c r="E50" s="238">
        <f t="shared" si="28"/>
        <v>2027</v>
      </c>
      <c r="F50" s="238">
        <f t="shared" si="28"/>
        <v>2028</v>
      </c>
      <c r="G50" s="238">
        <f t="shared" si="28"/>
        <v>2029</v>
      </c>
      <c r="H50" s="238">
        <f t="shared" si="28"/>
        <v>2030</v>
      </c>
      <c r="I50" s="238">
        <f t="shared" si="28"/>
        <v>2031</v>
      </c>
      <c r="J50" s="238">
        <f t="shared" si="28"/>
        <v>2032</v>
      </c>
      <c r="K50" s="238">
        <f t="shared" si="28"/>
        <v>2033</v>
      </c>
      <c r="L50" s="238">
        <f t="shared" si="28"/>
        <v>2034</v>
      </c>
      <c r="M50" s="238">
        <f t="shared" si="28"/>
        <v>2035</v>
      </c>
      <c r="N50" s="238">
        <f t="shared" si="28"/>
        <v>2036</v>
      </c>
      <c r="O50" s="238">
        <f t="shared" si="28"/>
        <v>2037</v>
      </c>
      <c r="P50" s="238">
        <f t="shared" si="28"/>
        <v>2038</v>
      </c>
      <c r="Q50" s="238">
        <f t="shared" si="28"/>
        <v>2039</v>
      </c>
      <c r="R50" s="238">
        <f t="shared" si="28"/>
        <v>2040</v>
      </c>
      <c r="S50" s="238">
        <f t="shared" si="28"/>
        <v>2041</v>
      </c>
      <c r="T50" s="238">
        <f t="shared" si="28"/>
        <v>2042</v>
      </c>
      <c r="U50" s="238">
        <f t="shared" si="28"/>
        <v>2043</v>
      </c>
      <c r="V50" s="238">
        <f t="shared" si="28"/>
        <v>2044</v>
      </c>
      <c r="W50" s="238">
        <f t="shared" si="28"/>
        <v>2045</v>
      </c>
      <c r="X50" s="238">
        <f t="shared" si="28"/>
        <v>2046</v>
      </c>
      <c r="Y50" s="238">
        <f t="shared" si="28"/>
        <v>2047</v>
      </c>
      <c r="Z50" s="238">
        <f t="shared" si="28"/>
        <v>2048</v>
      </c>
      <c r="AA50" s="238">
        <f t="shared" si="28"/>
        <v>2049</v>
      </c>
      <c r="AB50" s="238">
        <f t="shared" si="28"/>
        <v>2050</v>
      </c>
      <c r="AC50" s="238">
        <f t="shared" si="28"/>
        <v>2051</v>
      </c>
      <c r="AD50" s="238">
        <f t="shared" si="28"/>
        <v>2052</v>
      </c>
      <c r="AE50" s="238">
        <f t="shared" si="28"/>
        <v>2053</v>
      </c>
      <c r="AF50" s="238">
        <f t="shared" si="28"/>
        <v>2054</v>
      </c>
      <c r="AG50" s="238">
        <f t="shared" si="28"/>
        <v>2055</v>
      </c>
      <c r="AH50" s="238">
        <f t="shared" si="28"/>
        <v>2056</v>
      </c>
      <c r="AI50" s="238">
        <f t="shared" si="28"/>
        <v>2057</v>
      </c>
      <c r="AJ50" s="238">
        <f t="shared" si="28"/>
        <v>2058</v>
      </c>
      <c r="AK50" s="238">
        <f t="shared" si="28"/>
        <v>2059</v>
      </c>
      <c r="AL50" s="238">
        <f t="shared" si="28"/>
        <v>2060</v>
      </c>
      <c r="AM50" s="238">
        <f t="shared" si="28"/>
        <v>2061</v>
      </c>
      <c r="AN50" s="238">
        <f t="shared" si="28"/>
        <v>2062</v>
      </c>
      <c r="AO50" s="238">
        <f t="shared" ref="AO50:AQ50" si="29">AO4</f>
        <v>2063</v>
      </c>
      <c r="AP50" s="238">
        <f t="shared" si="29"/>
        <v>2064</v>
      </c>
      <c r="AQ50" s="238">
        <f t="shared" si="29"/>
        <v>2065</v>
      </c>
    </row>
    <row r="51" spans="2:43" x14ac:dyDescent="0.2">
      <c r="B51" s="230" t="s">
        <v>390</v>
      </c>
      <c r="C51" s="235">
        <f t="shared" ref="C51:C54" si="30">SUM(D51:AQ51)</f>
        <v>0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236">
        <v>0</v>
      </c>
      <c r="S51" s="236">
        <v>0</v>
      </c>
      <c r="T51" s="236">
        <v>0</v>
      </c>
      <c r="U51" s="236">
        <v>0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236">
        <v>0</v>
      </c>
      <c r="AC51" s="236">
        <v>0</v>
      </c>
      <c r="AD51" s="236">
        <v>0</v>
      </c>
      <c r="AE51" s="236">
        <v>0</v>
      </c>
      <c r="AF51" s="236">
        <v>0</v>
      </c>
      <c r="AG51" s="236">
        <v>0</v>
      </c>
      <c r="AH51" s="236">
        <v>0</v>
      </c>
      <c r="AI51" s="236">
        <v>0</v>
      </c>
      <c r="AJ51" s="236">
        <v>0</v>
      </c>
      <c r="AK51" s="236">
        <v>0</v>
      </c>
      <c r="AL51" s="236">
        <v>0</v>
      </c>
      <c r="AM51" s="236">
        <v>0</v>
      </c>
      <c r="AN51" s="236">
        <v>0</v>
      </c>
      <c r="AO51" s="236">
        <v>0</v>
      </c>
      <c r="AP51" s="236">
        <v>0</v>
      </c>
      <c r="AQ51" s="236">
        <v>0</v>
      </c>
    </row>
    <row r="52" spans="2:43" x14ac:dyDescent="0.2">
      <c r="B52" s="230" t="s">
        <v>391</v>
      </c>
      <c r="C52" s="235">
        <f t="shared" si="30"/>
        <v>0</v>
      </c>
      <c r="D52" s="236">
        <v>0</v>
      </c>
      <c r="E52" s="236">
        <v>0</v>
      </c>
      <c r="F52" s="236">
        <v>0</v>
      </c>
      <c r="G52" s="236">
        <v>0</v>
      </c>
      <c r="H52" s="236">
        <v>0</v>
      </c>
      <c r="I52" s="236">
        <v>0</v>
      </c>
      <c r="J52" s="236">
        <v>0</v>
      </c>
      <c r="K52" s="236">
        <v>0</v>
      </c>
      <c r="L52" s="236">
        <v>0</v>
      </c>
      <c r="M52" s="236">
        <v>0</v>
      </c>
      <c r="N52" s="236">
        <v>0</v>
      </c>
      <c r="O52" s="236">
        <v>0</v>
      </c>
      <c r="P52" s="236">
        <v>0</v>
      </c>
      <c r="Q52" s="236">
        <v>0</v>
      </c>
      <c r="R52" s="236">
        <v>0</v>
      </c>
      <c r="S52" s="236">
        <v>0</v>
      </c>
      <c r="T52" s="236">
        <v>0</v>
      </c>
      <c r="U52" s="236">
        <v>0</v>
      </c>
      <c r="V52" s="236">
        <v>0</v>
      </c>
      <c r="W52" s="236">
        <v>0</v>
      </c>
      <c r="X52" s="236">
        <v>0</v>
      </c>
      <c r="Y52" s="236">
        <v>0</v>
      </c>
      <c r="Z52" s="236">
        <v>0</v>
      </c>
      <c r="AA52" s="236">
        <v>0</v>
      </c>
      <c r="AB52" s="236">
        <v>0</v>
      </c>
      <c r="AC52" s="236">
        <v>0</v>
      </c>
      <c r="AD52" s="236">
        <v>0</v>
      </c>
      <c r="AE52" s="236">
        <v>0</v>
      </c>
      <c r="AF52" s="236">
        <v>0</v>
      </c>
      <c r="AG52" s="236">
        <v>0</v>
      </c>
      <c r="AH52" s="236">
        <v>0</v>
      </c>
      <c r="AI52" s="236">
        <v>0</v>
      </c>
      <c r="AJ52" s="236">
        <v>0</v>
      </c>
      <c r="AK52" s="236">
        <v>0</v>
      </c>
      <c r="AL52" s="236">
        <v>0</v>
      </c>
      <c r="AM52" s="236">
        <v>0</v>
      </c>
      <c r="AN52" s="236">
        <v>0</v>
      </c>
      <c r="AO52" s="236">
        <v>0</v>
      </c>
      <c r="AP52" s="236">
        <v>0</v>
      </c>
      <c r="AQ52" s="236">
        <v>0</v>
      </c>
    </row>
    <row r="53" spans="2:43" x14ac:dyDescent="0.2">
      <c r="B53" s="230" t="s">
        <v>392</v>
      </c>
      <c r="C53" s="235">
        <f>SUM(D53:AQ53)</f>
        <v>0</v>
      </c>
      <c r="D53" s="236">
        <v>0</v>
      </c>
      <c r="E53" s="236">
        <v>0</v>
      </c>
      <c r="F53" s="236">
        <v>0</v>
      </c>
      <c r="G53" s="236">
        <v>0</v>
      </c>
      <c r="H53" s="236">
        <v>0</v>
      </c>
      <c r="I53" s="236">
        <v>0</v>
      </c>
      <c r="J53" s="236">
        <v>0</v>
      </c>
      <c r="K53" s="236">
        <v>0</v>
      </c>
      <c r="L53" s="236">
        <v>0</v>
      </c>
      <c r="M53" s="236">
        <v>0</v>
      </c>
      <c r="N53" s="236">
        <v>0</v>
      </c>
      <c r="O53" s="236">
        <v>0</v>
      </c>
      <c r="P53" s="236">
        <v>0</v>
      </c>
      <c r="Q53" s="236">
        <v>0</v>
      </c>
      <c r="R53" s="236">
        <v>0</v>
      </c>
      <c r="S53" s="236">
        <v>0</v>
      </c>
      <c r="T53" s="236">
        <v>0</v>
      </c>
      <c r="U53" s="236">
        <v>0</v>
      </c>
      <c r="V53" s="236">
        <v>0</v>
      </c>
      <c r="W53" s="236">
        <v>0</v>
      </c>
      <c r="X53" s="236">
        <v>0</v>
      </c>
      <c r="Y53" s="236">
        <v>0</v>
      </c>
      <c r="Z53" s="236">
        <v>0</v>
      </c>
      <c r="AA53" s="236">
        <v>0</v>
      </c>
      <c r="AB53" s="236">
        <v>0</v>
      </c>
      <c r="AC53" s="236">
        <v>0</v>
      </c>
      <c r="AD53" s="236">
        <v>0</v>
      </c>
      <c r="AE53" s="236">
        <v>0</v>
      </c>
      <c r="AF53" s="236">
        <v>0</v>
      </c>
      <c r="AG53" s="236">
        <v>0</v>
      </c>
      <c r="AH53" s="236">
        <v>0</v>
      </c>
      <c r="AI53" s="236">
        <v>0</v>
      </c>
      <c r="AJ53" s="236">
        <v>0</v>
      </c>
      <c r="AK53" s="236">
        <v>0</v>
      </c>
      <c r="AL53" s="236">
        <v>0</v>
      </c>
      <c r="AM53" s="236">
        <v>0</v>
      </c>
      <c r="AN53" s="236">
        <v>0</v>
      </c>
      <c r="AO53" s="236">
        <v>0</v>
      </c>
      <c r="AP53" s="236">
        <v>0</v>
      </c>
      <c r="AQ53" s="236">
        <v>0</v>
      </c>
    </row>
    <row r="54" spans="2:43" x14ac:dyDescent="0.2">
      <c r="B54" s="230" t="s">
        <v>138</v>
      </c>
      <c r="C54" s="235">
        <f t="shared" si="30"/>
        <v>0</v>
      </c>
      <c r="D54" s="236">
        <v>0</v>
      </c>
      <c r="E54" s="236">
        <v>0</v>
      </c>
      <c r="F54" s="236">
        <v>0</v>
      </c>
      <c r="G54" s="236">
        <v>0</v>
      </c>
      <c r="H54" s="236">
        <v>0</v>
      </c>
      <c r="I54" s="236">
        <v>0</v>
      </c>
      <c r="J54" s="236">
        <v>0</v>
      </c>
      <c r="K54" s="236">
        <v>0</v>
      </c>
      <c r="L54" s="236">
        <v>0</v>
      </c>
      <c r="M54" s="236">
        <v>0</v>
      </c>
      <c r="N54" s="236">
        <v>0</v>
      </c>
      <c r="O54" s="236">
        <v>0</v>
      </c>
      <c r="P54" s="236">
        <v>0</v>
      </c>
      <c r="Q54" s="236">
        <v>0</v>
      </c>
      <c r="R54" s="236">
        <v>0</v>
      </c>
      <c r="S54" s="236">
        <v>0</v>
      </c>
      <c r="T54" s="236">
        <v>0</v>
      </c>
      <c r="U54" s="236">
        <v>0</v>
      </c>
      <c r="V54" s="236">
        <v>0</v>
      </c>
      <c r="W54" s="236">
        <v>0</v>
      </c>
      <c r="X54" s="236">
        <v>0</v>
      </c>
      <c r="Y54" s="236">
        <v>0</v>
      </c>
      <c r="Z54" s="236">
        <v>0</v>
      </c>
      <c r="AA54" s="236">
        <v>0</v>
      </c>
      <c r="AB54" s="236">
        <v>0</v>
      </c>
      <c r="AC54" s="236">
        <v>0</v>
      </c>
      <c r="AD54" s="236">
        <v>0</v>
      </c>
      <c r="AE54" s="236">
        <v>0</v>
      </c>
      <c r="AF54" s="236">
        <v>0</v>
      </c>
      <c r="AG54" s="236">
        <v>0</v>
      </c>
      <c r="AH54" s="236">
        <v>0</v>
      </c>
      <c r="AI54" s="236">
        <v>0</v>
      </c>
      <c r="AJ54" s="236">
        <v>0</v>
      </c>
      <c r="AK54" s="236">
        <v>0</v>
      </c>
      <c r="AL54" s="236">
        <v>0</v>
      </c>
      <c r="AM54" s="236">
        <v>0</v>
      </c>
      <c r="AN54" s="236">
        <v>0</v>
      </c>
      <c r="AO54" s="236">
        <v>0</v>
      </c>
      <c r="AP54" s="236">
        <v>0</v>
      </c>
      <c r="AQ54" s="236">
        <v>0</v>
      </c>
    </row>
    <row r="57" spans="2:43" x14ac:dyDescent="0.2">
      <c r="B57" s="230"/>
      <c r="C57" s="230"/>
      <c r="D57" s="230" t="s">
        <v>10</v>
      </c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</row>
    <row r="58" spans="2:43" x14ac:dyDescent="0.2">
      <c r="B58" s="232" t="s">
        <v>438</v>
      </c>
      <c r="C58" s="232"/>
      <c r="D58" s="230">
        <v>1</v>
      </c>
      <c r="E58" s="230">
        <v>2</v>
      </c>
      <c r="F58" s="230">
        <v>3</v>
      </c>
      <c r="G58" s="230">
        <v>4</v>
      </c>
      <c r="H58" s="230">
        <v>5</v>
      </c>
      <c r="I58" s="230">
        <v>6</v>
      </c>
      <c r="J58" s="230">
        <v>7</v>
      </c>
      <c r="K58" s="230">
        <v>8</v>
      </c>
      <c r="L58" s="230">
        <v>9</v>
      </c>
      <c r="M58" s="230">
        <v>10</v>
      </c>
      <c r="N58" s="230">
        <v>11</v>
      </c>
      <c r="O58" s="230">
        <v>12</v>
      </c>
      <c r="P58" s="230">
        <v>13</v>
      </c>
      <c r="Q58" s="230">
        <v>14</v>
      </c>
      <c r="R58" s="230">
        <v>15</v>
      </c>
      <c r="S58" s="230">
        <v>16</v>
      </c>
      <c r="T58" s="230">
        <v>17</v>
      </c>
      <c r="U58" s="230">
        <v>18</v>
      </c>
      <c r="V58" s="230">
        <v>19</v>
      </c>
      <c r="W58" s="230">
        <v>20</v>
      </c>
      <c r="X58" s="230">
        <v>21</v>
      </c>
      <c r="Y58" s="230">
        <v>22</v>
      </c>
      <c r="Z58" s="230">
        <v>23</v>
      </c>
      <c r="AA58" s="230">
        <v>24</v>
      </c>
      <c r="AB58" s="230">
        <v>25</v>
      </c>
      <c r="AC58" s="230">
        <v>26</v>
      </c>
      <c r="AD58" s="230">
        <v>27</v>
      </c>
      <c r="AE58" s="230">
        <v>28</v>
      </c>
      <c r="AF58" s="230">
        <v>29</v>
      </c>
      <c r="AG58" s="230">
        <v>30</v>
      </c>
      <c r="AH58" s="230">
        <v>31</v>
      </c>
      <c r="AI58" s="230">
        <v>32</v>
      </c>
      <c r="AJ58" s="230">
        <v>33</v>
      </c>
      <c r="AK58" s="230">
        <v>34</v>
      </c>
      <c r="AL58" s="230">
        <v>35</v>
      </c>
      <c r="AM58" s="230">
        <v>36</v>
      </c>
      <c r="AN58" s="230">
        <v>37</v>
      </c>
      <c r="AO58" s="230">
        <v>38</v>
      </c>
      <c r="AP58" s="230">
        <v>39</v>
      </c>
      <c r="AQ58" s="230">
        <v>40</v>
      </c>
    </row>
    <row r="59" spans="2:43" x14ac:dyDescent="0.2">
      <c r="B59" s="233" t="s">
        <v>63</v>
      </c>
      <c r="C59" s="234" t="s">
        <v>9</v>
      </c>
      <c r="D59" s="301">
        <f t="shared" ref="D59:AN59" si="31">D4</f>
        <v>2026</v>
      </c>
      <c r="E59" s="301">
        <f t="shared" si="31"/>
        <v>2027</v>
      </c>
      <c r="F59" s="301">
        <f t="shared" si="31"/>
        <v>2028</v>
      </c>
      <c r="G59" s="301">
        <f t="shared" si="31"/>
        <v>2029</v>
      </c>
      <c r="H59" s="301">
        <f t="shared" si="31"/>
        <v>2030</v>
      </c>
      <c r="I59" s="301">
        <f t="shared" si="31"/>
        <v>2031</v>
      </c>
      <c r="J59" s="301">
        <f t="shared" si="31"/>
        <v>2032</v>
      </c>
      <c r="K59" s="301">
        <f t="shared" si="31"/>
        <v>2033</v>
      </c>
      <c r="L59" s="301">
        <f t="shared" si="31"/>
        <v>2034</v>
      </c>
      <c r="M59" s="301">
        <f t="shared" si="31"/>
        <v>2035</v>
      </c>
      <c r="N59" s="301">
        <f t="shared" si="31"/>
        <v>2036</v>
      </c>
      <c r="O59" s="301">
        <f t="shared" si="31"/>
        <v>2037</v>
      </c>
      <c r="P59" s="301">
        <f t="shared" si="31"/>
        <v>2038</v>
      </c>
      <c r="Q59" s="301">
        <f t="shared" si="31"/>
        <v>2039</v>
      </c>
      <c r="R59" s="301">
        <f t="shared" si="31"/>
        <v>2040</v>
      </c>
      <c r="S59" s="301">
        <f t="shared" si="31"/>
        <v>2041</v>
      </c>
      <c r="T59" s="301">
        <f t="shared" si="31"/>
        <v>2042</v>
      </c>
      <c r="U59" s="301">
        <f t="shared" si="31"/>
        <v>2043</v>
      </c>
      <c r="V59" s="301">
        <f t="shared" si="31"/>
        <v>2044</v>
      </c>
      <c r="W59" s="301">
        <f t="shared" si="31"/>
        <v>2045</v>
      </c>
      <c r="X59" s="301">
        <f t="shared" si="31"/>
        <v>2046</v>
      </c>
      <c r="Y59" s="301">
        <f t="shared" si="31"/>
        <v>2047</v>
      </c>
      <c r="Z59" s="301">
        <f t="shared" si="31"/>
        <v>2048</v>
      </c>
      <c r="AA59" s="301">
        <f t="shared" si="31"/>
        <v>2049</v>
      </c>
      <c r="AB59" s="301">
        <f t="shared" si="31"/>
        <v>2050</v>
      </c>
      <c r="AC59" s="301">
        <f t="shared" si="31"/>
        <v>2051</v>
      </c>
      <c r="AD59" s="301">
        <f t="shared" si="31"/>
        <v>2052</v>
      </c>
      <c r="AE59" s="301">
        <f t="shared" si="31"/>
        <v>2053</v>
      </c>
      <c r="AF59" s="301">
        <f t="shared" si="31"/>
        <v>2054</v>
      </c>
      <c r="AG59" s="301">
        <f t="shared" si="31"/>
        <v>2055</v>
      </c>
      <c r="AH59" s="301">
        <f t="shared" si="31"/>
        <v>2056</v>
      </c>
      <c r="AI59" s="301">
        <f t="shared" si="31"/>
        <v>2057</v>
      </c>
      <c r="AJ59" s="301">
        <f t="shared" si="31"/>
        <v>2058</v>
      </c>
      <c r="AK59" s="301">
        <f t="shared" si="31"/>
        <v>2059</v>
      </c>
      <c r="AL59" s="301">
        <f t="shared" si="31"/>
        <v>2060</v>
      </c>
      <c r="AM59" s="301">
        <f t="shared" si="31"/>
        <v>2061</v>
      </c>
      <c r="AN59" s="301">
        <f t="shared" si="31"/>
        <v>2062</v>
      </c>
      <c r="AO59" s="301">
        <f t="shared" ref="AO59:AQ59" si="32">AO4</f>
        <v>2063</v>
      </c>
      <c r="AP59" s="301">
        <f t="shared" si="32"/>
        <v>2064</v>
      </c>
      <c r="AQ59" s="301">
        <f t="shared" si="32"/>
        <v>2065</v>
      </c>
    </row>
    <row r="60" spans="2:43" x14ac:dyDescent="0.2">
      <c r="B60" s="230" t="s">
        <v>390</v>
      </c>
      <c r="C60" s="235">
        <f t="shared" ref="C60:C66" si="33">SUM(D60:AQ60)</f>
        <v>51632.199864941504</v>
      </c>
      <c r="D60" s="235">
        <f>D42-D51</f>
        <v>0</v>
      </c>
      <c r="E60" s="235">
        <f t="shared" ref="E60:AN63" si="34">E42-E51</f>
        <v>0</v>
      </c>
      <c r="F60" s="235">
        <f t="shared" si="34"/>
        <v>0</v>
      </c>
      <c r="G60" s="235">
        <f t="shared" si="34"/>
        <v>1193.5571190995649</v>
      </c>
      <c r="H60" s="235">
        <f t="shared" si="34"/>
        <v>2253.661516550635</v>
      </c>
      <c r="I60" s="235">
        <f t="shared" si="34"/>
        <v>2634.9195107629448</v>
      </c>
      <c r="J60" s="235">
        <f t="shared" si="34"/>
        <v>2605.1506483772155</v>
      </c>
      <c r="K60" s="235">
        <f t="shared" si="34"/>
        <v>2561.6678318699915</v>
      </c>
      <c r="L60" s="235">
        <f t="shared" si="34"/>
        <v>2507.907282401196</v>
      </c>
      <c r="M60" s="235">
        <f t="shared" si="34"/>
        <v>2428.9726785604712</v>
      </c>
      <c r="N60" s="235">
        <f t="shared" si="34"/>
        <v>2369.580571151449</v>
      </c>
      <c r="O60" s="235">
        <f t="shared" si="34"/>
        <v>2308.4537003964028</v>
      </c>
      <c r="P60" s="235">
        <f t="shared" si="34"/>
        <v>2246.1743983384281</v>
      </c>
      <c r="Q60" s="235">
        <f t="shared" si="34"/>
        <v>2182.1085300582736</v>
      </c>
      <c r="R60" s="235">
        <f t="shared" si="34"/>
        <v>2116.8499631317727</v>
      </c>
      <c r="S60" s="235">
        <f t="shared" si="34"/>
        <v>2025.3981605961069</v>
      </c>
      <c r="T60" s="235">
        <f t="shared" si="34"/>
        <v>1934.6156823381302</v>
      </c>
      <c r="U60" s="235">
        <f t="shared" si="34"/>
        <v>1843.87687190208</v>
      </c>
      <c r="V60" s="235">
        <f t="shared" si="34"/>
        <v>1753.8040160225103</v>
      </c>
      <c r="W60" s="235">
        <f t="shared" si="34"/>
        <v>1663.7739597570599</v>
      </c>
      <c r="X60" s="235">
        <f t="shared" si="34"/>
        <v>1574.4065045699156</v>
      </c>
      <c r="Y60" s="235">
        <f t="shared" si="34"/>
        <v>1485.0809870305106</v>
      </c>
      <c r="Z60" s="235">
        <f t="shared" si="34"/>
        <v>1396.4147332582606</v>
      </c>
      <c r="AA60" s="235">
        <f t="shared" si="34"/>
        <v>1307.7895613727826</v>
      </c>
      <c r="AB60" s="235">
        <f t="shared" si="34"/>
        <v>1219.8203320346734</v>
      </c>
      <c r="AC60" s="235">
        <f t="shared" si="34"/>
        <v>1132.1977484556712</v>
      </c>
      <c r="AD60" s="235">
        <f t="shared" si="34"/>
        <v>1044.6149752928616</v>
      </c>
      <c r="AE60" s="235">
        <f t="shared" si="34"/>
        <v>957.68319346723115</v>
      </c>
      <c r="AF60" s="235">
        <f t="shared" si="34"/>
        <v>870.79038165155146</v>
      </c>
      <c r="AG60" s="235">
        <f t="shared" si="34"/>
        <v>784.54527985049594</v>
      </c>
      <c r="AH60" s="235">
        <f t="shared" si="34"/>
        <v>698.33831373398311</v>
      </c>
      <c r="AI60" s="235">
        <f t="shared" si="34"/>
        <v>612.77579213883007</v>
      </c>
      <c r="AJ60" s="235">
        <f t="shared" si="34"/>
        <v>527.25057794846521</v>
      </c>
      <c r="AK60" s="235">
        <f t="shared" si="34"/>
        <v>442.36655854137433</v>
      </c>
      <c r="AL60" s="235">
        <f t="shared" si="34"/>
        <v>357.51902426997827</v>
      </c>
      <c r="AM60" s="235">
        <f t="shared" si="34"/>
        <v>273.30945072517579</v>
      </c>
      <c r="AN60" s="235">
        <f t="shared" si="34"/>
        <v>189.1355460228252</v>
      </c>
      <c r="AO60" s="235">
        <f t="shared" ref="AO60:AQ60" si="35">AO42-AO51</f>
        <v>105.59638359835995</v>
      </c>
      <c r="AP60" s="235">
        <f t="shared" si="35"/>
        <v>22.092079664323062</v>
      </c>
      <c r="AQ60" s="235">
        <f t="shared" si="35"/>
        <v>0</v>
      </c>
    </row>
    <row r="61" spans="2:43" x14ac:dyDescent="0.2">
      <c r="B61" s="230" t="s">
        <v>391</v>
      </c>
      <c r="C61" s="235">
        <f t="shared" si="33"/>
        <v>38540.897383618852</v>
      </c>
      <c r="D61" s="235">
        <f t="shared" ref="D61:AG62" si="36">D43-D52</f>
        <v>0</v>
      </c>
      <c r="E61" s="235">
        <f t="shared" si="36"/>
        <v>0</v>
      </c>
      <c r="F61" s="235">
        <f t="shared" si="36"/>
        <v>0</v>
      </c>
      <c r="G61" s="235">
        <f t="shared" si="36"/>
        <v>890.93167769399645</v>
      </c>
      <c r="H61" s="235">
        <f t="shared" si="36"/>
        <v>1682.2474632882322</v>
      </c>
      <c r="I61" s="235">
        <f t="shared" si="36"/>
        <v>1966.8378016828253</v>
      </c>
      <c r="J61" s="235">
        <f t="shared" si="36"/>
        <v>1944.6168102581603</v>
      </c>
      <c r="K61" s="235">
        <f t="shared" si="36"/>
        <v>1912.1590266785463</v>
      </c>
      <c r="L61" s="235">
        <f t="shared" si="36"/>
        <v>1872.029421010307</v>
      </c>
      <c r="M61" s="235">
        <f t="shared" si="36"/>
        <v>1813.1086220786376</v>
      </c>
      <c r="N61" s="235">
        <f t="shared" si="36"/>
        <v>1768.7753354273705</v>
      </c>
      <c r="O61" s="235">
        <f t="shared" si="36"/>
        <v>1723.1471332722335</v>
      </c>
      <c r="P61" s="235">
        <f t="shared" si="36"/>
        <v>1676.6586978381742</v>
      </c>
      <c r="Q61" s="235">
        <f t="shared" si="36"/>
        <v>1628.8366786014062</v>
      </c>
      <c r="R61" s="235">
        <f t="shared" si="36"/>
        <v>1580.1243684946255</v>
      </c>
      <c r="S61" s="235">
        <f t="shared" si="36"/>
        <v>1511.8600964648897</v>
      </c>
      <c r="T61" s="235">
        <f t="shared" si="36"/>
        <v>1444.0954420840287</v>
      </c>
      <c r="U61" s="235">
        <f t="shared" si="36"/>
        <v>1376.3633835841927</v>
      </c>
      <c r="V61" s="235">
        <f t="shared" si="36"/>
        <v>1309.1284274021082</v>
      </c>
      <c r="W61" s="235">
        <f t="shared" si="36"/>
        <v>1241.925419026627</v>
      </c>
      <c r="X61" s="235">
        <f t="shared" si="36"/>
        <v>1175.2170097623998</v>
      </c>
      <c r="Y61" s="235">
        <f t="shared" si="36"/>
        <v>1108.539904889275</v>
      </c>
      <c r="Z61" s="235">
        <f t="shared" si="36"/>
        <v>1042.3549079887935</v>
      </c>
      <c r="AA61" s="235">
        <f t="shared" si="36"/>
        <v>976.20057669594735</v>
      </c>
      <c r="AB61" s="235">
        <f t="shared" si="36"/>
        <v>910.53587424854675</v>
      </c>
      <c r="AC61" s="235">
        <f t="shared" si="36"/>
        <v>845.12992580862931</v>
      </c>
      <c r="AD61" s="235">
        <f t="shared" si="36"/>
        <v>779.75369388610363</v>
      </c>
      <c r="AE61" s="235">
        <f t="shared" si="36"/>
        <v>714.86339497416975</v>
      </c>
      <c r="AF61" s="235">
        <f t="shared" si="36"/>
        <v>650.00218525770845</v>
      </c>
      <c r="AG61" s="235">
        <f t="shared" si="36"/>
        <v>585.62445920596178</v>
      </c>
      <c r="AH61" s="235">
        <f t="shared" si="34"/>
        <v>521.27519956681124</v>
      </c>
      <c r="AI61" s="235">
        <f t="shared" si="34"/>
        <v>457.40698606228477</v>
      </c>
      <c r="AJ61" s="235">
        <f t="shared" si="34"/>
        <v>393.56662070026152</v>
      </c>
      <c r="AK61" s="235">
        <f t="shared" si="34"/>
        <v>330.20487570323758</v>
      </c>
      <c r="AL61" s="235">
        <f t="shared" si="34"/>
        <v>266.87036506528636</v>
      </c>
      <c r="AM61" s="235">
        <f t="shared" si="34"/>
        <v>204.01206072810751</v>
      </c>
      <c r="AN61" s="235">
        <f t="shared" si="34"/>
        <v>141.18038142724959</v>
      </c>
      <c r="AO61" s="235">
        <f t="shared" ref="AO61:AQ61" si="37">AO43-AO52</f>
        <v>78.822506013520467</v>
      </c>
      <c r="AP61" s="235">
        <f t="shared" si="37"/>
        <v>16.490650748188344</v>
      </c>
      <c r="AQ61" s="235">
        <f t="shared" si="37"/>
        <v>0</v>
      </c>
    </row>
    <row r="62" spans="2:43" x14ac:dyDescent="0.2">
      <c r="B62" s="230" t="s">
        <v>392</v>
      </c>
      <c r="C62" s="235">
        <f t="shared" si="33"/>
        <v>207973.45725620887</v>
      </c>
      <c r="D62" s="235">
        <f>D44-D53</f>
        <v>0</v>
      </c>
      <c r="E62" s="235">
        <f t="shared" si="36"/>
        <v>0</v>
      </c>
      <c r="F62" s="235">
        <f t="shared" si="36"/>
        <v>0</v>
      </c>
      <c r="G62" s="235">
        <f t="shared" si="36"/>
        <v>249.19073543716436</v>
      </c>
      <c r="H62" s="235">
        <f t="shared" si="36"/>
        <v>558.78907029264087</v>
      </c>
      <c r="I62" s="235">
        <f t="shared" si="36"/>
        <v>817.19740958634168</v>
      </c>
      <c r="J62" s="235">
        <f t="shared" si="36"/>
        <v>1025.5214592251396</v>
      </c>
      <c r="K62" s="235">
        <f t="shared" si="36"/>
        <v>1283.7795393793017</v>
      </c>
      <c r="L62" s="235">
        <f t="shared" si="36"/>
        <v>1579.7261521870255</v>
      </c>
      <c r="M62" s="235">
        <f t="shared" si="36"/>
        <v>1966.5012094346812</v>
      </c>
      <c r="N62" s="235">
        <f t="shared" si="36"/>
        <v>2284.6279564398765</v>
      </c>
      <c r="O62" s="235">
        <f t="shared" si="36"/>
        <v>2610.0049276608506</v>
      </c>
      <c r="P62" s="235">
        <f t="shared" si="36"/>
        <v>2940.5657927200168</v>
      </c>
      <c r="Q62" s="235">
        <f t="shared" si="36"/>
        <v>3278.5830092060896</v>
      </c>
      <c r="R62" s="235">
        <f t="shared" si="36"/>
        <v>3621.9493174779359</v>
      </c>
      <c r="S62" s="235">
        <f t="shared" si="36"/>
        <v>3925.7796976391533</v>
      </c>
      <c r="T62" s="235">
        <f t="shared" si="36"/>
        <v>4227.2675368328537</v>
      </c>
      <c r="U62" s="235">
        <f t="shared" si="36"/>
        <v>4528.6442277372917</v>
      </c>
      <c r="V62" s="235">
        <f t="shared" si="36"/>
        <v>4827.6902176340345</v>
      </c>
      <c r="W62" s="235">
        <f t="shared" si="36"/>
        <v>5126.627977597861</v>
      </c>
      <c r="X62" s="235">
        <f t="shared" si="36"/>
        <v>5423.246819294588</v>
      </c>
      <c r="Y62" s="235">
        <f t="shared" si="36"/>
        <v>5719.7603278660581</v>
      </c>
      <c r="Z62" s="235">
        <f t="shared" si="36"/>
        <v>6013.9666439600323</v>
      </c>
      <c r="AA62" s="235">
        <f t="shared" si="36"/>
        <v>6308.0705023133387</v>
      </c>
      <c r="AB62" s="235">
        <f t="shared" si="36"/>
        <v>6599.8788372947665</v>
      </c>
      <c r="AC62" s="235">
        <f t="shared" si="36"/>
        <v>6890.4947066542572</v>
      </c>
      <c r="AD62" s="235">
        <f t="shared" si="36"/>
        <v>7181.0123892647762</v>
      </c>
      <c r="AE62" s="235">
        <f t="shared" si="36"/>
        <v>7469.2519442746998</v>
      </c>
      <c r="AF62" s="235">
        <f t="shared" si="36"/>
        <v>7757.3961349165684</v>
      </c>
      <c r="AG62" s="235">
        <f t="shared" si="36"/>
        <v>8043.2737265223541</v>
      </c>
      <c r="AH62" s="235">
        <f t="shared" si="34"/>
        <v>8329.0587551523859</v>
      </c>
      <c r="AI62" s="235">
        <f t="shared" si="34"/>
        <v>8612.5886575517306</v>
      </c>
      <c r="AJ62" s="235">
        <f t="shared" si="34"/>
        <v>8896.028777501675</v>
      </c>
      <c r="AK62" s="235">
        <f t="shared" si="34"/>
        <v>9177.2251885287642</v>
      </c>
      <c r="AL62" s="235">
        <f t="shared" si="34"/>
        <v>9458.3345768888812</v>
      </c>
      <c r="AM62" s="235">
        <f t="shared" si="34"/>
        <v>9737.2116183967446</v>
      </c>
      <c r="AN62" s="235">
        <f t="shared" si="34"/>
        <v>10016.004376397535</v>
      </c>
      <c r="AO62" s="235">
        <f t="shared" ref="AO62:AQ62" si="38">AO44-AO53</f>
        <v>10292.576094638574</v>
      </c>
      <c r="AP62" s="235">
        <f t="shared" si="38"/>
        <v>10569.066248030656</v>
      </c>
      <c r="AQ62" s="235">
        <f t="shared" si="38"/>
        <v>10626.564694272207</v>
      </c>
    </row>
    <row r="63" spans="2:43" ht="12" thickBot="1" x14ac:dyDescent="0.25">
      <c r="B63" s="239" t="s">
        <v>138</v>
      </c>
      <c r="C63" s="240">
        <f t="shared" si="33"/>
        <v>0</v>
      </c>
      <c r="D63" s="240">
        <f t="shared" ref="D63:AG63" si="39">D45-D54</f>
        <v>0</v>
      </c>
      <c r="E63" s="240">
        <f t="shared" si="39"/>
        <v>0</v>
      </c>
      <c r="F63" s="240">
        <f t="shared" si="39"/>
        <v>0</v>
      </c>
      <c r="G63" s="240">
        <f t="shared" si="39"/>
        <v>0</v>
      </c>
      <c r="H63" s="240">
        <f t="shared" si="39"/>
        <v>0</v>
      </c>
      <c r="I63" s="240">
        <f t="shared" si="39"/>
        <v>0</v>
      </c>
      <c r="J63" s="240">
        <f t="shared" si="39"/>
        <v>0</v>
      </c>
      <c r="K63" s="240">
        <f t="shared" si="39"/>
        <v>0</v>
      </c>
      <c r="L63" s="240">
        <f t="shared" si="39"/>
        <v>0</v>
      </c>
      <c r="M63" s="240">
        <f t="shared" si="39"/>
        <v>0</v>
      </c>
      <c r="N63" s="240">
        <f t="shared" si="39"/>
        <v>0</v>
      </c>
      <c r="O63" s="240">
        <f t="shared" si="39"/>
        <v>0</v>
      </c>
      <c r="P63" s="240">
        <f t="shared" si="39"/>
        <v>0</v>
      </c>
      <c r="Q63" s="240">
        <f t="shared" si="39"/>
        <v>0</v>
      </c>
      <c r="R63" s="240">
        <f t="shared" si="39"/>
        <v>0</v>
      </c>
      <c r="S63" s="240">
        <f t="shared" si="39"/>
        <v>0</v>
      </c>
      <c r="T63" s="240">
        <f t="shared" si="39"/>
        <v>0</v>
      </c>
      <c r="U63" s="240">
        <f t="shared" si="39"/>
        <v>0</v>
      </c>
      <c r="V63" s="240">
        <f t="shared" si="39"/>
        <v>0</v>
      </c>
      <c r="W63" s="240">
        <f t="shared" si="39"/>
        <v>0</v>
      </c>
      <c r="X63" s="240">
        <f t="shared" si="39"/>
        <v>0</v>
      </c>
      <c r="Y63" s="240">
        <f t="shared" si="39"/>
        <v>0</v>
      </c>
      <c r="Z63" s="240">
        <f t="shared" si="39"/>
        <v>0</v>
      </c>
      <c r="AA63" s="240">
        <f t="shared" si="39"/>
        <v>0</v>
      </c>
      <c r="AB63" s="240">
        <f t="shared" si="39"/>
        <v>0</v>
      </c>
      <c r="AC63" s="240">
        <f t="shared" si="39"/>
        <v>0</v>
      </c>
      <c r="AD63" s="240">
        <f t="shared" si="39"/>
        <v>0</v>
      </c>
      <c r="AE63" s="240">
        <f t="shared" si="39"/>
        <v>0</v>
      </c>
      <c r="AF63" s="240">
        <f t="shared" si="39"/>
        <v>0</v>
      </c>
      <c r="AG63" s="240">
        <f t="shared" si="39"/>
        <v>0</v>
      </c>
      <c r="AH63" s="240">
        <f t="shared" si="34"/>
        <v>0</v>
      </c>
      <c r="AI63" s="240">
        <f t="shared" si="34"/>
        <v>0</v>
      </c>
      <c r="AJ63" s="240">
        <f t="shared" si="34"/>
        <v>0</v>
      </c>
      <c r="AK63" s="240">
        <f t="shared" si="34"/>
        <v>0</v>
      </c>
      <c r="AL63" s="240">
        <f t="shared" si="34"/>
        <v>0</v>
      </c>
      <c r="AM63" s="240">
        <f t="shared" si="34"/>
        <v>0</v>
      </c>
      <c r="AN63" s="240">
        <f t="shared" si="34"/>
        <v>0</v>
      </c>
      <c r="AO63" s="240">
        <f t="shared" ref="AO63:AQ63" si="40">AO45-AO54</f>
        <v>0</v>
      </c>
      <c r="AP63" s="240">
        <f t="shared" si="40"/>
        <v>0</v>
      </c>
      <c r="AQ63" s="240">
        <f t="shared" si="40"/>
        <v>0</v>
      </c>
    </row>
    <row r="64" spans="2:43" ht="12" thickTop="1" x14ac:dyDescent="0.2">
      <c r="B64" s="241" t="s">
        <v>393</v>
      </c>
      <c r="C64" s="242">
        <f t="shared" si="33"/>
        <v>51632.199864941504</v>
      </c>
      <c r="D64" s="243">
        <f t="shared" ref="D64:AN64" si="41">D60</f>
        <v>0</v>
      </c>
      <c r="E64" s="243">
        <f t="shared" si="41"/>
        <v>0</v>
      </c>
      <c r="F64" s="243">
        <f t="shared" si="41"/>
        <v>0</v>
      </c>
      <c r="G64" s="243">
        <f t="shared" si="41"/>
        <v>1193.5571190995649</v>
      </c>
      <c r="H64" s="243">
        <f t="shared" si="41"/>
        <v>2253.661516550635</v>
      </c>
      <c r="I64" s="243">
        <f t="shared" si="41"/>
        <v>2634.9195107629448</v>
      </c>
      <c r="J64" s="243">
        <f t="shared" si="41"/>
        <v>2605.1506483772155</v>
      </c>
      <c r="K64" s="243">
        <f t="shared" si="41"/>
        <v>2561.6678318699915</v>
      </c>
      <c r="L64" s="243">
        <f t="shared" si="41"/>
        <v>2507.907282401196</v>
      </c>
      <c r="M64" s="243">
        <f t="shared" si="41"/>
        <v>2428.9726785604712</v>
      </c>
      <c r="N64" s="243">
        <f t="shared" si="41"/>
        <v>2369.580571151449</v>
      </c>
      <c r="O64" s="243">
        <f t="shared" si="41"/>
        <v>2308.4537003964028</v>
      </c>
      <c r="P64" s="243">
        <f t="shared" si="41"/>
        <v>2246.1743983384281</v>
      </c>
      <c r="Q64" s="243">
        <f t="shared" si="41"/>
        <v>2182.1085300582736</v>
      </c>
      <c r="R64" s="243">
        <f t="shared" si="41"/>
        <v>2116.8499631317727</v>
      </c>
      <c r="S64" s="243">
        <f t="shared" si="41"/>
        <v>2025.3981605961069</v>
      </c>
      <c r="T64" s="243">
        <f t="shared" si="41"/>
        <v>1934.6156823381302</v>
      </c>
      <c r="U64" s="243">
        <f t="shared" si="41"/>
        <v>1843.87687190208</v>
      </c>
      <c r="V64" s="243">
        <f t="shared" si="41"/>
        <v>1753.8040160225103</v>
      </c>
      <c r="W64" s="243">
        <f t="shared" si="41"/>
        <v>1663.7739597570599</v>
      </c>
      <c r="X64" s="243">
        <f t="shared" si="41"/>
        <v>1574.4065045699156</v>
      </c>
      <c r="Y64" s="243">
        <f t="shared" si="41"/>
        <v>1485.0809870305106</v>
      </c>
      <c r="Z64" s="243">
        <f t="shared" si="41"/>
        <v>1396.4147332582606</v>
      </c>
      <c r="AA64" s="243">
        <f t="shared" si="41"/>
        <v>1307.7895613727826</v>
      </c>
      <c r="AB64" s="243">
        <f t="shared" si="41"/>
        <v>1219.8203320346734</v>
      </c>
      <c r="AC64" s="243">
        <f t="shared" si="41"/>
        <v>1132.1977484556712</v>
      </c>
      <c r="AD64" s="243">
        <f t="shared" si="41"/>
        <v>1044.6149752928616</v>
      </c>
      <c r="AE64" s="243">
        <f t="shared" si="41"/>
        <v>957.68319346723115</v>
      </c>
      <c r="AF64" s="243">
        <f t="shared" si="41"/>
        <v>870.79038165155146</v>
      </c>
      <c r="AG64" s="243">
        <f t="shared" si="41"/>
        <v>784.54527985049594</v>
      </c>
      <c r="AH64" s="243">
        <f t="shared" si="41"/>
        <v>698.33831373398311</v>
      </c>
      <c r="AI64" s="243">
        <f t="shared" si="41"/>
        <v>612.77579213883007</v>
      </c>
      <c r="AJ64" s="243">
        <f t="shared" si="41"/>
        <v>527.25057794846521</v>
      </c>
      <c r="AK64" s="243">
        <f t="shared" si="41"/>
        <v>442.36655854137433</v>
      </c>
      <c r="AL64" s="243">
        <f t="shared" si="41"/>
        <v>357.51902426997827</v>
      </c>
      <c r="AM64" s="243">
        <f t="shared" si="41"/>
        <v>273.30945072517579</v>
      </c>
      <c r="AN64" s="243">
        <f t="shared" si="41"/>
        <v>189.1355460228252</v>
      </c>
      <c r="AO64" s="243">
        <f t="shared" ref="AO64:AQ64" si="42">AO60</f>
        <v>105.59638359835995</v>
      </c>
      <c r="AP64" s="243">
        <f t="shared" si="42"/>
        <v>22.092079664323062</v>
      </c>
      <c r="AQ64" s="243">
        <f t="shared" si="42"/>
        <v>0</v>
      </c>
    </row>
    <row r="65" spans="2:43" x14ac:dyDescent="0.2">
      <c r="B65" s="230" t="s">
        <v>394</v>
      </c>
      <c r="C65" s="235">
        <f t="shared" si="33"/>
        <v>38540.897383618852</v>
      </c>
      <c r="D65" s="235">
        <f>D61+D63</f>
        <v>0</v>
      </c>
      <c r="E65" s="235">
        <f t="shared" ref="E65:AN65" si="43">E61+E63</f>
        <v>0</v>
      </c>
      <c r="F65" s="235">
        <f t="shared" si="43"/>
        <v>0</v>
      </c>
      <c r="G65" s="235">
        <f t="shared" si="43"/>
        <v>890.93167769399645</v>
      </c>
      <c r="H65" s="235">
        <f t="shared" si="43"/>
        <v>1682.2474632882322</v>
      </c>
      <c r="I65" s="235">
        <f t="shared" si="43"/>
        <v>1966.8378016828253</v>
      </c>
      <c r="J65" s="235">
        <f t="shared" si="43"/>
        <v>1944.6168102581603</v>
      </c>
      <c r="K65" s="235">
        <f t="shared" si="43"/>
        <v>1912.1590266785463</v>
      </c>
      <c r="L65" s="235">
        <f t="shared" si="43"/>
        <v>1872.029421010307</v>
      </c>
      <c r="M65" s="235">
        <f t="shared" si="43"/>
        <v>1813.1086220786376</v>
      </c>
      <c r="N65" s="235">
        <f t="shared" si="43"/>
        <v>1768.7753354273705</v>
      </c>
      <c r="O65" s="235">
        <f t="shared" si="43"/>
        <v>1723.1471332722335</v>
      </c>
      <c r="P65" s="235">
        <f t="shared" si="43"/>
        <v>1676.6586978381742</v>
      </c>
      <c r="Q65" s="235">
        <f t="shared" si="43"/>
        <v>1628.8366786014062</v>
      </c>
      <c r="R65" s="235">
        <f t="shared" si="43"/>
        <v>1580.1243684946255</v>
      </c>
      <c r="S65" s="235">
        <f t="shared" si="43"/>
        <v>1511.8600964648897</v>
      </c>
      <c r="T65" s="235">
        <f t="shared" si="43"/>
        <v>1444.0954420840287</v>
      </c>
      <c r="U65" s="235">
        <f t="shared" si="43"/>
        <v>1376.3633835841927</v>
      </c>
      <c r="V65" s="235">
        <f t="shared" si="43"/>
        <v>1309.1284274021082</v>
      </c>
      <c r="W65" s="235">
        <f t="shared" si="43"/>
        <v>1241.925419026627</v>
      </c>
      <c r="X65" s="235">
        <f t="shared" si="43"/>
        <v>1175.2170097623998</v>
      </c>
      <c r="Y65" s="235">
        <f t="shared" si="43"/>
        <v>1108.539904889275</v>
      </c>
      <c r="Z65" s="235">
        <f t="shared" si="43"/>
        <v>1042.3549079887935</v>
      </c>
      <c r="AA65" s="235">
        <f t="shared" si="43"/>
        <v>976.20057669594735</v>
      </c>
      <c r="AB65" s="235">
        <f t="shared" si="43"/>
        <v>910.53587424854675</v>
      </c>
      <c r="AC65" s="235">
        <f t="shared" si="43"/>
        <v>845.12992580862931</v>
      </c>
      <c r="AD65" s="235">
        <f t="shared" si="43"/>
        <v>779.75369388610363</v>
      </c>
      <c r="AE65" s="235">
        <f t="shared" si="43"/>
        <v>714.86339497416975</v>
      </c>
      <c r="AF65" s="235">
        <f t="shared" si="43"/>
        <v>650.00218525770845</v>
      </c>
      <c r="AG65" s="235">
        <f t="shared" si="43"/>
        <v>585.62445920596178</v>
      </c>
      <c r="AH65" s="235">
        <f t="shared" si="43"/>
        <v>521.27519956681124</v>
      </c>
      <c r="AI65" s="235">
        <f t="shared" si="43"/>
        <v>457.40698606228477</v>
      </c>
      <c r="AJ65" s="235">
        <f t="shared" si="43"/>
        <v>393.56662070026152</v>
      </c>
      <c r="AK65" s="235">
        <f t="shared" si="43"/>
        <v>330.20487570323758</v>
      </c>
      <c r="AL65" s="235">
        <f t="shared" si="43"/>
        <v>266.87036506528636</v>
      </c>
      <c r="AM65" s="235">
        <f t="shared" si="43"/>
        <v>204.01206072810751</v>
      </c>
      <c r="AN65" s="235">
        <f t="shared" si="43"/>
        <v>141.18038142724959</v>
      </c>
      <c r="AO65" s="235">
        <f t="shared" ref="AO65:AQ65" si="44">AO61+AO63</f>
        <v>78.822506013520467</v>
      </c>
      <c r="AP65" s="235">
        <f t="shared" si="44"/>
        <v>16.490650748188344</v>
      </c>
      <c r="AQ65" s="235">
        <f t="shared" si="44"/>
        <v>0</v>
      </c>
    </row>
    <row r="66" spans="2:43" x14ac:dyDescent="0.2">
      <c r="B66" s="230" t="s">
        <v>395</v>
      </c>
      <c r="C66" s="235">
        <f t="shared" si="33"/>
        <v>207973.45725620887</v>
      </c>
      <c r="D66" s="235">
        <f t="shared" ref="D66:AN66" si="45">D62</f>
        <v>0</v>
      </c>
      <c r="E66" s="235">
        <f t="shared" si="45"/>
        <v>0</v>
      </c>
      <c r="F66" s="235">
        <f t="shared" si="45"/>
        <v>0</v>
      </c>
      <c r="G66" s="235">
        <f t="shared" si="45"/>
        <v>249.19073543716436</v>
      </c>
      <c r="H66" s="235">
        <f t="shared" si="45"/>
        <v>558.78907029264087</v>
      </c>
      <c r="I66" s="235">
        <f t="shared" si="45"/>
        <v>817.19740958634168</v>
      </c>
      <c r="J66" s="235">
        <f t="shared" si="45"/>
        <v>1025.5214592251396</v>
      </c>
      <c r="K66" s="235">
        <f t="shared" si="45"/>
        <v>1283.7795393793017</v>
      </c>
      <c r="L66" s="235">
        <f t="shared" si="45"/>
        <v>1579.7261521870255</v>
      </c>
      <c r="M66" s="235">
        <f t="shared" si="45"/>
        <v>1966.5012094346812</v>
      </c>
      <c r="N66" s="235">
        <f t="shared" si="45"/>
        <v>2284.6279564398765</v>
      </c>
      <c r="O66" s="235">
        <f t="shared" si="45"/>
        <v>2610.0049276608506</v>
      </c>
      <c r="P66" s="235">
        <f t="shared" si="45"/>
        <v>2940.5657927200168</v>
      </c>
      <c r="Q66" s="235">
        <f t="shared" si="45"/>
        <v>3278.5830092060896</v>
      </c>
      <c r="R66" s="235">
        <f t="shared" si="45"/>
        <v>3621.9493174779359</v>
      </c>
      <c r="S66" s="235">
        <f t="shared" si="45"/>
        <v>3925.7796976391533</v>
      </c>
      <c r="T66" s="235">
        <f t="shared" si="45"/>
        <v>4227.2675368328537</v>
      </c>
      <c r="U66" s="235">
        <f t="shared" si="45"/>
        <v>4528.6442277372917</v>
      </c>
      <c r="V66" s="235">
        <f t="shared" si="45"/>
        <v>4827.6902176340345</v>
      </c>
      <c r="W66" s="235">
        <f t="shared" si="45"/>
        <v>5126.627977597861</v>
      </c>
      <c r="X66" s="235">
        <f t="shared" si="45"/>
        <v>5423.246819294588</v>
      </c>
      <c r="Y66" s="235">
        <f t="shared" si="45"/>
        <v>5719.7603278660581</v>
      </c>
      <c r="Z66" s="235">
        <f t="shared" si="45"/>
        <v>6013.9666439600323</v>
      </c>
      <c r="AA66" s="235">
        <f t="shared" si="45"/>
        <v>6308.0705023133387</v>
      </c>
      <c r="AB66" s="235">
        <f t="shared" si="45"/>
        <v>6599.8788372947665</v>
      </c>
      <c r="AC66" s="235">
        <f t="shared" si="45"/>
        <v>6890.4947066542572</v>
      </c>
      <c r="AD66" s="235">
        <f t="shared" si="45"/>
        <v>7181.0123892647762</v>
      </c>
      <c r="AE66" s="235">
        <f t="shared" si="45"/>
        <v>7469.2519442746998</v>
      </c>
      <c r="AF66" s="235">
        <f t="shared" si="45"/>
        <v>7757.3961349165684</v>
      </c>
      <c r="AG66" s="235">
        <f t="shared" si="45"/>
        <v>8043.2737265223541</v>
      </c>
      <c r="AH66" s="235">
        <f t="shared" si="45"/>
        <v>8329.0587551523859</v>
      </c>
      <c r="AI66" s="235">
        <f t="shared" si="45"/>
        <v>8612.5886575517306</v>
      </c>
      <c r="AJ66" s="235">
        <f t="shared" si="45"/>
        <v>8896.028777501675</v>
      </c>
      <c r="AK66" s="235">
        <f t="shared" si="45"/>
        <v>9177.2251885287642</v>
      </c>
      <c r="AL66" s="235">
        <f t="shared" si="45"/>
        <v>9458.3345768888812</v>
      </c>
      <c r="AM66" s="235">
        <f t="shared" si="45"/>
        <v>9737.2116183967446</v>
      </c>
      <c r="AN66" s="235">
        <f t="shared" si="45"/>
        <v>10016.004376397535</v>
      </c>
      <c r="AO66" s="235">
        <f t="shared" ref="AO66:AQ66" si="46">AO62</f>
        <v>10292.576094638574</v>
      </c>
      <c r="AP66" s="235">
        <f t="shared" si="46"/>
        <v>10569.066248030656</v>
      </c>
      <c r="AQ66" s="235">
        <f t="shared" si="46"/>
        <v>10626.564694272207</v>
      </c>
    </row>
    <row r="67" spans="2:43" x14ac:dyDescent="0.2"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</row>
    <row r="69" spans="2:43" x14ac:dyDescent="0.2">
      <c r="B69" s="232" t="s">
        <v>439</v>
      </c>
      <c r="C69" s="249" t="s">
        <v>9</v>
      </c>
    </row>
    <row r="70" spans="2:43" x14ac:dyDescent="0.2">
      <c r="B70" s="245" t="s">
        <v>109</v>
      </c>
      <c r="C70" s="235">
        <f t="shared" ref="C70:C73" si="47">SUM(D70:AQ70)</f>
        <v>31134.21651855973</v>
      </c>
      <c r="D70" s="235">
        <f>D64*[1]Parametre!$C$180</f>
        <v>0</v>
      </c>
      <c r="E70" s="235">
        <f>E64*[1]Parametre!$C$180</f>
        <v>0</v>
      </c>
      <c r="F70" s="235">
        <f>F64*[1]Parametre!$C$180</f>
        <v>0</v>
      </c>
      <c r="G70" s="235">
        <f>G64*[1]Parametre!$C$180</f>
        <v>719.71494281703758</v>
      </c>
      <c r="H70" s="235">
        <f>H64*[1]Parametre!$C$180</f>
        <v>1358.9578944800328</v>
      </c>
      <c r="I70" s="235">
        <f>I64*[1]Parametre!$C$180</f>
        <v>1588.8564649900557</v>
      </c>
      <c r="J70" s="235">
        <f>J64*[1]Parametre!$C$180</f>
        <v>1570.905840971461</v>
      </c>
      <c r="K70" s="235">
        <f>K64*[1]Parametre!$C$180</f>
        <v>1544.6857026176049</v>
      </c>
      <c r="L70" s="235">
        <f>L64*[1]Parametre!$C$180</f>
        <v>1512.2680912879212</v>
      </c>
      <c r="M70" s="235">
        <f>M64*[1]Parametre!$C$180</f>
        <v>1464.6705251719641</v>
      </c>
      <c r="N70" s="235">
        <f>N64*[1]Parametre!$C$180</f>
        <v>1428.8570844043238</v>
      </c>
      <c r="O70" s="235">
        <f>O64*[1]Parametre!$C$180</f>
        <v>1391.9975813390308</v>
      </c>
      <c r="P70" s="235">
        <f>P64*[1]Parametre!$C$180</f>
        <v>1354.4431621980721</v>
      </c>
      <c r="Q70" s="235">
        <f>Q64*[1]Parametre!$C$180</f>
        <v>1315.811443625139</v>
      </c>
      <c r="R70" s="235">
        <f>R64*[1]Parametre!$C$180</f>
        <v>1276.4605277684589</v>
      </c>
      <c r="S70" s="235">
        <f>S64*[1]Parametre!$C$180</f>
        <v>1221.3150908394525</v>
      </c>
      <c r="T70" s="235">
        <f>T64*[1]Parametre!$C$180</f>
        <v>1166.5732564498926</v>
      </c>
      <c r="U70" s="235">
        <f>U64*[1]Parametre!$C$180</f>
        <v>1111.8577537569543</v>
      </c>
      <c r="V70" s="235">
        <f>V64*[1]Parametre!$C$180</f>
        <v>1057.5438216615737</v>
      </c>
      <c r="W70" s="235">
        <f>W64*[1]Parametre!$C$180</f>
        <v>1003.2556977335071</v>
      </c>
      <c r="X70" s="235">
        <f>X64*[1]Parametre!$C$180</f>
        <v>949.36712225565907</v>
      </c>
      <c r="Y70" s="235">
        <f>Y64*[1]Parametre!$C$180</f>
        <v>895.50383517939792</v>
      </c>
      <c r="Z70" s="235">
        <f>Z64*[1]Parametre!$C$180</f>
        <v>842.03808415473111</v>
      </c>
      <c r="AA70" s="235">
        <f>AA64*[1]Parametre!$C$180</f>
        <v>788.59710550778789</v>
      </c>
      <c r="AB70" s="235">
        <f>AB64*[1]Parametre!$C$180</f>
        <v>735.55166021690798</v>
      </c>
      <c r="AC70" s="235">
        <f>AC64*[1]Parametre!$C$180</f>
        <v>682.7152423187697</v>
      </c>
      <c r="AD70" s="235">
        <f>AD64*[1]Parametre!$C$180</f>
        <v>629.90283010159555</v>
      </c>
      <c r="AE70" s="235">
        <f>AE64*[1]Parametre!$C$180</f>
        <v>577.48296566074032</v>
      </c>
      <c r="AF70" s="235">
        <f>AF64*[1]Parametre!$C$180</f>
        <v>525.08660013588553</v>
      </c>
      <c r="AG70" s="235">
        <f>AG64*[1]Parametre!$C$180</f>
        <v>473.08080374984905</v>
      </c>
      <c r="AH70" s="235">
        <f>AH64*[1]Parametre!$C$180</f>
        <v>421.09800318159182</v>
      </c>
      <c r="AI70" s="235">
        <f>AI64*[1]Parametre!$C$180</f>
        <v>369.50380265971449</v>
      </c>
      <c r="AJ70" s="235">
        <f>AJ64*[1]Parametre!$C$180</f>
        <v>317.93209850292453</v>
      </c>
      <c r="AK70" s="235">
        <f>AK64*[1]Parametre!$C$180</f>
        <v>266.74703480044872</v>
      </c>
      <c r="AL70" s="235">
        <f>AL64*[1]Parametre!$C$180</f>
        <v>215.58397163479688</v>
      </c>
      <c r="AM70" s="235">
        <f>AM64*[1]Parametre!$C$180</f>
        <v>164.80559878728099</v>
      </c>
      <c r="AN70" s="235">
        <f>AN64*[1]Parametre!$C$180</f>
        <v>114.04873425176359</v>
      </c>
      <c r="AO70" s="235">
        <f>AO64*[1]Parametre!$C$180</f>
        <v>63.67461930981105</v>
      </c>
      <c r="AP70" s="235">
        <f>AP64*[1]Parametre!$C$180</f>
        <v>13.321524037586807</v>
      </c>
      <c r="AQ70" s="235">
        <f>AQ64*[1]Parametre!$C$180</f>
        <v>0</v>
      </c>
    </row>
    <row r="71" spans="2:43" x14ac:dyDescent="0.2">
      <c r="B71" s="245" t="s">
        <v>110</v>
      </c>
      <c r="C71" s="235">
        <f t="shared" si="47"/>
        <v>25167.205991503106</v>
      </c>
      <c r="D71" s="235">
        <f>D65*[1]Parametre!$C$181</f>
        <v>0</v>
      </c>
      <c r="E71" s="235">
        <f>E65*[1]Parametre!$C$181</f>
        <v>0</v>
      </c>
      <c r="F71" s="235">
        <f>F65*[1]Parametre!$C$181</f>
        <v>0</v>
      </c>
      <c r="G71" s="235">
        <f>G65*[1]Parametre!$C$181</f>
        <v>581.77838553417973</v>
      </c>
      <c r="H71" s="235">
        <f>H65*[1]Parametre!$C$181</f>
        <v>1098.5075935272157</v>
      </c>
      <c r="I71" s="235">
        <f>I65*[1]Parametre!$C$181</f>
        <v>1284.3450844988849</v>
      </c>
      <c r="J71" s="235">
        <f>J65*[1]Parametre!$C$181</f>
        <v>1269.8347770985788</v>
      </c>
      <c r="K71" s="235">
        <f>K65*[1]Parametre!$C$181</f>
        <v>1248.6398444210909</v>
      </c>
      <c r="L71" s="235">
        <f>L65*[1]Parametre!$C$181</f>
        <v>1222.4352119197306</v>
      </c>
      <c r="M71" s="235">
        <f>M65*[1]Parametre!$C$181</f>
        <v>1183.9599302173503</v>
      </c>
      <c r="N71" s="235">
        <f>N65*[1]Parametre!$C$181</f>
        <v>1155.010294034073</v>
      </c>
      <c r="O71" s="235">
        <f>O65*[1]Parametre!$C$181</f>
        <v>1125.2150780267687</v>
      </c>
      <c r="P71" s="235">
        <f>P65*[1]Parametre!$C$181</f>
        <v>1094.8581296883278</v>
      </c>
      <c r="Q71" s="235">
        <f>Q65*[1]Parametre!$C$181</f>
        <v>1063.6303511267183</v>
      </c>
      <c r="R71" s="235">
        <f>R65*[1]Parametre!$C$181</f>
        <v>1031.8212126269905</v>
      </c>
      <c r="S71" s="235">
        <f>S65*[1]Parametre!$C$181</f>
        <v>987.24464299157296</v>
      </c>
      <c r="T71" s="235">
        <f>T65*[1]Parametre!$C$181</f>
        <v>942.99432368087082</v>
      </c>
      <c r="U71" s="235">
        <f>U65*[1]Parametre!$C$181</f>
        <v>898.7652894804778</v>
      </c>
      <c r="V71" s="235">
        <f>V65*[1]Parametre!$C$181</f>
        <v>854.86086309357665</v>
      </c>
      <c r="W71" s="235">
        <f>W65*[1]Parametre!$C$181</f>
        <v>810.97729862438746</v>
      </c>
      <c r="X71" s="235">
        <f>X65*[1]Parametre!$C$181</f>
        <v>767.41670737484708</v>
      </c>
      <c r="Y71" s="235">
        <f>Y65*[1]Parametre!$C$181</f>
        <v>723.87655789269661</v>
      </c>
      <c r="Z71" s="235">
        <f>Z65*[1]Parametre!$C$181</f>
        <v>680.65775491668217</v>
      </c>
      <c r="AA71" s="235">
        <f>AA65*[1]Parametre!$C$181</f>
        <v>637.4589765824536</v>
      </c>
      <c r="AB71" s="235">
        <f>AB65*[1]Parametre!$C$181</f>
        <v>594.57992588430102</v>
      </c>
      <c r="AC71" s="235">
        <f>AC65*[1]Parametre!$C$181</f>
        <v>551.86984155303492</v>
      </c>
      <c r="AD71" s="235">
        <f>AD65*[1]Parametre!$C$181</f>
        <v>509.1791621076257</v>
      </c>
      <c r="AE71" s="235">
        <f>AE65*[1]Parametre!$C$181</f>
        <v>466.80579691813284</v>
      </c>
      <c r="AF71" s="235">
        <f>AF65*[1]Parametre!$C$181</f>
        <v>424.45142697328362</v>
      </c>
      <c r="AG71" s="235">
        <f>AG65*[1]Parametre!$C$181</f>
        <v>382.41277186149307</v>
      </c>
      <c r="AH71" s="235">
        <f>AH65*[1]Parametre!$C$181</f>
        <v>340.39270531712776</v>
      </c>
      <c r="AI71" s="235">
        <f>AI65*[1]Parametre!$C$181</f>
        <v>298.68676189867199</v>
      </c>
      <c r="AJ71" s="235">
        <f>AJ65*[1]Parametre!$C$181</f>
        <v>256.99900331727076</v>
      </c>
      <c r="AK71" s="235">
        <f>AK65*[1]Parametre!$C$181</f>
        <v>215.62378383421415</v>
      </c>
      <c r="AL71" s="235">
        <f>AL65*[1]Parametre!$C$181</f>
        <v>174.26634838763201</v>
      </c>
      <c r="AM71" s="235">
        <f>AM65*[1]Parametre!$C$181</f>
        <v>133.21987565545422</v>
      </c>
      <c r="AN71" s="235">
        <f>AN65*[1]Parametre!$C$181</f>
        <v>92.19078907199399</v>
      </c>
      <c r="AO71" s="235">
        <f>AO65*[1]Parametre!$C$181</f>
        <v>51.471096426828865</v>
      </c>
      <c r="AP71" s="235">
        <f>AP65*[1]Parametre!$C$181</f>
        <v>10.768394938566988</v>
      </c>
      <c r="AQ71" s="235">
        <f>AQ65*[1]Parametre!$C$181</f>
        <v>0</v>
      </c>
    </row>
    <row r="72" spans="2:43" x14ac:dyDescent="0.2">
      <c r="B72" s="230" t="s">
        <v>308</v>
      </c>
      <c r="C72" s="235">
        <f t="shared" si="47"/>
        <v>42010.638365754188</v>
      </c>
      <c r="D72" s="300">
        <f>D66*[1]Parametre!$C$182</f>
        <v>0</v>
      </c>
      <c r="E72" s="300">
        <f>E66*[1]Parametre!$C$182</f>
        <v>0</v>
      </c>
      <c r="F72" s="300">
        <f>F66*[1]Parametre!$C$182</f>
        <v>0</v>
      </c>
      <c r="G72" s="300">
        <f>G66*[1]Parametre!$C$182</f>
        <v>50.336528558307208</v>
      </c>
      <c r="H72" s="300">
        <f>H66*[1]Parametre!$C$182</f>
        <v>112.87539219911346</v>
      </c>
      <c r="I72" s="300">
        <f>I66*[1]Parametre!$C$182</f>
        <v>165.07387673644104</v>
      </c>
      <c r="J72" s="300">
        <f>J66*[1]Parametre!$C$182</f>
        <v>207.15533476347821</v>
      </c>
      <c r="K72" s="300">
        <f>K66*[1]Parametre!$C$182</f>
        <v>259.32346695461894</v>
      </c>
      <c r="L72" s="300">
        <f>L66*[1]Parametre!$C$182</f>
        <v>319.10468274177919</v>
      </c>
      <c r="M72" s="300">
        <f>M66*[1]Parametre!$C$182</f>
        <v>397.23324430580561</v>
      </c>
      <c r="N72" s="300">
        <f>N66*[1]Parametre!$C$182</f>
        <v>461.49484720085508</v>
      </c>
      <c r="O72" s="300">
        <f>O66*[1]Parametre!$C$182</f>
        <v>527.22099538749183</v>
      </c>
      <c r="P72" s="300">
        <f>P66*[1]Parametre!$C$182</f>
        <v>593.99429012944347</v>
      </c>
      <c r="Q72" s="300">
        <f>Q66*[1]Parametre!$C$182</f>
        <v>662.2737678596302</v>
      </c>
      <c r="R72" s="300">
        <f>R66*[1]Parametre!$C$182</f>
        <v>731.63376213054312</v>
      </c>
      <c r="S72" s="300">
        <f>S66*[1]Parametre!$C$182</f>
        <v>793.00749892310898</v>
      </c>
      <c r="T72" s="300">
        <f>T66*[1]Parametre!$C$182</f>
        <v>853.9080424402365</v>
      </c>
      <c r="U72" s="300">
        <f>U66*[1]Parametre!$C$182</f>
        <v>914.78613400293295</v>
      </c>
      <c r="V72" s="300">
        <f>V66*[1]Parametre!$C$182</f>
        <v>975.19342396207503</v>
      </c>
      <c r="W72" s="300">
        <f>W66*[1]Parametre!$C$182</f>
        <v>1035.578851474768</v>
      </c>
      <c r="X72" s="300">
        <f>X66*[1]Parametre!$C$182</f>
        <v>1095.4958574975069</v>
      </c>
      <c r="Y72" s="300">
        <f>Y66*[1]Parametre!$C$182</f>
        <v>1155.3915862289439</v>
      </c>
      <c r="Z72" s="300">
        <f>Z66*[1]Parametre!$C$182</f>
        <v>1214.8212620799266</v>
      </c>
      <c r="AA72" s="300">
        <f>AA66*[1]Parametre!$C$182</f>
        <v>1274.2302414672945</v>
      </c>
      <c r="AB72" s="300">
        <f>AB66*[1]Parametre!$C$182</f>
        <v>1333.175525133543</v>
      </c>
      <c r="AC72" s="300">
        <f>AC66*[1]Parametre!$C$182</f>
        <v>1391.87993074416</v>
      </c>
      <c r="AD72" s="300">
        <f>AD66*[1]Parametre!$C$182</f>
        <v>1450.5645026314849</v>
      </c>
      <c r="AE72" s="300">
        <f>AE66*[1]Parametre!$C$182</f>
        <v>1508.7888927434894</v>
      </c>
      <c r="AF72" s="300">
        <f>AF66*[1]Parametre!$C$182</f>
        <v>1566.9940192531469</v>
      </c>
      <c r="AG72" s="300">
        <f>AG66*[1]Parametre!$C$182</f>
        <v>1624.7412927575156</v>
      </c>
      <c r="AH72" s="300">
        <f>AH66*[1]Parametre!$C$182</f>
        <v>1682.469868540782</v>
      </c>
      <c r="AI72" s="300">
        <f>AI66*[1]Parametre!$C$182</f>
        <v>1739.7429088254496</v>
      </c>
      <c r="AJ72" s="300">
        <f>AJ66*[1]Parametre!$C$182</f>
        <v>1796.9978130553384</v>
      </c>
      <c r="AK72" s="300">
        <f>AK66*[1]Parametre!$C$182</f>
        <v>1853.7994880828105</v>
      </c>
      <c r="AL72" s="300">
        <f>AL66*[1]Parametre!$C$182</f>
        <v>1910.5835845315542</v>
      </c>
      <c r="AM72" s="300">
        <f>AM66*[1]Parametre!$C$182</f>
        <v>1966.9167469161425</v>
      </c>
      <c r="AN72" s="300">
        <f>AN66*[1]Parametre!$C$182</f>
        <v>2023.2328840323023</v>
      </c>
      <c r="AO72" s="300">
        <f>AO66*[1]Parametre!$C$182</f>
        <v>2079.1003711169924</v>
      </c>
      <c r="AP72" s="300">
        <f>AP66*[1]Parametre!$C$182</f>
        <v>2134.9513821021928</v>
      </c>
      <c r="AQ72" s="300">
        <f>AQ66*[1]Parametre!$C$182</f>
        <v>2146.5660682429861</v>
      </c>
    </row>
    <row r="73" spans="2:43" x14ac:dyDescent="0.2">
      <c r="B73" s="246" t="s">
        <v>9</v>
      </c>
      <c r="C73" s="247">
        <f t="shared" si="47"/>
        <v>98312.060875817027</v>
      </c>
      <c r="D73" s="248">
        <f>SUM(D70:D72)</f>
        <v>0</v>
      </c>
      <c r="E73" s="248">
        <f t="shared" ref="E73:AN73" si="48">SUM(E70:E72)</f>
        <v>0</v>
      </c>
      <c r="F73" s="248">
        <f t="shared" si="48"/>
        <v>0</v>
      </c>
      <c r="G73" s="248">
        <f t="shared" si="48"/>
        <v>1351.8298569095246</v>
      </c>
      <c r="H73" s="248">
        <f t="shared" si="48"/>
        <v>2570.3408802063618</v>
      </c>
      <c r="I73" s="248">
        <f t="shared" si="48"/>
        <v>3038.2754262253816</v>
      </c>
      <c r="J73" s="248">
        <f t="shared" si="48"/>
        <v>3047.8959528335181</v>
      </c>
      <c r="K73" s="248">
        <f t="shared" si="48"/>
        <v>3052.6490139933148</v>
      </c>
      <c r="L73" s="248">
        <f t="shared" si="48"/>
        <v>3053.8079859494305</v>
      </c>
      <c r="M73" s="248">
        <f t="shared" si="48"/>
        <v>3045.86369969512</v>
      </c>
      <c r="N73" s="248">
        <f t="shared" si="48"/>
        <v>3045.3622256392518</v>
      </c>
      <c r="O73" s="248">
        <f t="shared" si="48"/>
        <v>3044.4336547532912</v>
      </c>
      <c r="P73" s="248">
        <f t="shared" si="48"/>
        <v>3043.2955820158431</v>
      </c>
      <c r="Q73" s="248">
        <f t="shared" si="48"/>
        <v>3041.7155626114873</v>
      </c>
      <c r="R73" s="248">
        <f t="shared" si="48"/>
        <v>3039.9155025259925</v>
      </c>
      <c r="S73" s="248">
        <f t="shared" si="48"/>
        <v>3001.5672327541342</v>
      </c>
      <c r="T73" s="248">
        <f t="shared" si="48"/>
        <v>2963.4756225709998</v>
      </c>
      <c r="U73" s="248">
        <f t="shared" si="48"/>
        <v>2925.4091772403649</v>
      </c>
      <c r="V73" s="248">
        <f t="shared" si="48"/>
        <v>2887.5981087172254</v>
      </c>
      <c r="W73" s="248">
        <f t="shared" si="48"/>
        <v>2849.8118478326624</v>
      </c>
      <c r="X73" s="248">
        <f t="shared" si="48"/>
        <v>2812.2796871280134</v>
      </c>
      <c r="Y73" s="248">
        <f t="shared" si="48"/>
        <v>2774.7719793010383</v>
      </c>
      <c r="Z73" s="248">
        <f t="shared" si="48"/>
        <v>2737.5171011513398</v>
      </c>
      <c r="AA73" s="248">
        <f t="shared" si="48"/>
        <v>2700.286323557536</v>
      </c>
      <c r="AB73" s="248">
        <f t="shared" si="48"/>
        <v>2663.307111234752</v>
      </c>
      <c r="AC73" s="248">
        <f t="shared" si="48"/>
        <v>2626.4650146159647</v>
      </c>
      <c r="AD73" s="248">
        <f t="shared" si="48"/>
        <v>2589.6464948407061</v>
      </c>
      <c r="AE73" s="248">
        <f t="shared" si="48"/>
        <v>2553.0776553223623</v>
      </c>
      <c r="AF73" s="248">
        <f t="shared" si="48"/>
        <v>2516.5320463623161</v>
      </c>
      <c r="AG73" s="248">
        <f t="shared" si="48"/>
        <v>2480.2348683688579</v>
      </c>
      <c r="AH73" s="248">
        <f t="shared" si="48"/>
        <v>2443.9605770395019</v>
      </c>
      <c r="AI73" s="248">
        <f t="shared" si="48"/>
        <v>2407.9334733838359</v>
      </c>
      <c r="AJ73" s="248">
        <f t="shared" si="48"/>
        <v>2371.9289148755338</v>
      </c>
      <c r="AK73" s="248">
        <f t="shared" si="48"/>
        <v>2336.1703067174735</v>
      </c>
      <c r="AL73" s="248">
        <f t="shared" si="48"/>
        <v>2300.4339045539832</v>
      </c>
      <c r="AM73" s="248">
        <f t="shared" si="48"/>
        <v>2264.9422213588778</v>
      </c>
      <c r="AN73" s="248">
        <f t="shared" si="48"/>
        <v>2229.4724073560601</v>
      </c>
      <c r="AO73" s="248">
        <f t="shared" ref="AO73:AQ73" si="49">SUM(AO70:AO72)</f>
        <v>2194.2460868536323</v>
      </c>
      <c r="AP73" s="248">
        <f t="shared" si="49"/>
        <v>2159.0413010783468</v>
      </c>
      <c r="AQ73" s="248">
        <f t="shared" si="49"/>
        <v>2146.5660682429861</v>
      </c>
    </row>
    <row r="76" spans="2:43" x14ac:dyDescent="0.2">
      <c r="B76" s="232" t="s">
        <v>440</v>
      </c>
      <c r="C76" s="249" t="s">
        <v>9</v>
      </c>
    </row>
    <row r="77" spans="2:43" x14ac:dyDescent="0.2">
      <c r="B77" s="245" t="s">
        <v>109</v>
      </c>
      <c r="C77" s="235">
        <f t="shared" ref="C77:C80" si="50">SUM(D77:AQ77)</f>
        <v>667039.92650722456</v>
      </c>
      <c r="D77" s="235">
        <f t="shared" ref="D77:AN79" si="51">D33+D70</f>
        <v>0</v>
      </c>
      <c r="E77" s="235">
        <f t="shared" si="51"/>
        <v>0</v>
      </c>
      <c r="F77" s="235">
        <f t="shared" si="51"/>
        <v>0</v>
      </c>
      <c r="G77" s="235">
        <f t="shared" si="51"/>
        <v>15419.646172134888</v>
      </c>
      <c r="H77" s="235">
        <f>H33+H70</f>
        <v>29115.207492695499</v>
      </c>
      <c r="I77" s="235">
        <f t="shared" si="51"/>
        <v>34040.705633485573</v>
      </c>
      <c r="J77" s="235">
        <f t="shared" si="51"/>
        <v>33656.119661361161</v>
      </c>
      <c r="K77" s="235">
        <f t="shared" si="51"/>
        <v>33094.362176629227</v>
      </c>
      <c r="L77" s="235">
        <f t="shared" si="51"/>
        <v>32399.825955812448</v>
      </c>
      <c r="M77" s="235">
        <f t="shared" si="51"/>
        <v>31380.064402314409</v>
      </c>
      <c r="N77" s="235">
        <f t="shared" si="51"/>
        <v>30612.773698744684</v>
      </c>
      <c r="O77" s="235">
        <f t="shared" si="51"/>
        <v>29823.071468688271</v>
      </c>
      <c r="P77" s="235">
        <f t="shared" si="51"/>
        <v>29018.480899695685</v>
      </c>
      <c r="Q77" s="235">
        <f t="shared" si="51"/>
        <v>28190.809559311194</v>
      </c>
      <c r="R77" s="235">
        <f t="shared" si="51"/>
        <v>27347.72966342287</v>
      </c>
      <c r="S77" s="235">
        <f t="shared" si="51"/>
        <v>26166.257562642517</v>
      </c>
      <c r="T77" s="235">
        <f t="shared" si="51"/>
        <v>24993.432508049751</v>
      </c>
      <c r="U77" s="235">
        <f t="shared" si="51"/>
        <v>23821.171601039401</v>
      </c>
      <c r="V77" s="235">
        <f t="shared" si="51"/>
        <v>22657.514206557553</v>
      </c>
      <c r="W77" s="235">
        <f t="shared" si="51"/>
        <v>21494.409743221986</v>
      </c>
      <c r="X77" s="235">
        <f t="shared" si="51"/>
        <v>20339.865468600692</v>
      </c>
      <c r="Y77" s="235">
        <f t="shared" si="51"/>
        <v>19185.862989322992</v>
      </c>
      <c r="Z77" s="235">
        <f t="shared" si="51"/>
        <v>18040.377583808207</v>
      </c>
      <c r="AA77" s="235">
        <f t="shared" si="51"/>
        <v>16895.422918002467</v>
      </c>
      <c r="AB77" s="235">
        <f t="shared" si="51"/>
        <v>15758.942418893754</v>
      </c>
      <c r="AC77" s="235">
        <f t="shared" si="51"/>
        <v>14626.940260089807</v>
      </c>
      <c r="AD77" s="235">
        <f t="shared" si="51"/>
        <v>13495.452414779387</v>
      </c>
      <c r="AE77" s="235">
        <f t="shared" si="51"/>
        <v>12372.374771142433</v>
      </c>
      <c r="AF77" s="235">
        <f t="shared" si="51"/>
        <v>11249.800583733218</v>
      </c>
      <c r="AG77" s="235">
        <f t="shared" si="51"/>
        <v>10135.594206366628</v>
      </c>
      <c r="AH77" s="235">
        <f t="shared" si="51"/>
        <v>9021.880506520678</v>
      </c>
      <c r="AI77" s="235">
        <f t="shared" si="51"/>
        <v>7916.492429586212</v>
      </c>
      <c r="AJ77" s="235">
        <f t="shared" si="51"/>
        <v>6811.5863295695071</v>
      </c>
      <c r="AK77" s="235">
        <f t="shared" si="51"/>
        <v>5714.9638688753676</v>
      </c>
      <c r="AL77" s="235">
        <f t="shared" si="51"/>
        <v>4618.8127621482508</v>
      </c>
      <c r="AM77" s="235">
        <f t="shared" si="51"/>
        <v>3530.9035137439373</v>
      </c>
      <c r="AN77" s="235">
        <f t="shared" si="51"/>
        <v>2443.4550735583325</v>
      </c>
      <c r="AO77" s="235">
        <f t="shared" ref="AO77:AQ77" si="52">AO33+AO70</f>
        <v>1364.2069123362255</v>
      </c>
      <c r="AP77" s="235">
        <f t="shared" si="52"/>
        <v>285.40909033953102</v>
      </c>
      <c r="AQ77" s="235">
        <f t="shared" si="52"/>
        <v>0</v>
      </c>
    </row>
    <row r="78" spans="2:43" x14ac:dyDescent="0.2">
      <c r="B78" s="245" t="s">
        <v>110</v>
      </c>
      <c r="C78" s="235">
        <f t="shared" si="50"/>
        <v>501303.53556048084</v>
      </c>
      <c r="D78" s="235">
        <f t="shared" si="51"/>
        <v>0</v>
      </c>
      <c r="E78" s="235">
        <f t="shared" si="51"/>
        <v>0</v>
      </c>
      <c r="F78" s="235">
        <f t="shared" si="51"/>
        <v>0</v>
      </c>
      <c r="G78" s="235">
        <f t="shared" si="51"/>
        <v>11588.396490234878</v>
      </c>
      <c r="H78" s="235">
        <f t="shared" si="51"/>
        <v>21881.083687285351</v>
      </c>
      <c r="I78" s="235">
        <f t="shared" si="51"/>
        <v>25582.765602045361</v>
      </c>
      <c r="J78" s="235">
        <f t="shared" si="51"/>
        <v>25293.735965450065</v>
      </c>
      <c r="K78" s="235">
        <f t="shared" si="51"/>
        <v>24871.555819955236</v>
      </c>
      <c r="L78" s="235">
        <f t="shared" si="51"/>
        <v>24349.587869860581</v>
      </c>
      <c r="M78" s="235">
        <f t="shared" si="51"/>
        <v>23583.201853248305</v>
      </c>
      <c r="N78" s="235">
        <f t="shared" si="51"/>
        <v>23006.556397381399</v>
      </c>
      <c r="O78" s="235">
        <f t="shared" si="51"/>
        <v>22413.06790556023</v>
      </c>
      <c r="P78" s="235">
        <f t="shared" si="51"/>
        <v>21808.390312981021</v>
      </c>
      <c r="Q78" s="235">
        <f t="shared" si="51"/>
        <v>21186.366723794359</v>
      </c>
      <c r="R78" s="235">
        <f t="shared" si="51"/>
        <v>20552.763073137623</v>
      </c>
      <c r="S78" s="235">
        <f t="shared" si="51"/>
        <v>19664.845996886197</v>
      </c>
      <c r="T78" s="235">
        <f t="shared" si="51"/>
        <v>18783.42747440005</v>
      </c>
      <c r="U78" s="235">
        <f t="shared" si="51"/>
        <v>17902.432928300328</v>
      </c>
      <c r="V78" s="235">
        <f t="shared" si="51"/>
        <v>17027.904218918</v>
      </c>
      <c r="W78" s="235">
        <f t="shared" si="51"/>
        <v>16153.791056383072</v>
      </c>
      <c r="X78" s="235">
        <f t="shared" si="51"/>
        <v>15286.111171223307</v>
      </c>
      <c r="Y78" s="235">
        <f t="shared" si="51"/>
        <v>14418.838463970746</v>
      </c>
      <c r="Z78" s="235">
        <f t="shared" si="51"/>
        <v>13557.966631718777</v>
      </c>
      <c r="AA78" s="235">
        <f t="shared" si="51"/>
        <v>12697.493668682928</v>
      </c>
      <c r="AB78" s="235">
        <f t="shared" si="51"/>
        <v>11843.389334506215</v>
      </c>
      <c r="AC78" s="235">
        <f t="shared" si="51"/>
        <v>10992.650627691533</v>
      </c>
      <c r="AD78" s="235">
        <f t="shared" si="51"/>
        <v>10142.298445224871</v>
      </c>
      <c r="AE78" s="235">
        <f t="shared" si="51"/>
        <v>9298.2668196936193</v>
      </c>
      <c r="AF78" s="235">
        <f t="shared" si="51"/>
        <v>8454.6135589002715</v>
      </c>
      <c r="AG78" s="235">
        <f t="shared" si="51"/>
        <v>7617.2489962681184</v>
      </c>
      <c r="AH78" s="235">
        <f t="shared" si="51"/>
        <v>6780.2546978033279</v>
      </c>
      <c r="AI78" s="235">
        <f t="shared" si="51"/>
        <v>5949.5173924140881</v>
      </c>
      <c r="AJ78" s="235">
        <f t="shared" si="51"/>
        <v>5119.1423093196918</v>
      </c>
      <c r="AK78" s="235">
        <f t="shared" si="51"/>
        <v>4294.9926671842122</v>
      </c>
      <c r="AL78" s="235">
        <f t="shared" si="51"/>
        <v>3471.1972638293187</v>
      </c>
      <c r="AM78" s="235">
        <f t="shared" si="51"/>
        <v>2653.595901569453</v>
      </c>
      <c r="AN78" s="235">
        <f t="shared" si="51"/>
        <v>1836.3408525962045</v>
      </c>
      <c r="AO78" s="235">
        <f t="shared" ref="AO78:AQ78" si="53">AO34+AO71</f>
        <v>1025.2485963938616</v>
      </c>
      <c r="AP78" s="235">
        <f t="shared" si="53"/>
        <v>214.49478566821276</v>
      </c>
      <c r="AQ78" s="235">
        <f t="shared" si="53"/>
        <v>0</v>
      </c>
    </row>
    <row r="79" spans="2:43" x14ac:dyDescent="0.2">
      <c r="B79" s="299" t="s">
        <v>308</v>
      </c>
      <c r="C79" s="235">
        <f t="shared" si="50"/>
        <v>854185.99849777145</v>
      </c>
      <c r="D79" s="235">
        <f t="shared" si="51"/>
        <v>0</v>
      </c>
      <c r="E79" s="235">
        <f t="shared" si="51"/>
        <v>0</v>
      </c>
      <c r="F79" s="235">
        <f t="shared" si="51"/>
        <v>0</v>
      </c>
      <c r="G79" s="235">
        <f t="shared" si="51"/>
        <v>1023.4730911049164</v>
      </c>
      <c r="H79" s="235">
        <f t="shared" si="51"/>
        <v>2295.051523664139</v>
      </c>
      <c r="I79" s="235">
        <f t="shared" si="51"/>
        <v>3356.3830427522612</v>
      </c>
      <c r="J79" s="235">
        <f t="shared" si="51"/>
        <v>4212.0089899258801</v>
      </c>
      <c r="K79" s="235">
        <f t="shared" si="51"/>
        <v>5272.7233665438353</v>
      </c>
      <c r="L79" s="235">
        <f t="shared" si="51"/>
        <v>6488.2316160017208</v>
      </c>
      <c r="M79" s="235">
        <f t="shared" si="51"/>
        <v>8076.78932345051</v>
      </c>
      <c r="N79" s="235">
        <f t="shared" si="51"/>
        <v>9383.395544381463</v>
      </c>
      <c r="O79" s="235">
        <f t="shared" si="51"/>
        <v>10719.779796089966</v>
      </c>
      <c r="P79" s="235">
        <f t="shared" si="51"/>
        <v>12077.455272134019</v>
      </c>
      <c r="Q79" s="235">
        <f t="shared" si="51"/>
        <v>13465.755382074962</v>
      </c>
      <c r="R79" s="235">
        <f t="shared" si="51"/>
        <v>14876.025215308335</v>
      </c>
      <c r="S79" s="235">
        <f t="shared" si="51"/>
        <v>16123.91357604394</v>
      </c>
      <c r="T79" s="235">
        <f t="shared" si="51"/>
        <v>17362.180681635935</v>
      </c>
      <c r="U79" s="235">
        <f t="shared" si="51"/>
        <v>18599.991280355865</v>
      </c>
      <c r="V79" s="235">
        <f t="shared" si="51"/>
        <v>19828.229252867997</v>
      </c>
      <c r="W79" s="235">
        <f t="shared" si="51"/>
        <v>21056.022704744963</v>
      </c>
      <c r="X79" s="235">
        <f t="shared" si="51"/>
        <v>22274.29192433985</v>
      </c>
      <c r="Y79" s="235">
        <f t="shared" si="51"/>
        <v>23492.12852103198</v>
      </c>
      <c r="Z79" s="235">
        <f t="shared" si="51"/>
        <v>24700.489045459337</v>
      </c>
      <c r="AA79" s="235">
        <f t="shared" si="51"/>
        <v>25908.42875672779</v>
      </c>
      <c r="AB79" s="235">
        <f t="shared" si="51"/>
        <v>27106.940322936993</v>
      </c>
      <c r="AC79" s="235">
        <f t="shared" si="51"/>
        <v>28300.554209166337</v>
      </c>
      <c r="AD79" s="235">
        <f t="shared" si="51"/>
        <v>29493.764824000769</v>
      </c>
      <c r="AE79" s="235">
        <f t="shared" si="51"/>
        <v>30677.618741471557</v>
      </c>
      <c r="AF79" s="235">
        <f t="shared" si="51"/>
        <v>31861.080979595252</v>
      </c>
      <c r="AG79" s="235">
        <f t="shared" si="51"/>
        <v>33035.233870332158</v>
      </c>
      <c r="AH79" s="235">
        <f t="shared" si="51"/>
        <v>34209.006587565629</v>
      </c>
      <c r="AI79" s="235">
        <f t="shared" si="51"/>
        <v>35373.517078376004</v>
      </c>
      <c r="AJ79" s="235">
        <f t="shared" si="51"/>
        <v>36537.658815826224</v>
      </c>
      <c r="AK79" s="235">
        <f t="shared" si="51"/>
        <v>37692.585219878179</v>
      </c>
      <c r="AL79" s="235">
        <f t="shared" si="51"/>
        <v>38847.154205514031</v>
      </c>
      <c r="AM79" s="235">
        <f t="shared" si="51"/>
        <v>39992.554523906758</v>
      </c>
      <c r="AN79" s="235">
        <f t="shared" si="51"/>
        <v>41137.60867412691</v>
      </c>
      <c r="AO79" s="235">
        <f t="shared" ref="AO79:AQ79" si="54">AO35+AO72</f>
        <v>42273.540597453684</v>
      </c>
      <c r="AP79" s="235">
        <f t="shared" si="54"/>
        <v>43409.137518646698</v>
      </c>
      <c r="AQ79" s="235">
        <f t="shared" si="54"/>
        <v>43645.294422334679</v>
      </c>
    </row>
    <row r="80" spans="2:43" x14ac:dyDescent="0.2">
      <c r="B80" s="250" t="s">
        <v>9</v>
      </c>
      <c r="C80" s="251">
        <f t="shared" si="50"/>
        <v>1168343.4620677056</v>
      </c>
      <c r="D80" s="252">
        <f t="shared" ref="D80:AN80" si="55">SUM(D77:D78)</f>
        <v>0</v>
      </c>
      <c r="E80" s="251">
        <f t="shared" si="55"/>
        <v>0</v>
      </c>
      <c r="F80" s="251">
        <f t="shared" si="55"/>
        <v>0</v>
      </c>
      <c r="G80" s="251">
        <f t="shared" si="55"/>
        <v>27008.042662369764</v>
      </c>
      <c r="H80" s="251">
        <f t="shared" si="55"/>
        <v>50996.29117998085</v>
      </c>
      <c r="I80" s="251">
        <f t="shared" si="55"/>
        <v>59623.471235530931</v>
      </c>
      <c r="J80" s="251">
        <f t="shared" si="55"/>
        <v>58949.85562681123</v>
      </c>
      <c r="K80" s="251">
        <f t="shared" si="55"/>
        <v>57965.917996584467</v>
      </c>
      <c r="L80" s="251">
        <f t="shared" si="55"/>
        <v>56749.413825673029</v>
      </c>
      <c r="M80" s="251">
        <f t="shared" si="55"/>
        <v>54963.266255562718</v>
      </c>
      <c r="N80" s="251">
        <f t="shared" si="55"/>
        <v>53619.330096126083</v>
      </c>
      <c r="O80" s="251">
        <f t="shared" si="55"/>
        <v>52236.139374248502</v>
      </c>
      <c r="P80" s="251">
        <f t="shared" si="55"/>
        <v>50826.871212676706</v>
      </c>
      <c r="Q80" s="251">
        <f t="shared" si="55"/>
        <v>49377.176283105553</v>
      </c>
      <c r="R80" s="251">
        <f t="shared" si="55"/>
        <v>47900.492736560496</v>
      </c>
      <c r="S80" s="251">
        <f t="shared" si="55"/>
        <v>45831.10355952871</v>
      </c>
      <c r="T80" s="251">
        <f t="shared" si="55"/>
        <v>43776.859982449801</v>
      </c>
      <c r="U80" s="251">
        <f t="shared" si="55"/>
        <v>41723.604529339733</v>
      </c>
      <c r="V80" s="251">
        <f t="shared" si="55"/>
        <v>39685.418425475553</v>
      </c>
      <c r="W80" s="251">
        <f t="shared" si="55"/>
        <v>37648.20079960506</v>
      </c>
      <c r="X80" s="251">
        <f t="shared" si="55"/>
        <v>35625.976639824003</v>
      </c>
      <c r="Y80" s="251">
        <f t="shared" si="55"/>
        <v>33604.701453293739</v>
      </c>
      <c r="Z80" s="251">
        <f t="shared" si="55"/>
        <v>31598.344215526984</v>
      </c>
      <c r="AA80" s="251">
        <f t="shared" si="55"/>
        <v>29592.916586685395</v>
      </c>
      <c r="AB80" s="251">
        <f t="shared" si="55"/>
        <v>27602.331753399969</v>
      </c>
      <c r="AC80" s="251">
        <f t="shared" si="55"/>
        <v>25619.590887781342</v>
      </c>
      <c r="AD80" s="251">
        <f t="shared" si="55"/>
        <v>23637.750860004257</v>
      </c>
      <c r="AE80" s="251">
        <f t="shared" si="55"/>
        <v>21670.64159083605</v>
      </c>
      <c r="AF80" s="251">
        <f t="shared" si="55"/>
        <v>19704.41414263349</v>
      </c>
      <c r="AG80" s="251">
        <f t="shared" si="55"/>
        <v>17752.843202634747</v>
      </c>
      <c r="AH80" s="251">
        <f t="shared" si="55"/>
        <v>15802.135204324006</v>
      </c>
      <c r="AI80" s="251">
        <f t="shared" si="55"/>
        <v>13866.0098220003</v>
      </c>
      <c r="AJ80" s="251">
        <f t="shared" si="55"/>
        <v>11930.728638889199</v>
      </c>
      <c r="AK80" s="251">
        <f t="shared" si="55"/>
        <v>10009.956536059581</v>
      </c>
      <c r="AL80" s="251">
        <f t="shared" si="55"/>
        <v>8090.01002597757</v>
      </c>
      <c r="AM80" s="251">
        <f t="shared" si="55"/>
        <v>6184.4994153133903</v>
      </c>
      <c r="AN80" s="251">
        <f t="shared" si="55"/>
        <v>4279.7959261545366</v>
      </c>
      <c r="AO80" s="251">
        <f t="shared" ref="AO80:AQ80" si="56">SUM(AO77:AO78)</f>
        <v>2389.4555087300869</v>
      </c>
      <c r="AP80" s="251">
        <f t="shared" si="56"/>
        <v>499.90387600774375</v>
      </c>
      <c r="AQ80" s="251">
        <f t="shared" si="56"/>
        <v>0</v>
      </c>
    </row>
    <row r="83" spans="2:43" x14ac:dyDescent="0.2">
      <c r="B83" s="232" t="s">
        <v>441</v>
      </c>
      <c r="C83" s="249" t="s">
        <v>9</v>
      </c>
    </row>
    <row r="84" spans="2:43" x14ac:dyDescent="0.2">
      <c r="B84" s="230" t="s">
        <v>390</v>
      </c>
      <c r="C84" s="235">
        <f t="shared" ref="C84:C87" si="57">SUM(D84:AQ84)</f>
        <v>796465.58388922375</v>
      </c>
      <c r="D84" s="235">
        <f>(D23+D60)*[1]Parametre!$C$98</f>
        <v>0</v>
      </c>
      <c r="E84" s="235">
        <f>(E23+E60)*[1]Parametre!$C$98</f>
        <v>0</v>
      </c>
      <c r="F84" s="235">
        <f>(F23+F60)*[1]Parametre!$C$98</f>
        <v>0</v>
      </c>
      <c r="G84" s="235">
        <f>(G23+G60)*[1]Parametre!$C$98</f>
        <v>18411.517817474494</v>
      </c>
      <c r="H84" s="235">
        <f>(H23+H60)*[1]Parametre!$C$98</f>
        <v>34764.426856949853</v>
      </c>
      <c r="I84" s="235">
        <f>(I23+I60)*[1]Parametre!$C$98</f>
        <v>40645.618666848444</v>
      </c>
      <c r="J84" s="235">
        <f>(J23+J60)*[1]Parametre!$C$98</f>
        <v>40186.411535953623</v>
      </c>
      <c r="K84" s="235">
        <f>(K23+K60)*[1]Parametre!$C$98</f>
        <v>39515.656330303558</v>
      </c>
      <c r="L84" s="235">
        <f>(L23+L60)*[1]Parametre!$C$98</f>
        <v>38686.359350223815</v>
      </c>
      <c r="M84" s="235">
        <f>(M23+M60)*[1]Parametre!$C$98</f>
        <v>37468.733614703771</v>
      </c>
      <c r="N84" s="235">
        <f>(N23+N60)*[1]Parametre!$C$98</f>
        <v>36552.565610441416</v>
      </c>
      <c r="O84" s="235">
        <f>(O23+O60)*[1]Parametre!$C$98</f>
        <v>35609.637574553162</v>
      </c>
      <c r="P84" s="235">
        <f>(P23+P60)*[1]Parametre!$C$98</f>
        <v>34648.932417547083</v>
      </c>
      <c r="Q84" s="235">
        <f>(Q23+Q60)*[1]Parametre!$C$98</f>
        <v>33660.668130520833</v>
      </c>
      <c r="R84" s="235">
        <f>(R23+R60)*[1]Parametre!$C$98</f>
        <v>32654.005568266115</v>
      </c>
      <c r="S84" s="235">
        <f>(S23+S60)*[1]Parametre!$C$98</f>
        <v>31243.292612110468</v>
      </c>
      <c r="T84" s="235">
        <f>(T23+T60)*[1]Parametre!$C$98</f>
        <v>29842.904487223583</v>
      </c>
      <c r="U84" s="235">
        <f>(U23+U60)*[1]Parametre!$C$98</f>
        <v>28443.189971390329</v>
      </c>
      <c r="V84" s="235">
        <f>(V23+V60)*[1]Parametre!$C$98</f>
        <v>27053.74830633738</v>
      </c>
      <c r="W84" s="235">
        <f>(W23+W60)*[1]Parametre!$C$98</f>
        <v>25664.966857578493</v>
      </c>
      <c r="X84" s="235">
        <f>(X23+X60)*[1]Parametre!$C$98</f>
        <v>24286.406529672469</v>
      </c>
      <c r="Y84" s="235">
        <f>(Y23+Y60)*[1]Parametre!$C$98</f>
        <v>22908.49312157969</v>
      </c>
      <c r="Z84" s="235">
        <f>(Z23+Z60)*[1]Parametre!$C$98</f>
        <v>21540.749353800849</v>
      </c>
      <c r="AA84" s="235">
        <f>(AA23+AA60)*[1]Parametre!$C$98</f>
        <v>20173.639305077573</v>
      </c>
      <c r="AB84" s="235">
        <f>(AB23+AB60)*[1]Parametre!$C$98</f>
        <v>18816.647664350749</v>
      </c>
      <c r="AC84" s="235">
        <f>(AC23+AC60)*[1]Parametre!$C$98</f>
        <v>17465.00329562962</v>
      </c>
      <c r="AD84" s="235">
        <f>(AD23+AD60)*[1]Parametre!$C$98</f>
        <v>16113.973032572403</v>
      </c>
      <c r="AE84" s="235">
        <f>(AE23+AE60)*[1]Parametre!$C$98</f>
        <v>14772.9848013641</v>
      </c>
      <c r="AF84" s="235">
        <f>(AF23+AF60)*[1]Parametre!$C$98</f>
        <v>13432.597711920258</v>
      </c>
      <c r="AG84" s="235">
        <f>(AG23+AG60)*[1]Parametre!$C$98</f>
        <v>12102.202037452693</v>
      </c>
      <c r="AH84" s="235">
        <f>(AH23+AH60)*[1]Parametre!$C$98</f>
        <v>10772.394634651555</v>
      </c>
      <c r="AI84" s="235">
        <f>(AI23+AI60)*[1]Parametre!$C$98</f>
        <v>9452.5282741327901</v>
      </c>
      <c r="AJ84" s="235">
        <f>(AJ23+AJ60)*[1]Parametre!$C$98</f>
        <v>8133.2374084412031</v>
      </c>
      <c r="AK84" s="235">
        <f>(AK23+AK60)*[1]Parametre!$C$98</f>
        <v>6823.837455373573</v>
      </c>
      <c r="AL84" s="235">
        <f>(AL23+AL60)*[1]Parametre!$C$98</f>
        <v>5515.0003130128371</v>
      </c>
      <c r="AM84" s="235">
        <f>(AM23+AM60)*[1]Parametre!$C$98</f>
        <v>4216.0041955151491</v>
      </c>
      <c r="AN84" s="235">
        <f>(AN23+AN60)*[1]Parametre!$C$98</f>
        <v>2917.5582967860682</v>
      </c>
      <c r="AO84" s="235">
        <f>(AO23+AO60)*[1]Parametre!$C$98</f>
        <v>1628.9037759238513</v>
      </c>
      <c r="AP84" s="235">
        <f>(AP23+AP60)*[1]Parametre!$C$98</f>
        <v>340.78697353973854</v>
      </c>
      <c r="AQ84" s="235">
        <f>(AQ23+AQ60)*[1]Parametre!$C$98</f>
        <v>0</v>
      </c>
    </row>
    <row r="85" spans="2:43" x14ac:dyDescent="0.2">
      <c r="B85" s="230" t="s">
        <v>391</v>
      </c>
      <c r="C85" s="235">
        <f t="shared" si="57"/>
        <v>629508.26823827589</v>
      </c>
      <c r="D85" s="235">
        <f>(D24+D61)*[1]Parametre!$C$99</f>
        <v>0</v>
      </c>
      <c r="E85" s="235">
        <f>(E24+E61)*[1]Parametre!$C$99</f>
        <v>0</v>
      </c>
      <c r="F85" s="235">
        <f>(F24+F61)*[1]Parametre!$C$99</f>
        <v>0</v>
      </c>
      <c r="G85" s="235">
        <f>(G24+G61)*[1]Parametre!$C$99</f>
        <v>14552.044597232158</v>
      </c>
      <c r="H85" s="235">
        <f>(H24+H61)*[1]Parametre!$C$99</f>
        <v>27477.01167469217</v>
      </c>
      <c r="I85" s="235">
        <f>(I24+I61)*[1]Parametre!$C$99</f>
        <v>32125.371812675647</v>
      </c>
      <c r="J85" s="235">
        <f>(J24+J61)*[1]Parametre!$C$99</f>
        <v>31762.424948957199</v>
      </c>
      <c r="K85" s="235">
        <f>(K24+K61)*[1]Parametre!$C$99</f>
        <v>31232.27530224088</v>
      </c>
      <c r="L85" s="235">
        <f>(L24+L61)*[1]Parametre!$C$99</f>
        <v>30576.817845766731</v>
      </c>
      <c r="M85" s="235">
        <f>(M24+M61)*[1]Parametre!$C$99</f>
        <v>29614.434180189295</v>
      </c>
      <c r="N85" s="235">
        <f>(N24+N61)*[1]Parametre!$C$99</f>
        <v>28890.315843572353</v>
      </c>
      <c r="O85" s="235">
        <f>(O24+O61)*[1]Parametre!$C$99</f>
        <v>28145.046987074104</v>
      </c>
      <c r="P85" s="235">
        <f>(P24+P61)*[1]Parametre!$C$99</f>
        <v>27385.72749868979</v>
      </c>
      <c r="Q85" s="235">
        <f>(Q24+Q61)*[1]Parametre!$C$99</f>
        <v>26604.625901242533</v>
      </c>
      <c r="R85" s="235">
        <f>(R24+R61)*[1]Parametre!$C$99</f>
        <v>25808.982725838971</v>
      </c>
      <c r="S85" s="235">
        <f>(S24+S61)*[1]Parametre!$C$99</f>
        <v>24693.987316151117</v>
      </c>
      <c r="T85" s="235">
        <f>(T24+T61)*[1]Parametre!$C$99</f>
        <v>23587.152418082755</v>
      </c>
      <c r="U85" s="235">
        <f>(U24+U61)*[1]Parametre!$C$99</f>
        <v>22480.849925277595</v>
      </c>
      <c r="V85" s="235">
        <f>(V24+V61)*[1]Parametre!$C$99</f>
        <v>21382.666859897025</v>
      </c>
      <c r="W85" s="235">
        <f>(W24+W61)*[1]Parametre!$C$99</f>
        <v>20285.005614447346</v>
      </c>
      <c r="X85" s="235">
        <f>(X24+X61)*[1]Parametre!$C$99</f>
        <v>19195.422910265101</v>
      </c>
      <c r="Y85" s="235">
        <f>(Y24+Y61)*[1]Parametre!$C$99</f>
        <v>18106.351516777966</v>
      </c>
      <c r="Z85" s="235">
        <f>(Z24+Z61)*[1]Parametre!$C$99</f>
        <v>17025.317975512091</v>
      </c>
      <c r="AA85" s="235">
        <f>(AA24+AA61)*[1]Parametre!$C$99</f>
        <v>15944.785311362943</v>
      </c>
      <c r="AB85" s="235">
        <f>(AB24+AB61)*[1]Parametre!$C$99</f>
        <v>14872.250006577482</v>
      </c>
      <c r="AC85" s="235">
        <f>(AC24+AC61)*[1]Parametre!$C$99</f>
        <v>13803.941063869921</v>
      </c>
      <c r="AD85" s="235">
        <f>(AD24+AD61)*[1]Parametre!$C$99</f>
        <v>12736.117496300754</v>
      </c>
      <c r="AE85" s="235">
        <f>(AE24+AE61)*[1]Parametre!$C$99</f>
        <v>11676.230922126748</v>
      </c>
      <c r="AF85" s="235">
        <f>(AF24+AF61)*[1]Parametre!$C$99</f>
        <v>10616.819476720095</v>
      </c>
      <c r="AG85" s="235">
        <f>(AG24+AG61)*[1]Parametre!$C$99</f>
        <v>9565.3050182846182</v>
      </c>
      <c r="AH85" s="235">
        <f>(AH24+AH61)*[1]Parametre!$C$99</f>
        <v>8514.2555163839643</v>
      </c>
      <c r="AI85" s="235">
        <f>(AI24+AI61)*[1]Parametre!$C$99</f>
        <v>7471.0631880238152</v>
      </c>
      <c r="AJ85" s="235">
        <f>(AJ24+AJ61)*[1]Parametre!$C$99</f>
        <v>6428.3257176755696</v>
      </c>
      <c r="AK85" s="235">
        <f>(AK24+AK61)*[1]Parametre!$C$99</f>
        <v>5393.4057995268804</v>
      </c>
      <c r="AL85" s="235">
        <f>(AL24+AL61)*[1]Parametre!$C$99</f>
        <v>4358.9307141501386</v>
      </c>
      <c r="AM85" s="235">
        <f>(AM24+AM61)*[1]Parametre!$C$99</f>
        <v>3332.2337508222831</v>
      </c>
      <c r="AN85" s="235">
        <f>(AN24+AN61)*[1]Parametre!$C$99</f>
        <v>2305.9716678849732</v>
      </c>
      <c r="AO85" s="235">
        <f>(AO24+AO61)*[1]Parametre!$C$99</f>
        <v>1287.4484671408368</v>
      </c>
      <c r="AP85" s="235">
        <f>(AP24+AP61)*[1]Parametre!$C$99</f>
        <v>269.35026684216609</v>
      </c>
      <c r="AQ85" s="235">
        <f>(AQ24+AQ61)*[1]Parametre!$C$99</f>
        <v>0</v>
      </c>
    </row>
    <row r="86" spans="2:43" x14ac:dyDescent="0.2">
      <c r="B86" s="230" t="s">
        <v>392</v>
      </c>
      <c r="C86" s="235">
        <f t="shared" si="57"/>
        <v>4228643.5569196604</v>
      </c>
      <c r="D86" s="235">
        <f>(D25+D62)</f>
        <v>0</v>
      </c>
      <c r="E86" s="235">
        <f t="shared" ref="E86:AN86" si="58">(E25+E62)</f>
        <v>0</v>
      </c>
      <c r="F86" s="235">
        <f t="shared" si="58"/>
        <v>0</v>
      </c>
      <c r="G86" s="235">
        <f t="shared" si="58"/>
        <v>5066.6984708164173</v>
      </c>
      <c r="H86" s="235">
        <f t="shared" si="58"/>
        <v>11361.641206258115</v>
      </c>
      <c r="I86" s="235">
        <f t="shared" si="58"/>
        <v>16615.757637387429</v>
      </c>
      <c r="J86" s="235">
        <f t="shared" si="58"/>
        <v>20851.529653098416</v>
      </c>
      <c r="K86" s="235">
        <f t="shared" si="58"/>
        <v>26102.590923484331</v>
      </c>
      <c r="L86" s="235">
        <f t="shared" si="58"/>
        <v>32119.958495058017</v>
      </c>
      <c r="M86" s="235">
        <f t="shared" si="58"/>
        <v>39984.105561636185</v>
      </c>
      <c r="N86" s="235">
        <f t="shared" si="58"/>
        <v>46452.453190007247</v>
      </c>
      <c r="O86" s="235">
        <f t="shared" si="58"/>
        <v>53068.216812326558</v>
      </c>
      <c r="P86" s="235">
        <f t="shared" si="58"/>
        <v>59789.382535316916</v>
      </c>
      <c r="Q86" s="235">
        <f t="shared" si="58"/>
        <v>66662.155356806747</v>
      </c>
      <c r="R86" s="235">
        <f t="shared" si="58"/>
        <v>73643.689184694726</v>
      </c>
      <c r="S86" s="235">
        <f t="shared" si="58"/>
        <v>79821.354336851189</v>
      </c>
      <c r="T86" s="235">
        <f t="shared" si="58"/>
        <v>85951.389513049173</v>
      </c>
      <c r="U86" s="235">
        <f t="shared" si="58"/>
        <v>92079.164754236961</v>
      </c>
      <c r="V86" s="235">
        <f t="shared" si="58"/>
        <v>98159.550756772252</v>
      </c>
      <c r="W86" s="235">
        <f t="shared" si="58"/>
        <v>104237.73616210377</v>
      </c>
      <c r="X86" s="235">
        <f t="shared" si="58"/>
        <v>110268.77190267251</v>
      </c>
      <c r="Y86" s="235">
        <f t="shared" si="58"/>
        <v>116297.66594570286</v>
      </c>
      <c r="Z86" s="235">
        <f t="shared" si="58"/>
        <v>122279.64873989769</v>
      </c>
      <c r="AA86" s="235">
        <f t="shared" si="58"/>
        <v>128259.5483006326</v>
      </c>
      <c r="AB86" s="235">
        <f t="shared" si="58"/>
        <v>134192.77387592572</v>
      </c>
      <c r="AC86" s="235">
        <f t="shared" si="58"/>
        <v>140101.75351072443</v>
      </c>
      <c r="AD86" s="235">
        <f t="shared" si="58"/>
        <v>146008.73675247905</v>
      </c>
      <c r="AE86" s="235">
        <f t="shared" si="58"/>
        <v>151869.39971025521</v>
      </c>
      <c r="AF86" s="235">
        <f t="shared" si="58"/>
        <v>157728.12366136262</v>
      </c>
      <c r="AG86" s="235">
        <f t="shared" si="58"/>
        <v>163540.76173431761</v>
      </c>
      <c r="AH86" s="235">
        <f t="shared" si="58"/>
        <v>169351.51776022586</v>
      </c>
      <c r="AI86" s="235">
        <f t="shared" si="58"/>
        <v>175116.42118007923</v>
      </c>
      <c r="AJ86" s="235">
        <f t="shared" si="58"/>
        <v>180879.49908824862</v>
      </c>
      <c r="AK86" s="235">
        <f t="shared" si="58"/>
        <v>186596.95653405038</v>
      </c>
      <c r="AL86" s="235">
        <f t="shared" si="58"/>
        <v>192312.64458175263</v>
      </c>
      <c r="AM86" s="235">
        <f t="shared" si="58"/>
        <v>197982.94318765722</v>
      </c>
      <c r="AN86" s="235">
        <f t="shared" si="58"/>
        <v>203651.52808973714</v>
      </c>
      <c r="AO86" s="235">
        <f t="shared" ref="AO86:AQ86" si="59">(AO25+AO62)</f>
        <v>209274.953452741</v>
      </c>
      <c r="AP86" s="235">
        <f t="shared" si="59"/>
        <v>214896.7203893401</v>
      </c>
      <c r="AQ86" s="235">
        <f t="shared" si="59"/>
        <v>216065.81397195382</v>
      </c>
    </row>
    <row r="87" spans="2:43" x14ac:dyDescent="0.2">
      <c r="B87" s="230" t="s">
        <v>138</v>
      </c>
      <c r="C87" s="235">
        <f t="shared" si="57"/>
        <v>0</v>
      </c>
      <c r="D87" s="235">
        <f>(D26+D63)*[1]Parametre!$C$99</f>
        <v>0</v>
      </c>
      <c r="E87" s="235">
        <f>(E26+E63)*[1]Parametre!$C$99</f>
        <v>0</v>
      </c>
      <c r="F87" s="235">
        <f>(F26+F63)*[1]Parametre!$C$99</f>
        <v>0</v>
      </c>
      <c r="G87" s="235">
        <f>(G26+G63)*[1]Parametre!$C$99</f>
        <v>0</v>
      </c>
      <c r="H87" s="235">
        <f>(H26+H63)*[1]Parametre!$C$99</f>
        <v>0</v>
      </c>
      <c r="I87" s="235">
        <f>(I26+I63)*[1]Parametre!$C$99</f>
        <v>0</v>
      </c>
      <c r="J87" s="235">
        <f>(J26+J63)*[1]Parametre!$C$99</f>
        <v>0</v>
      </c>
      <c r="K87" s="235">
        <f>(K26+K63)*[1]Parametre!$C$99</f>
        <v>0</v>
      </c>
      <c r="L87" s="235">
        <f>(L26+L63)*[1]Parametre!$C$99</f>
        <v>0</v>
      </c>
      <c r="M87" s="235">
        <f>(M26+M63)*[1]Parametre!$C$99</f>
        <v>0</v>
      </c>
      <c r="N87" s="235">
        <f>(N26+N63)*[1]Parametre!$C$99</f>
        <v>0</v>
      </c>
      <c r="O87" s="235">
        <f>(O26+O63)*[1]Parametre!$C$99</f>
        <v>0</v>
      </c>
      <c r="P87" s="235">
        <f>(P26+P63)*[1]Parametre!$C$99</f>
        <v>0</v>
      </c>
      <c r="Q87" s="235">
        <f>(Q26+Q63)*[1]Parametre!$C$99</f>
        <v>0</v>
      </c>
      <c r="R87" s="235">
        <f>(R26+R63)*[1]Parametre!$C$99</f>
        <v>0</v>
      </c>
      <c r="S87" s="235">
        <f>(S26+S63)*[1]Parametre!$C$99</f>
        <v>0</v>
      </c>
      <c r="T87" s="235">
        <f>(T26+T63)*[1]Parametre!$C$99</f>
        <v>0</v>
      </c>
      <c r="U87" s="235">
        <f>(U26+U63)*[1]Parametre!$C$99</f>
        <v>0</v>
      </c>
      <c r="V87" s="235">
        <f>(V26+V63)*[1]Parametre!$C$99</f>
        <v>0</v>
      </c>
      <c r="W87" s="235">
        <f>(W26+W63)*[1]Parametre!$C$99</f>
        <v>0</v>
      </c>
      <c r="X87" s="235">
        <f>(X26+X63)*[1]Parametre!$C$99</f>
        <v>0</v>
      </c>
      <c r="Y87" s="235">
        <f>(Y26+Y63)*[1]Parametre!$C$99</f>
        <v>0</v>
      </c>
      <c r="Z87" s="235">
        <f>(Z26+Z63)*[1]Parametre!$C$99</f>
        <v>0</v>
      </c>
      <c r="AA87" s="235">
        <f>(AA26+AA63)*[1]Parametre!$C$99</f>
        <v>0</v>
      </c>
      <c r="AB87" s="235">
        <f>(AB26+AB63)*[1]Parametre!$C$99</f>
        <v>0</v>
      </c>
      <c r="AC87" s="235">
        <f>(AC26+AC63)*[1]Parametre!$C$99</f>
        <v>0</v>
      </c>
      <c r="AD87" s="235">
        <f>(AD26+AD63)*[1]Parametre!$C$99</f>
        <v>0</v>
      </c>
      <c r="AE87" s="235">
        <f>(AE26+AE63)*[1]Parametre!$C$99</f>
        <v>0</v>
      </c>
      <c r="AF87" s="235">
        <f>(AF26+AF63)*[1]Parametre!$C$99</f>
        <v>0</v>
      </c>
      <c r="AG87" s="235">
        <f>(AG26+AG63)*[1]Parametre!$C$99</f>
        <v>0</v>
      </c>
      <c r="AH87" s="235">
        <f>(AH26+AH63)*[1]Parametre!$C$99</f>
        <v>0</v>
      </c>
      <c r="AI87" s="235">
        <f>(AI26+AI63)*[1]Parametre!$C$99</f>
        <v>0</v>
      </c>
      <c r="AJ87" s="235">
        <f>(AJ26+AJ63)*[1]Parametre!$C$99</f>
        <v>0</v>
      </c>
      <c r="AK87" s="235">
        <f>(AK26+AK63)*[1]Parametre!$C$99</f>
        <v>0</v>
      </c>
      <c r="AL87" s="235">
        <f>(AL26+AL63)*[1]Parametre!$C$99</f>
        <v>0</v>
      </c>
      <c r="AM87" s="235">
        <f>(AM26+AM63)*[1]Parametre!$C$99</f>
        <v>0</v>
      </c>
      <c r="AN87" s="235">
        <f>(AN26+AN63)*[1]Parametre!$C$99</f>
        <v>0</v>
      </c>
      <c r="AO87" s="235">
        <f>(AO26+AO63)*[1]Parametre!$C$99</f>
        <v>0</v>
      </c>
      <c r="AP87" s="235">
        <f>(AP26+AP63)*[1]Parametre!$C$99</f>
        <v>0</v>
      </c>
      <c r="AQ87" s="235">
        <f>(AQ26+AQ63)*[1]Parametre!$C$99</f>
        <v>0</v>
      </c>
    </row>
    <row r="90" spans="2:43" x14ac:dyDescent="0.2">
      <c r="B90" s="253"/>
    </row>
    <row r="91" spans="2:43" x14ac:dyDescent="0.2">
      <c r="B91" s="253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6424-3A7E-4D35-AB6A-82934714A049}">
  <sheetPr>
    <tabColor theme="7" tint="0.59999389629810485"/>
  </sheetPr>
  <dimension ref="B2:AQ37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38.42578125" style="231" customWidth="1"/>
    <col min="3" max="3" width="8.42578125" style="231" bestFit="1" customWidth="1"/>
    <col min="4" max="6" width="4.42578125" style="231" bestFit="1" customWidth="1"/>
    <col min="7" max="8" width="6.140625" style="231" bestFit="1" customWidth="1"/>
    <col min="9" max="10" width="7" style="231" bestFit="1" customWidth="1"/>
    <col min="11" max="15" width="6.140625" style="231" bestFit="1" customWidth="1"/>
    <col min="16" max="43" width="7" style="231" bestFit="1" customWidth="1"/>
    <col min="44" max="16384" width="9.140625" style="231"/>
  </cols>
  <sheetData>
    <row r="2" spans="2:43" ht="17.45" customHeight="1" x14ac:dyDescent="0.2">
      <c r="B2" s="723" t="s">
        <v>606</v>
      </c>
      <c r="C2" s="723"/>
      <c r="D2" s="723"/>
      <c r="E2" s="723"/>
      <c r="F2" s="723"/>
      <c r="G2" s="723"/>
      <c r="H2" s="723"/>
      <c r="I2" s="723"/>
      <c r="J2" s="723"/>
      <c r="K2" s="723"/>
    </row>
    <row r="4" spans="2:43" x14ac:dyDescent="0.2">
      <c r="B4" s="358" t="s">
        <v>603</v>
      </c>
      <c r="C4" s="359"/>
      <c r="D4" s="256" t="s">
        <v>10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</row>
    <row r="5" spans="2:43" x14ac:dyDescent="0.2">
      <c r="B5" s="360"/>
      <c r="C5" s="361"/>
      <c r="D5" s="256">
        <v>1</v>
      </c>
      <c r="E5" s="256">
        <v>2</v>
      </c>
      <c r="F5" s="256">
        <v>3</v>
      </c>
      <c r="G5" s="256">
        <v>4</v>
      </c>
      <c r="H5" s="256">
        <v>5</v>
      </c>
      <c r="I5" s="256">
        <v>6</v>
      </c>
      <c r="J5" s="256">
        <v>7</v>
      </c>
      <c r="K5" s="256">
        <v>8</v>
      </c>
      <c r="L5" s="256">
        <v>9</v>
      </c>
      <c r="M5" s="256">
        <v>10</v>
      </c>
      <c r="N5" s="256">
        <v>11</v>
      </c>
      <c r="O5" s="256">
        <v>12</v>
      </c>
      <c r="P5" s="256">
        <v>13</v>
      </c>
      <c r="Q5" s="256">
        <v>14</v>
      </c>
      <c r="R5" s="256">
        <v>15</v>
      </c>
      <c r="S5" s="256">
        <v>16</v>
      </c>
      <c r="T5" s="256">
        <v>17</v>
      </c>
      <c r="U5" s="256">
        <v>18</v>
      </c>
      <c r="V5" s="256">
        <v>19</v>
      </c>
      <c r="W5" s="256">
        <v>20</v>
      </c>
      <c r="X5" s="256">
        <v>21</v>
      </c>
      <c r="Y5" s="256">
        <v>22</v>
      </c>
      <c r="Z5" s="256">
        <v>23</v>
      </c>
      <c r="AA5" s="256">
        <v>24</v>
      </c>
      <c r="AB5" s="256">
        <v>25</v>
      </c>
      <c r="AC5" s="256">
        <v>26</v>
      </c>
      <c r="AD5" s="256">
        <v>27</v>
      </c>
      <c r="AE5" s="256">
        <v>28</v>
      </c>
      <c r="AF5" s="256">
        <v>29</v>
      </c>
      <c r="AG5" s="256">
        <v>30</v>
      </c>
      <c r="AH5" s="256">
        <v>31</v>
      </c>
      <c r="AI5" s="256">
        <v>32</v>
      </c>
      <c r="AJ5" s="256">
        <v>33</v>
      </c>
      <c r="AK5" s="256">
        <v>34</v>
      </c>
      <c r="AL5" s="256">
        <v>35</v>
      </c>
      <c r="AM5" s="256">
        <v>36</v>
      </c>
      <c r="AN5" s="256">
        <v>37</v>
      </c>
      <c r="AO5" s="256">
        <v>38</v>
      </c>
      <c r="AP5" s="256">
        <v>39</v>
      </c>
      <c r="AQ5" s="256">
        <v>40</v>
      </c>
    </row>
    <row r="6" spans="2:43" x14ac:dyDescent="0.2">
      <c r="B6" s="259" t="s">
        <v>33</v>
      </c>
      <c r="C6" s="259" t="s">
        <v>9</v>
      </c>
      <c r="D6" s="304">
        <v>2026</v>
      </c>
      <c r="E6" s="304">
        <f>$D$6+D5</f>
        <v>2027</v>
      </c>
      <c r="F6" s="304">
        <f t="shared" ref="F6:AN6" si="0">$D$6+E5</f>
        <v>2028</v>
      </c>
      <c r="G6" s="304">
        <f t="shared" si="0"/>
        <v>2029</v>
      </c>
      <c r="H6" s="304">
        <f t="shared" si="0"/>
        <v>2030</v>
      </c>
      <c r="I6" s="304">
        <f t="shared" si="0"/>
        <v>2031</v>
      </c>
      <c r="J6" s="304">
        <f t="shared" si="0"/>
        <v>2032</v>
      </c>
      <c r="K6" s="304">
        <f t="shared" si="0"/>
        <v>2033</v>
      </c>
      <c r="L6" s="304">
        <f t="shared" si="0"/>
        <v>2034</v>
      </c>
      <c r="M6" s="304">
        <f t="shared" si="0"/>
        <v>2035</v>
      </c>
      <c r="N6" s="304">
        <f t="shared" si="0"/>
        <v>2036</v>
      </c>
      <c r="O6" s="304">
        <f t="shared" si="0"/>
        <v>2037</v>
      </c>
      <c r="P6" s="304">
        <f t="shared" si="0"/>
        <v>2038</v>
      </c>
      <c r="Q6" s="304">
        <f t="shared" si="0"/>
        <v>2039</v>
      </c>
      <c r="R6" s="304">
        <f t="shared" si="0"/>
        <v>2040</v>
      </c>
      <c r="S6" s="304">
        <f t="shared" si="0"/>
        <v>2041</v>
      </c>
      <c r="T6" s="304">
        <f t="shared" si="0"/>
        <v>2042</v>
      </c>
      <c r="U6" s="304">
        <f t="shared" si="0"/>
        <v>2043</v>
      </c>
      <c r="V6" s="304">
        <f t="shared" si="0"/>
        <v>2044</v>
      </c>
      <c r="W6" s="304">
        <f t="shared" si="0"/>
        <v>2045</v>
      </c>
      <c r="X6" s="304">
        <f t="shared" si="0"/>
        <v>2046</v>
      </c>
      <c r="Y6" s="304">
        <f t="shared" si="0"/>
        <v>2047</v>
      </c>
      <c r="Z6" s="304">
        <f t="shared" si="0"/>
        <v>2048</v>
      </c>
      <c r="AA6" s="304">
        <f t="shared" si="0"/>
        <v>2049</v>
      </c>
      <c r="AB6" s="304">
        <f t="shared" si="0"/>
        <v>2050</v>
      </c>
      <c r="AC6" s="304">
        <f t="shared" si="0"/>
        <v>2051</v>
      </c>
      <c r="AD6" s="304">
        <f t="shared" si="0"/>
        <v>2052</v>
      </c>
      <c r="AE6" s="304">
        <f t="shared" si="0"/>
        <v>2053</v>
      </c>
      <c r="AF6" s="304">
        <f t="shared" si="0"/>
        <v>2054</v>
      </c>
      <c r="AG6" s="304">
        <f t="shared" si="0"/>
        <v>2055</v>
      </c>
      <c r="AH6" s="304">
        <f t="shared" si="0"/>
        <v>2056</v>
      </c>
      <c r="AI6" s="304">
        <f t="shared" si="0"/>
        <v>2057</v>
      </c>
      <c r="AJ6" s="304">
        <f t="shared" si="0"/>
        <v>2058</v>
      </c>
      <c r="AK6" s="304">
        <f t="shared" si="0"/>
        <v>2059</v>
      </c>
      <c r="AL6" s="304">
        <f t="shared" si="0"/>
        <v>2060</v>
      </c>
      <c r="AM6" s="304">
        <f t="shared" si="0"/>
        <v>2061</v>
      </c>
      <c r="AN6" s="304">
        <f t="shared" si="0"/>
        <v>2062</v>
      </c>
      <c r="AO6" s="304">
        <f t="shared" ref="AO6" si="1">$D$6+AN5</f>
        <v>2063</v>
      </c>
      <c r="AP6" s="304">
        <f t="shared" ref="AP6" si="2">$D$6+AO5</f>
        <v>2064</v>
      </c>
      <c r="AQ6" s="304">
        <f t="shared" ref="AQ6" si="3">$D$6+AP5</f>
        <v>2065</v>
      </c>
    </row>
    <row r="7" spans="2:43" x14ac:dyDescent="0.2">
      <c r="B7" s="362" t="s">
        <v>685</v>
      </c>
      <c r="C7" s="363">
        <f>SUM(D7:AQ7)</f>
        <v>1054569.9999812024</v>
      </c>
      <c r="D7" s="235">
        <f>'04A Prevádzkové príjmy NOV200'!E78/Parametre!$C$152*Parametre!$AI$158*Parametre!E165</f>
        <v>0</v>
      </c>
      <c r="E7" s="235">
        <f>'04A Prevádzkové príjmy NOV200'!F78/Parametre!$C$152*Parametre!$AI$158*Parametre!F165</f>
        <v>0</v>
      </c>
      <c r="F7" s="235">
        <f>'04A Prevádzkové príjmy NOV200'!G78/Parametre!$C$152*Parametre!$AI$158*Parametre!G165</f>
        <v>0</v>
      </c>
      <c r="G7" s="235">
        <f>'04A Prevádzkové príjmy NOV200'!H78/Parametre!$C$152*Parametre!$AI$158*Parametre!H165</f>
        <v>24377.995405170564</v>
      </c>
      <c r="H7" s="235">
        <f>'04A Prevádzkové príjmy NOV200'!I78/Parametre!$C$152*Parametre!$AI$158*Parametre!I165</f>
        <v>46030.26467365749</v>
      </c>
      <c r="I7" s="235">
        <f>'04A Prevádzkové príjmy NOV200'!J78/Parametre!$C$152*Parametre!$AI$158*Parametre!J165</f>
        <v>53817.328637637678</v>
      </c>
      <c r="J7" s="235">
        <f>'04A Prevádzkové príjmy NOV200'!K78/Parametre!$C$152*Parametre!$AI$158*Parametre!K165</f>
        <v>53209.30981822504</v>
      </c>
      <c r="K7" s="235">
        <f>'04A Prevádzkové príjmy NOV200'!L78/Parametre!$C$152*Parametre!$AI$158*Parametre!L165</f>
        <v>52321.188182440506</v>
      </c>
      <c r="L7" s="235">
        <f>'04A Prevádzkové príjmy NOV200'!M78/Parametre!$C$152*Parametre!$AI$158*Parametre!M165</f>
        <v>51223.147370687439</v>
      </c>
      <c r="M7" s="235">
        <f>'04A Prevádzkové príjmy NOV200'!N78/Parametre!$C$152*Parametre!$AI$158*Parametre!N165</f>
        <v>49610.935119639209</v>
      </c>
      <c r="N7" s="235">
        <f>'04A Prevádzkové príjmy NOV200'!O78/Parametre!$C$152*Parametre!$AI$158*Parametre!O165</f>
        <v>48397.87166557274</v>
      </c>
      <c r="O7" s="235">
        <f>'04A Prevádzkové príjmy NOV200'!P78/Parametre!$C$152*Parametre!$AI$158*Parametre!P165</f>
        <v>47149.376264260769</v>
      </c>
      <c r="P7" s="235">
        <f>'04A Prevádzkové príjmy NOV200'!Q78/Parametre!$C$152*Parametre!$AI$158*Parametre!Q165</f>
        <v>45877.342848254746</v>
      </c>
      <c r="Q7" s="235">
        <f>'04A Prevádzkové príjmy NOV200'!R78/Parametre!$C$152*Parametre!$AI$158*Parametre!R165</f>
        <v>44568.819428998439</v>
      </c>
      <c r="R7" s="235">
        <f>'04A Prevádzkové príjmy NOV200'!S78/Parametre!$C$152*Parametre!$AI$158*Parametre!S165</f>
        <v>43235.935548348942</v>
      </c>
      <c r="S7" s="235">
        <f>'04A Prevádzkové príjmy NOV200'!T78/Parametre!$C$152*Parametre!$AI$158*Parametre!T165</f>
        <v>41368.063800668431</v>
      </c>
      <c r="T7" s="235">
        <f>'04A Prevádzkové príjmy NOV200'!U78/Parametre!$C$152*Parametre!$AI$158*Parametre!U165</f>
        <v>39513.862772139066</v>
      </c>
      <c r="U7" s="235">
        <f>'04A Prevádzkové príjmy NOV200'!V78/Parametre!$C$152*Parametre!$AI$158*Parametre!V165</f>
        <v>37660.553643917825</v>
      </c>
      <c r="V7" s="235">
        <f>'04A Prevádzkové príjmy NOV200'!W78/Parametre!$C$152*Parametre!$AI$158*Parametre!W165</f>
        <v>35820.846409446072</v>
      </c>
      <c r="W7" s="235">
        <f>'04A Prevádzkové príjmy NOV200'!X78/Parametre!$C$152*Parametre!$AI$158*Parametre!X165</f>
        <v>33982.01334243529</v>
      </c>
      <c r="X7" s="235">
        <f>'04A Prevádzkové príjmy NOV200'!Y78/Parametre!$C$152*Parametre!$AI$158*Parametre!Y165</f>
        <v>32156.713675530737</v>
      </c>
      <c r="Y7" s="235">
        <f>'04A Prevádzkové príjmy NOV200'!Z78/Parametre!$C$152*Parametre!$AI$158*Parametre!Z165</f>
        <v>30332.270570719062</v>
      </c>
      <c r="Z7" s="235">
        <f>'04A Prevádzkové príjmy NOV200'!AA78/Parametre!$C$152*Parametre!$AI$158*Parametre!AA165</f>
        <v>28521.292702576251</v>
      </c>
      <c r="AA7" s="235">
        <f>'04A Prevádzkové príjmy NOV200'!AB78/Parametre!$C$152*Parametre!$AI$158*Parametre!AB165</f>
        <v>26711.153917901625</v>
      </c>
      <c r="AB7" s="235">
        <f>'04A Prevádzkové príjmy NOV200'!AC78/Parametre!$C$152*Parametre!$AI$158*Parametre!AC165</f>
        <v>24914.412535119147</v>
      </c>
      <c r="AC7" s="235">
        <f>'04A Prevádzkové príjmy NOV200'!AD78/Parametre!$C$152*Parametre!$AI$158*Parametre!AD165</f>
        <v>23124.751273252135</v>
      </c>
      <c r="AD7" s="235">
        <f>'04A Prevádzkové príjmy NOV200'!AE78/Parametre!$C$152*Parametre!$AI$158*Parametre!AE165</f>
        <v>21335.903125502144</v>
      </c>
      <c r="AE7" s="235">
        <f>'04A Prevádzkové príjmy NOV200'!AF78/Parametre!$C$152*Parametre!$AI$158*Parametre!AF165</f>
        <v>19560.351252871798</v>
      </c>
      <c r="AF7" s="235">
        <f>'04A Prevádzkové príjmy NOV200'!AG78/Parametre!$C$152*Parametre!$AI$158*Parametre!AG165</f>
        <v>17785.595329348809</v>
      </c>
      <c r="AG7" s="235">
        <f>'04A Prevádzkové príjmy NOV200'!AH78/Parametre!$C$152*Parametre!$AI$158*Parametre!AH165</f>
        <v>16024.068661056021</v>
      </c>
      <c r="AH7" s="235">
        <f>'04A Prevádzkové príjmy NOV200'!AI78/Parametre!$C$152*Parametre!$AI$158*Parametre!AI165</f>
        <v>14263.320901059844</v>
      </c>
      <c r="AI7" s="235">
        <f>'04A Prevádzkové príjmy NOV200'!AJ78/Parametre!$C$152*Parametre!$AI$158*Parametre!AJ165</f>
        <v>12515.735699712268</v>
      </c>
      <c r="AJ7" s="235">
        <f>'04A Prevádzkové príjmy NOV200'!AK78/Parametre!$C$152*Parametre!$AI$158*Parametre!AK165</f>
        <v>10768.912489330984</v>
      </c>
      <c r="AK7" s="235">
        <f>'04A Prevádzkové príjmy NOV200'!AL78/Parametre!$C$152*Parametre!$AI$158*Parametre!AL165</f>
        <v>9035.1854628108103</v>
      </c>
      <c r="AL7" s="235">
        <f>'04A Prevádzkové príjmy NOV200'!AM78/Parametre!$C$152*Parametre!$AI$158*Parametre!AM165</f>
        <v>7302.2036326922953</v>
      </c>
      <c r="AM7" s="235">
        <f>'04A Prevádzkové príjmy NOV200'!AN78/Parametre!$C$152*Parametre!$AI$158*Parametre!AN165</f>
        <v>5582.2519319347539</v>
      </c>
      <c r="AN7" s="235">
        <f>'04A Prevádzkové príjmy NOV200'!AO78/Parametre!$C$152*Parametre!$AI$158*Parametre!AO165</f>
        <v>3863.0287550689368</v>
      </c>
      <c r="AO7" s="235">
        <f>'04A Prevádzkové príjmy NOV200'!AP78/Parametre!$C$152*Parametre!$AI$158*Parametre!AP165</f>
        <v>2156.7699718514336</v>
      </c>
      <c r="AP7" s="235">
        <f>'04A Prevádzkové príjmy NOV200'!AQ78/Parametre!$C$152*Parametre!$AI$158*Parametre!AQ165</f>
        <v>451.22316136309155</v>
      </c>
      <c r="AQ7" s="235">
        <f>'04A Prevádzkové príjmy NOV200'!AR78/Parametre!$C$152*Parametre!$AI$158*Parametre!AR165</f>
        <v>0</v>
      </c>
    </row>
    <row r="9" spans="2:43" x14ac:dyDescent="0.2">
      <c r="B9" s="305"/>
      <c r="C9" s="305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</row>
    <row r="10" spans="2:43" x14ac:dyDescent="0.2">
      <c r="B10" s="358" t="s">
        <v>604</v>
      </c>
      <c r="C10" s="359"/>
      <c r="D10" s="256" t="s">
        <v>10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</row>
    <row r="11" spans="2:43" x14ac:dyDescent="0.2">
      <c r="B11" s="360"/>
      <c r="C11" s="361"/>
      <c r="D11" s="256">
        <v>1</v>
      </c>
      <c r="E11" s="256">
        <v>2</v>
      </c>
      <c r="F11" s="256">
        <v>3</v>
      </c>
      <c r="G11" s="256">
        <v>4</v>
      </c>
      <c r="H11" s="256">
        <v>5</v>
      </c>
      <c r="I11" s="256">
        <v>6</v>
      </c>
      <c r="J11" s="256">
        <v>7</v>
      </c>
      <c r="K11" s="256">
        <v>8</v>
      </c>
      <c r="L11" s="256">
        <v>9</v>
      </c>
      <c r="M11" s="256">
        <v>10</v>
      </c>
      <c r="N11" s="256">
        <v>11</v>
      </c>
      <c r="O11" s="256">
        <v>12</v>
      </c>
      <c r="P11" s="256">
        <v>13</v>
      </c>
      <c r="Q11" s="256">
        <v>14</v>
      </c>
      <c r="R11" s="256">
        <v>15</v>
      </c>
      <c r="S11" s="256">
        <v>16</v>
      </c>
      <c r="T11" s="256">
        <v>17</v>
      </c>
      <c r="U11" s="256">
        <v>18</v>
      </c>
      <c r="V11" s="256">
        <v>19</v>
      </c>
      <c r="W11" s="256">
        <v>20</v>
      </c>
      <c r="X11" s="256">
        <v>21</v>
      </c>
      <c r="Y11" s="256">
        <v>22</v>
      </c>
      <c r="Z11" s="256">
        <v>23</v>
      </c>
      <c r="AA11" s="256">
        <v>24</v>
      </c>
      <c r="AB11" s="256">
        <v>25</v>
      </c>
      <c r="AC11" s="256">
        <v>26</v>
      </c>
      <c r="AD11" s="256">
        <v>27</v>
      </c>
      <c r="AE11" s="256">
        <v>28</v>
      </c>
      <c r="AF11" s="256">
        <v>29</v>
      </c>
      <c r="AG11" s="256">
        <v>30</v>
      </c>
      <c r="AH11" s="256">
        <v>31</v>
      </c>
      <c r="AI11" s="256">
        <v>32</v>
      </c>
      <c r="AJ11" s="256">
        <v>33</v>
      </c>
      <c r="AK11" s="256">
        <v>34</v>
      </c>
      <c r="AL11" s="256">
        <v>35</v>
      </c>
      <c r="AM11" s="256">
        <v>36</v>
      </c>
      <c r="AN11" s="256">
        <v>37</v>
      </c>
      <c r="AO11" s="256">
        <v>38</v>
      </c>
      <c r="AP11" s="256">
        <v>39</v>
      </c>
      <c r="AQ11" s="256">
        <v>40</v>
      </c>
    </row>
    <row r="12" spans="2:43" x14ac:dyDescent="0.2">
      <c r="B12" s="259" t="s">
        <v>33</v>
      </c>
      <c r="C12" s="259" t="s">
        <v>9</v>
      </c>
      <c r="D12" s="304">
        <v>2026</v>
      </c>
      <c r="E12" s="304">
        <f>$D$6+D11</f>
        <v>2027</v>
      </c>
      <c r="F12" s="304">
        <f t="shared" ref="F12:AN12" si="4">$D$6+E11</f>
        <v>2028</v>
      </c>
      <c r="G12" s="304">
        <f t="shared" si="4"/>
        <v>2029</v>
      </c>
      <c r="H12" s="304">
        <f t="shared" si="4"/>
        <v>2030</v>
      </c>
      <c r="I12" s="304">
        <f t="shared" si="4"/>
        <v>2031</v>
      </c>
      <c r="J12" s="304">
        <f t="shared" si="4"/>
        <v>2032</v>
      </c>
      <c r="K12" s="304">
        <f t="shared" si="4"/>
        <v>2033</v>
      </c>
      <c r="L12" s="304">
        <f t="shared" si="4"/>
        <v>2034</v>
      </c>
      <c r="M12" s="304">
        <f t="shared" si="4"/>
        <v>2035</v>
      </c>
      <c r="N12" s="304">
        <f t="shared" si="4"/>
        <v>2036</v>
      </c>
      <c r="O12" s="304">
        <f t="shared" si="4"/>
        <v>2037</v>
      </c>
      <c r="P12" s="304">
        <f t="shared" si="4"/>
        <v>2038</v>
      </c>
      <c r="Q12" s="304">
        <f t="shared" si="4"/>
        <v>2039</v>
      </c>
      <c r="R12" s="304">
        <f t="shared" si="4"/>
        <v>2040</v>
      </c>
      <c r="S12" s="304">
        <f t="shared" si="4"/>
        <v>2041</v>
      </c>
      <c r="T12" s="304">
        <f t="shared" si="4"/>
        <v>2042</v>
      </c>
      <c r="U12" s="304">
        <f t="shared" si="4"/>
        <v>2043</v>
      </c>
      <c r="V12" s="304">
        <f t="shared" si="4"/>
        <v>2044</v>
      </c>
      <c r="W12" s="304">
        <f t="shared" si="4"/>
        <v>2045</v>
      </c>
      <c r="X12" s="304">
        <f t="shared" si="4"/>
        <v>2046</v>
      </c>
      <c r="Y12" s="304">
        <f t="shared" si="4"/>
        <v>2047</v>
      </c>
      <c r="Z12" s="304">
        <f t="shared" si="4"/>
        <v>2048</v>
      </c>
      <c r="AA12" s="304">
        <f t="shared" si="4"/>
        <v>2049</v>
      </c>
      <c r="AB12" s="304">
        <f t="shared" si="4"/>
        <v>2050</v>
      </c>
      <c r="AC12" s="304">
        <f t="shared" si="4"/>
        <v>2051</v>
      </c>
      <c r="AD12" s="304">
        <f t="shared" si="4"/>
        <v>2052</v>
      </c>
      <c r="AE12" s="304">
        <f t="shared" si="4"/>
        <v>2053</v>
      </c>
      <c r="AF12" s="304">
        <f t="shared" si="4"/>
        <v>2054</v>
      </c>
      <c r="AG12" s="304">
        <f t="shared" si="4"/>
        <v>2055</v>
      </c>
      <c r="AH12" s="304">
        <f t="shared" si="4"/>
        <v>2056</v>
      </c>
      <c r="AI12" s="304">
        <f t="shared" si="4"/>
        <v>2057</v>
      </c>
      <c r="AJ12" s="304">
        <f t="shared" si="4"/>
        <v>2058</v>
      </c>
      <c r="AK12" s="304">
        <f t="shared" si="4"/>
        <v>2059</v>
      </c>
      <c r="AL12" s="304">
        <f t="shared" si="4"/>
        <v>2060</v>
      </c>
      <c r="AM12" s="304">
        <f t="shared" si="4"/>
        <v>2061</v>
      </c>
      <c r="AN12" s="304">
        <f t="shared" si="4"/>
        <v>2062</v>
      </c>
      <c r="AO12" s="304">
        <f t="shared" ref="AO12" si="5">$D$6+AN11</f>
        <v>2063</v>
      </c>
      <c r="AP12" s="304">
        <f t="shared" ref="AP12" si="6">$D$6+AO11</f>
        <v>2064</v>
      </c>
      <c r="AQ12" s="304">
        <f t="shared" ref="AQ12" si="7">$D$6+AP11</f>
        <v>2065</v>
      </c>
    </row>
    <row r="13" spans="2:43" x14ac:dyDescent="0.2">
      <c r="B13" s="362" t="s">
        <v>685</v>
      </c>
      <c r="C13" s="363">
        <f>SUM(D13:AQ13)</f>
        <v>729152.1126630595</v>
      </c>
      <c r="D13" s="235">
        <f>'04A Prevádzkové príjmy NOV200'!E78/Parametre!$C$152*Parametre!$AI$159*Parametre!E166</f>
        <v>0</v>
      </c>
      <c r="E13" s="235">
        <f>'04A Prevádzkové príjmy NOV200'!F78/Parametre!$C$152*Parametre!$AI$159*Parametre!F166</f>
        <v>0</v>
      </c>
      <c r="F13" s="235">
        <f>'04A Prevádzkové príjmy NOV200'!G78/Parametre!$C$152*Parametre!$AI$159*Parametre!G166</f>
        <v>0</v>
      </c>
      <c r="G13" s="235">
        <f>'04A Prevádzkové príjmy NOV200'!H78/Parametre!$C$152*Parametre!$AI$159*Parametre!H166</f>
        <v>16855.464172589123</v>
      </c>
      <c r="H13" s="235">
        <f>'04A Prevádzkové príjmy NOV200'!I78/Parametre!$C$152*Parametre!$AI$159*Parametre!I166</f>
        <v>31826.303359507099</v>
      </c>
      <c r="I13" s="235">
        <f>'04A Prevádzkové príjmy NOV200'!J78/Parametre!$C$152*Parametre!$AI$159*Parametre!J166</f>
        <v>37210.444896702109</v>
      </c>
      <c r="J13" s="235">
        <f>'04A Prevádzkové príjmy NOV200'!K78/Parametre!$C$152*Parametre!$AI$159*Parametre!K166</f>
        <v>36790.047761640868</v>
      </c>
      <c r="K13" s="235">
        <f>'04A Prevádzkové príjmy NOV200'!L78/Parametre!$C$152*Parametre!$AI$159*Parametre!L166</f>
        <v>36175.981585810332</v>
      </c>
      <c r="L13" s="235">
        <f>'04A Prevádzkové príjmy NOV200'!M78/Parametre!$C$152*Parametre!$AI$159*Parametre!M166</f>
        <v>35416.772829924732</v>
      </c>
      <c r="M13" s="235">
        <f>'04A Prevádzkové príjmy NOV200'!N78/Parametre!$C$152*Parametre!$AI$159*Parametre!N166</f>
        <v>34302.055012298551</v>
      </c>
      <c r="N13" s="235">
        <f>'04A Prevádzkové príjmy NOV200'!O78/Parametre!$C$152*Parametre!$AI$159*Parametre!O166</f>
        <v>33463.317156734032</v>
      </c>
      <c r="O13" s="235">
        <f>'04A Prevádzkové príjmy NOV200'!P78/Parametre!$C$152*Parametre!$AI$159*Parametre!P166</f>
        <v>32600.080899744964</v>
      </c>
      <c r="P13" s="235">
        <f>'04A Prevádzkové príjmy NOV200'!Q78/Parametre!$C$152*Parametre!$AI$159*Parametre!Q166</f>
        <v>31720.569959100598</v>
      </c>
      <c r="Q13" s="235">
        <f>'04A Prevádzkové príjmy NOV200'!R78/Parametre!$C$152*Parametre!$AI$159*Parametre!R166</f>
        <v>30815.829054621197</v>
      </c>
      <c r="R13" s="235">
        <f>'04A Prevádzkové príjmy NOV200'!S78/Parametre!$C$152*Parametre!$AI$159*Parametre!S166</f>
        <v>29894.24480935778</v>
      </c>
      <c r="S13" s="235">
        <f>'04A Prevádzkové príjmy NOV200'!T78/Parametre!$C$152*Parametre!$AI$159*Parametre!T166</f>
        <v>28602.758581768183</v>
      </c>
      <c r="T13" s="235">
        <f>'04A Prevádzkové príjmy NOV200'!U78/Parametre!$C$152*Parametre!$AI$159*Parametre!U166</f>
        <v>27320.724579968115</v>
      </c>
      <c r="U13" s="235">
        <f>'04A Prevádzkové príjmy NOV200'!V78/Parametre!$C$152*Parametre!$AI$159*Parametre!V166</f>
        <v>26039.30725699824</v>
      </c>
      <c r="V13" s="235">
        <f>'04A Prevádzkové príjmy NOV200'!W78/Parametre!$C$152*Parametre!$AI$159*Parametre!W166</f>
        <v>24767.294572472314</v>
      </c>
      <c r="W13" s="235">
        <f>'04A Prevádzkové príjmy NOV200'!X78/Parametre!$C$152*Parametre!$AI$159*Parametre!X166</f>
        <v>23495.886305909164</v>
      </c>
      <c r="X13" s="235">
        <f>'04A Prevádzkové príjmy NOV200'!Y78/Parametre!$C$152*Parametre!$AI$159*Parametre!Y166</f>
        <v>22233.835319829188</v>
      </c>
      <c r="Y13" s="235">
        <f>'04A Prevádzkové príjmy NOV200'!Z78/Parametre!$C$152*Parametre!$AI$159*Parametre!Z166</f>
        <v>20972.376578986292</v>
      </c>
      <c r="Z13" s="235">
        <f>'04A Prevádzkové príjmy NOV200'!AA78/Parametre!$C$152*Parametre!$AI$159*Parametre!AA166</f>
        <v>19720.227988977174</v>
      </c>
      <c r="AA13" s="235">
        <f>'04A Prevádzkové príjmy NOV200'!AB78/Parametre!$C$152*Parametre!$AI$159*Parametre!AB166</f>
        <v>18468.659559112519</v>
      </c>
      <c r="AB13" s="235">
        <f>'04A Prevádzkové príjmy NOV200'!AC78/Parametre!$C$152*Parametre!$AI$159*Parametre!AC166</f>
        <v>17226.354377675212</v>
      </c>
      <c r="AC13" s="235">
        <f>'04A Prevádzkové príjmy NOV200'!AD78/Parametre!$C$152*Parametre!$AI$159*Parametre!AD166</f>
        <v>15988.94454232542</v>
      </c>
      <c r="AD13" s="235">
        <f>'04A Prevádzkové príjmy NOV200'!AE78/Parametre!$C$152*Parametre!$AI$159*Parametre!AE166</f>
        <v>14752.09691135872</v>
      </c>
      <c r="AE13" s="235">
        <f>'04A Prevádzkové príjmy NOV200'!AF78/Parametre!$C$152*Parametre!$AI$159*Parametre!AF166</f>
        <v>13524.442607619427</v>
      </c>
      <c r="AF13" s="235">
        <f>'04A Prevádzkové príjmy NOV200'!AG78/Parametre!$C$152*Parametre!$AI$159*Parametre!AG166</f>
        <v>12297.338640010701</v>
      </c>
      <c r="AG13" s="235">
        <f>'04A Prevádzkové príjmy NOV200'!AH78/Parametre!$C$152*Parametre!$AI$159*Parametre!AH166</f>
        <v>11079.381660653331</v>
      </c>
      <c r="AH13" s="235">
        <f>'04A Prevádzkové príjmy NOV200'!AI78/Parametre!$C$152*Parametre!$AI$159*Parametre!AI166</f>
        <v>9861.9632350477805</v>
      </c>
      <c r="AI13" s="235">
        <f>'04A Prevádzkové príjmy NOV200'!AJ78/Parametre!$C$152*Parametre!$AI$159*Parametre!AJ166</f>
        <v>8653.6456822594428</v>
      </c>
      <c r="AJ13" s="235">
        <f>'04A Prevádzkové príjmy NOV200'!AK78/Parametre!$C$152*Parametre!$AI$159*Parametre!AK166</f>
        <v>7445.8549862211657</v>
      </c>
      <c r="AK13" s="235">
        <f>'04A Prevádzkové príjmy NOV200'!AL78/Parametre!$C$152*Parametre!$AI$159*Parametre!AL166</f>
        <v>6247.1192700612519</v>
      </c>
      <c r="AL13" s="235">
        <f>'04A Prevádzkové príjmy NOV200'!AM78/Parametre!$C$152*Parametre!$AI$159*Parametre!AM166</f>
        <v>5048.8987985324447</v>
      </c>
      <c r="AM13" s="235">
        <f>'04A Prevádzkové príjmy NOV200'!AN78/Parametre!$C$152*Parametre!$AI$159*Parametre!AN166</f>
        <v>3859.6876353966286</v>
      </c>
      <c r="AN13" s="235">
        <f>'04A Prevádzkové príjmy NOV200'!AO78/Parametre!$C$152*Parametre!$AI$159*Parametre!AO166</f>
        <v>2670.9801891641814</v>
      </c>
      <c r="AO13" s="235">
        <f>'04A Prevádzkové príjmy NOV200'!AP78/Parametre!$C$152*Parametre!$AI$159*Parametre!AP166</f>
        <v>1491.2366002557928</v>
      </c>
      <c r="AP13" s="235">
        <f>'04A Prevádzkové príjmy NOV200'!AQ78/Parametre!$C$152*Parametre!$AI$159*Parametre!AQ166</f>
        <v>311.98528442518494</v>
      </c>
      <c r="AQ13" s="235">
        <f>'04A Prevádzkové príjmy NOV200'!AR78/Parametre!$C$152*Parametre!$AI$159*Parametre!AR166</f>
        <v>0</v>
      </c>
    </row>
    <row r="14" spans="2:43" x14ac:dyDescent="0.2">
      <c r="B14" s="305"/>
      <c r="C14" s="305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305"/>
      <c r="C15" s="306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</row>
    <row r="16" spans="2:43" x14ac:dyDescent="0.2">
      <c r="B16" s="358" t="s">
        <v>605</v>
      </c>
      <c r="C16" s="359"/>
      <c r="D16" s="256" t="s">
        <v>10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</row>
    <row r="17" spans="2:43" x14ac:dyDescent="0.2">
      <c r="B17" s="360"/>
      <c r="C17" s="361"/>
      <c r="D17" s="256">
        <v>1</v>
      </c>
      <c r="E17" s="256">
        <v>2</v>
      </c>
      <c r="F17" s="256">
        <v>3</v>
      </c>
      <c r="G17" s="256">
        <v>4</v>
      </c>
      <c r="H17" s="256">
        <v>5</v>
      </c>
      <c r="I17" s="256">
        <v>6</v>
      </c>
      <c r="J17" s="256">
        <v>7</v>
      </c>
      <c r="K17" s="256">
        <v>8</v>
      </c>
      <c r="L17" s="256">
        <v>9</v>
      </c>
      <c r="M17" s="256">
        <v>10</v>
      </c>
      <c r="N17" s="256">
        <v>11</v>
      </c>
      <c r="O17" s="256">
        <v>12</v>
      </c>
      <c r="P17" s="256">
        <v>13</v>
      </c>
      <c r="Q17" s="256">
        <v>14</v>
      </c>
      <c r="R17" s="256">
        <v>15</v>
      </c>
      <c r="S17" s="256">
        <v>16</v>
      </c>
      <c r="T17" s="256">
        <v>17</v>
      </c>
      <c r="U17" s="256">
        <v>18</v>
      </c>
      <c r="V17" s="256">
        <v>19</v>
      </c>
      <c r="W17" s="256">
        <v>20</v>
      </c>
      <c r="X17" s="256">
        <v>21</v>
      </c>
      <c r="Y17" s="256">
        <v>22</v>
      </c>
      <c r="Z17" s="256">
        <v>23</v>
      </c>
      <c r="AA17" s="256">
        <v>24</v>
      </c>
      <c r="AB17" s="256">
        <v>25</v>
      </c>
      <c r="AC17" s="256">
        <v>26</v>
      </c>
      <c r="AD17" s="256">
        <v>27</v>
      </c>
      <c r="AE17" s="256">
        <v>28</v>
      </c>
      <c r="AF17" s="256">
        <v>29</v>
      </c>
      <c r="AG17" s="256">
        <v>30</v>
      </c>
      <c r="AH17" s="256">
        <v>31</v>
      </c>
      <c r="AI17" s="256">
        <v>32</v>
      </c>
      <c r="AJ17" s="256">
        <v>33</v>
      </c>
      <c r="AK17" s="256">
        <v>34</v>
      </c>
      <c r="AL17" s="256">
        <v>35</v>
      </c>
      <c r="AM17" s="256">
        <v>36</v>
      </c>
      <c r="AN17" s="256">
        <v>37</v>
      </c>
      <c r="AO17" s="256">
        <v>38</v>
      </c>
      <c r="AP17" s="256">
        <v>39</v>
      </c>
      <c r="AQ17" s="256">
        <v>40</v>
      </c>
    </row>
    <row r="18" spans="2:43" x14ac:dyDescent="0.2">
      <c r="B18" s="259" t="s">
        <v>33</v>
      </c>
      <c r="C18" s="259" t="s">
        <v>9</v>
      </c>
      <c r="D18" s="304">
        <v>2026</v>
      </c>
      <c r="E18" s="304">
        <f>$D$6+D17</f>
        <v>2027</v>
      </c>
      <c r="F18" s="304">
        <f t="shared" ref="F18:AN18" si="8">$D$6+E17</f>
        <v>2028</v>
      </c>
      <c r="G18" s="304">
        <f t="shared" si="8"/>
        <v>2029</v>
      </c>
      <c r="H18" s="304">
        <f t="shared" si="8"/>
        <v>2030</v>
      </c>
      <c r="I18" s="304">
        <f t="shared" si="8"/>
        <v>2031</v>
      </c>
      <c r="J18" s="304">
        <f t="shared" si="8"/>
        <v>2032</v>
      </c>
      <c r="K18" s="304">
        <f t="shared" si="8"/>
        <v>2033</v>
      </c>
      <c r="L18" s="304">
        <f t="shared" si="8"/>
        <v>2034</v>
      </c>
      <c r="M18" s="304">
        <f t="shared" si="8"/>
        <v>2035</v>
      </c>
      <c r="N18" s="304">
        <f t="shared" si="8"/>
        <v>2036</v>
      </c>
      <c r="O18" s="304">
        <f t="shared" si="8"/>
        <v>2037</v>
      </c>
      <c r="P18" s="304">
        <f t="shared" si="8"/>
        <v>2038</v>
      </c>
      <c r="Q18" s="304">
        <f t="shared" si="8"/>
        <v>2039</v>
      </c>
      <c r="R18" s="304">
        <f t="shared" si="8"/>
        <v>2040</v>
      </c>
      <c r="S18" s="304">
        <f t="shared" si="8"/>
        <v>2041</v>
      </c>
      <c r="T18" s="304">
        <f t="shared" si="8"/>
        <v>2042</v>
      </c>
      <c r="U18" s="304">
        <f t="shared" si="8"/>
        <v>2043</v>
      </c>
      <c r="V18" s="304">
        <f t="shared" si="8"/>
        <v>2044</v>
      </c>
      <c r="W18" s="304">
        <f t="shared" si="8"/>
        <v>2045</v>
      </c>
      <c r="X18" s="304">
        <f t="shared" si="8"/>
        <v>2046</v>
      </c>
      <c r="Y18" s="304">
        <f t="shared" si="8"/>
        <v>2047</v>
      </c>
      <c r="Z18" s="304">
        <f t="shared" si="8"/>
        <v>2048</v>
      </c>
      <c r="AA18" s="304">
        <f t="shared" si="8"/>
        <v>2049</v>
      </c>
      <c r="AB18" s="304">
        <f t="shared" si="8"/>
        <v>2050</v>
      </c>
      <c r="AC18" s="304">
        <f t="shared" si="8"/>
        <v>2051</v>
      </c>
      <c r="AD18" s="304">
        <f t="shared" si="8"/>
        <v>2052</v>
      </c>
      <c r="AE18" s="304">
        <f t="shared" si="8"/>
        <v>2053</v>
      </c>
      <c r="AF18" s="304">
        <f t="shared" si="8"/>
        <v>2054</v>
      </c>
      <c r="AG18" s="304">
        <f t="shared" si="8"/>
        <v>2055</v>
      </c>
      <c r="AH18" s="304">
        <f t="shared" si="8"/>
        <v>2056</v>
      </c>
      <c r="AI18" s="304">
        <f t="shared" si="8"/>
        <v>2057</v>
      </c>
      <c r="AJ18" s="304">
        <f t="shared" si="8"/>
        <v>2058</v>
      </c>
      <c r="AK18" s="304">
        <f t="shared" si="8"/>
        <v>2059</v>
      </c>
      <c r="AL18" s="304">
        <f t="shared" si="8"/>
        <v>2060</v>
      </c>
      <c r="AM18" s="304">
        <f t="shared" si="8"/>
        <v>2061</v>
      </c>
      <c r="AN18" s="304">
        <f t="shared" si="8"/>
        <v>2062</v>
      </c>
      <c r="AO18" s="304">
        <f t="shared" ref="AO18" si="9">$D$6+AN17</f>
        <v>2063</v>
      </c>
      <c r="AP18" s="304">
        <f t="shared" ref="AP18" si="10">$D$6+AO17</f>
        <v>2064</v>
      </c>
      <c r="AQ18" s="304">
        <f t="shared" ref="AQ18" si="11">$D$6+AP17</f>
        <v>2065</v>
      </c>
    </row>
    <row r="19" spans="2:43" x14ac:dyDescent="0.2">
      <c r="B19" s="362" t="s">
        <v>685</v>
      </c>
      <c r="C19" s="363">
        <f>SUM(D19:AQ19)</f>
        <v>4020670.0996634527</v>
      </c>
      <c r="D19" s="235">
        <f>'04A Prevádzkové príjmy NOV200'!E78/Parametre!$C$152*Parametre!$AI$160/100*Parametre!E167</f>
        <v>0</v>
      </c>
      <c r="E19" s="235">
        <f>'04A Prevádzkové príjmy NOV200'!F78/Parametre!$C$152*Parametre!$AI$160/100*Parametre!F167</f>
        <v>0</v>
      </c>
      <c r="F19" s="235">
        <f>'04A Prevádzkové príjmy NOV200'!G78/Parametre!$C$152*Parametre!$AI$160/100*Parametre!G167</f>
        <v>0</v>
      </c>
      <c r="G19" s="235">
        <f>'04A Prevádzkové príjmy NOV200'!H78/Parametre!$C$152*Parametre!$AI$160/100*Parametre!H167</f>
        <v>4817.5077353792531</v>
      </c>
      <c r="H19" s="235">
        <f>'04A Prevádzkové príjmy NOV200'!I78/Parametre!$C$152*Parametre!$AI$160/100*Parametre!I167</f>
        <v>10802.852135965473</v>
      </c>
      <c r="I19" s="235">
        <f>'04A Prevádzkové príjmy NOV200'!J78/Parametre!$C$152*Parametre!$AI$160/100*Parametre!J167</f>
        <v>15798.560227801088</v>
      </c>
      <c r="J19" s="235">
        <f>'04A Prevádzkové príjmy NOV200'!K78/Parametre!$C$152*Parametre!$AI$160/100*Parametre!K167</f>
        <v>19826.008193873276</v>
      </c>
      <c r="K19" s="235">
        <f>'04A Prevádzkové príjmy NOV200'!L78/Parametre!$C$152*Parametre!$AI$160/100*Parametre!L167</f>
        <v>24818.811384105029</v>
      </c>
      <c r="L19" s="235">
        <f>'04A Prevádzkové príjmy NOV200'!M78/Parametre!$C$152*Parametre!$AI$160/100*Parametre!M167</f>
        <v>30540.232342870993</v>
      </c>
      <c r="M19" s="235">
        <f>'04A Prevádzkové príjmy NOV200'!N78/Parametre!$C$152*Parametre!$AI$160/100*Parametre!N167</f>
        <v>38017.604352201502</v>
      </c>
      <c r="N19" s="235">
        <f>'04A Prevádzkové príjmy NOV200'!O78/Parametre!$C$152*Parametre!$AI$160/100*Parametre!O167</f>
        <v>44167.825233567368</v>
      </c>
      <c r="O19" s="235">
        <f>'04A Prevádzkové príjmy NOV200'!P78/Parametre!$C$152*Parametre!$AI$160/100*Parametre!P167</f>
        <v>50458.21188466571</v>
      </c>
      <c r="P19" s="235">
        <f>'04A Prevádzkové príjmy NOV200'!Q78/Parametre!$C$152*Parametre!$AI$160/100*Parametre!Q167</f>
        <v>56848.8167425969</v>
      </c>
      <c r="Q19" s="235">
        <f>'04A Prevádzkové príjmy NOV200'!R78/Parametre!$C$152*Parametre!$AI$160/100*Parametre!R167</f>
        <v>63383.572347600653</v>
      </c>
      <c r="R19" s="235">
        <f>'04A Prevádzkové príjmy NOV200'!S78/Parametre!$C$152*Parametre!$AI$160/100*Parametre!S167</f>
        <v>70021.739867216791</v>
      </c>
      <c r="S19" s="235">
        <f>'04A Prevádzkové príjmy NOV200'!T78/Parametre!$C$152*Parametre!$AI$160/100*Parametre!T167</f>
        <v>75895.574639212035</v>
      </c>
      <c r="T19" s="235">
        <f>'04A Prevádzkové príjmy NOV200'!U78/Parametre!$C$152*Parametre!$AI$160/100*Parametre!U167</f>
        <v>81724.121976216324</v>
      </c>
      <c r="U19" s="235">
        <f>'04A Prevádzkové príjmy NOV200'!V78/Parametre!$C$152*Parametre!$AI$160/100*Parametre!V167</f>
        <v>87550.520526499662</v>
      </c>
      <c r="V19" s="235">
        <f>'04A Prevádzkové príjmy NOV200'!W78/Parametre!$C$152*Parametre!$AI$160/100*Parametre!W167</f>
        <v>93331.860539138215</v>
      </c>
      <c r="W19" s="235">
        <f>'04A Prevádzkové príjmy NOV200'!X78/Parametre!$C$152*Parametre!$AI$160/100*Parametre!X167</f>
        <v>99111.108184505909</v>
      </c>
      <c r="X19" s="235">
        <f>'04A Prevádzkové príjmy NOV200'!Y78/Parametre!$C$152*Parametre!$AI$160/100*Parametre!Y167</f>
        <v>104845.52508337793</v>
      </c>
      <c r="Y19" s="235">
        <f>'04A Prevádzkové príjmy NOV200'!Z78/Parametre!$C$152*Parametre!$AI$160/100*Parametre!Z167</f>
        <v>110577.9056178368</v>
      </c>
      <c r="Z19" s="235">
        <f>'04A Prevádzkové príjmy NOV200'!AA78/Parametre!$C$152*Parametre!$AI$160/100*Parametre!AA167</f>
        <v>116265.68209593766</v>
      </c>
      <c r="AA19" s="235">
        <f>'04A Prevádzkové príjmy NOV200'!AB78/Parametre!$C$152*Parametre!$AI$160/100*Parametre!AB167</f>
        <v>121951.47779831926</v>
      </c>
      <c r="AB19" s="235">
        <f>'04A Prevádzkové príjmy NOV200'!AC78/Parametre!$C$152*Parametre!$AI$160/100*Parametre!AC167</f>
        <v>127592.89503863094</v>
      </c>
      <c r="AC19" s="235">
        <f>'04A Prevádzkové príjmy NOV200'!AD78/Parametre!$C$152*Parametre!$AI$160/100*Parametre!AD167</f>
        <v>133211.25880407018</v>
      </c>
      <c r="AD19" s="235">
        <f>'04A Prevádzkové príjmy NOV200'!AE78/Parametre!$C$152*Parametre!$AI$160/100*Parametre!AE167</f>
        <v>138827.72436321428</v>
      </c>
      <c r="AE19" s="235">
        <f>'04A Prevádzkové príjmy NOV200'!AF78/Parametre!$C$152*Parametre!$AI$160/100*Parametre!AF167</f>
        <v>144400.14776598051</v>
      </c>
      <c r="AF19" s="235">
        <f>'04A Prevádzkové príjmy NOV200'!AG78/Parametre!$C$152*Parametre!$AI$160/100*Parametre!AG167</f>
        <v>149970.72752644605</v>
      </c>
      <c r="AG19" s="235">
        <f>'04A Prevádzkové príjmy NOV200'!AH78/Parametre!$C$152*Parametre!$AI$160/100*Parametre!AH167</f>
        <v>155497.48800779527</v>
      </c>
      <c r="AH19" s="235">
        <f>'04A Prevádzkové príjmy NOV200'!AI78/Parametre!$C$152*Parametre!$AI$160/100*Parametre!AI167</f>
        <v>161022.45900507347</v>
      </c>
      <c r="AI19" s="235">
        <f>'04A Prevádzkové príjmy NOV200'!AJ78/Parametre!$C$152*Parametre!$AI$160/100*Parametre!AJ167</f>
        <v>166503.83252252749</v>
      </c>
      <c r="AJ19" s="235">
        <f>'04A Prevádzkové príjmy NOV200'!AK78/Parametre!$C$152*Parametre!$AI$160/100*Parametre!AK167</f>
        <v>171983.47031074695</v>
      </c>
      <c r="AK19" s="235">
        <f>'04A Prevádzkové príjmy NOV200'!AL78/Parametre!$C$152*Parametre!$AI$160/100*Parametre!AL167</f>
        <v>177419.73134552161</v>
      </c>
      <c r="AL19" s="235">
        <f>'04A Prevádzkové príjmy NOV200'!AM78/Parametre!$C$152*Parametre!$AI$160/100*Parametre!AM167</f>
        <v>182854.31000486374</v>
      </c>
      <c r="AM19" s="235">
        <f>'04A Prevádzkové príjmy NOV200'!AN78/Parametre!$C$152*Parametre!$AI$160/100*Parametre!AN167</f>
        <v>188245.73156926048</v>
      </c>
      <c r="AN19" s="235">
        <f>'04A Prevádzkové príjmy NOV200'!AO78/Parametre!$C$152*Parametre!$AI$160/100*Parametre!AO167</f>
        <v>193635.52371333961</v>
      </c>
      <c r="AO19" s="235">
        <f>'04A Prevádzkové príjmy NOV200'!AP78/Parametre!$C$152*Parametre!$AI$160/100*Parametre!AP167</f>
        <v>198982.37735810241</v>
      </c>
      <c r="AP19" s="235">
        <f>'04A Prevádzkové príjmy NOV200'!AQ78/Parametre!$C$152*Parametre!$AI$160/100*Parametre!AQ167</f>
        <v>204327.65414130944</v>
      </c>
      <c r="AQ19" s="235">
        <f>'04A Prevádzkové príjmy NOV200'!AR78/Parametre!$C$152*Parametre!$AI$160/100*Parametre!AR167</f>
        <v>205439.24927768161</v>
      </c>
    </row>
    <row r="20" spans="2:43" x14ac:dyDescent="0.2"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</row>
    <row r="21" spans="2:43" x14ac:dyDescent="0.2"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</row>
    <row r="22" spans="2:43" x14ac:dyDescent="0.2">
      <c r="B22" s="358" t="s">
        <v>608</v>
      </c>
      <c r="C22" s="359"/>
      <c r="D22" s="256" t="s">
        <v>10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</row>
    <row r="23" spans="2:43" x14ac:dyDescent="0.2">
      <c r="B23" s="360"/>
      <c r="C23" s="361"/>
      <c r="D23" s="256">
        <v>1</v>
      </c>
      <c r="E23" s="256">
        <v>2</v>
      </c>
      <c r="F23" s="256">
        <v>3</v>
      </c>
      <c r="G23" s="256">
        <v>4</v>
      </c>
      <c r="H23" s="256">
        <v>5</v>
      </c>
      <c r="I23" s="256">
        <v>6</v>
      </c>
      <c r="J23" s="256">
        <v>7</v>
      </c>
      <c r="K23" s="256">
        <v>8</v>
      </c>
      <c r="L23" s="256">
        <v>9</v>
      </c>
      <c r="M23" s="256">
        <v>10</v>
      </c>
      <c r="N23" s="256">
        <v>11</v>
      </c>
      <c r="O23" s="256">
        <v>12</v>
      </c>
      <c r="P23" s="256">
        <v>13</v>
      </c>
      <c r="Q23" s="256">
        <v>14</v>
      </c>
      <c r="R23" s="256">
        <v>15</v>
      </c>
      <c r="S23" s="256">
        <v>16</v>
      </c>
      <c r="T23" s="256">
        <v>17</v>
      </c>
      <c r="U23" s="256">
        <v>18</v>
      </c>
      <c r="V23" s="256">
        <v>19</v>
      </c>
      <c r="W23" s="256">
        <v>20</v>
      </c>
      <c r="X23" s="256">
        <v>21</v>
      </c>
      <c r="Y23" s="256">
        <v>22</v>
      </c>
      <c r="Z23" s="256">
        <v>23</v>
      </c>
      <c r="AA23" s="256">
        <v>24</v>
      </c>
      <c r="AB23" s="256">
        <v>25</v>
      </c>
      <c r="AC23" s="256">
        <v>26</v>
      </c>
      <c r="AD23" s="256">
        <v>27</v>
      </c>
      <c r="AE23" s="256">
        <v>28</v>
      </c>
      <c r="AF23" s="256">
        <v>29</v>
      </c>
      <c r="AG23" s="256">
        <v>30</v>
      </c>
      <c r="AH23" s="256">
        <v>31</v>
      </c>
      <c r="AI23" s="256">
        <v>32</v>
      </c>
      <c r="AJ23" s="256">
        <v>33</v>
      </c>
      <c r="AK23" s="256">
        <v>34</v>
      </c>
      <c r="AL23" s="256">
        <v>35</v>
      </c>
      <c r="AM23" s="256">
        <v>36</v>
      </c>
      <c r="AN23" s="256">
        <v>37</v>
      </c>
      <c r="AO23" s="256">
        <v>38</v>
      </c>
      <c r="AP23" s="256">
        <v>39</v>
      </c>
      <c r="AQ23" s="256">
        <v>40</v>
      </c>
    </row>
    <row r="24" spans="2:43" x14ac:dyDescent="0.2">
      <c r="B24" s="259" t="s">
        <v>33</v>
      </c>
      <c r="C24" s="259" t="s">
        <v>9</v>
      </c>
      <c r="D24" s="304">
        <v>2026</v>
      </c>
      <c r="E24" s="304">
        <f>$D$6+D23</f>
        <v>2027</v>
      </c>
      <c r="F24" s="304">
        <f t="shared" ref="F24:AN24" si="12">$D$6+E23</f>
        <v>2028</v>
      </c>
      <c r="G24" s="304">
        <f t="shared" si="12"/>
        <v>2029</v>
      </c>
      <c r="H24" s="304">
        <f t="shared" si="12"/>
        <v>2030</v>
      </c>
      <c r="I24" s="304">
        <f t="shared" si="12"/>
        <v>2031</v>
      </c>
      <c r="J24" s="304">
        <f t="shared" si="12"/>
        <v>2032</v>
      </c>
      <c r="K24" s="304">
        <f t="shared" si="12"/>
        <v>2033</v>
      </c>
      <c r="L24" s="304">
        <f t="shared" si="12"/>
        <v>2034</v>
      </c>
      <c r="M24" s="304">
        <f t="shared" si="12"/>
        <v>2035</v>
      </c>
      <c r="N24" s="304">
        <f t="shared" si="12"/>
        <v>2036</v>
      </c>
      <c r="O24" s="304">
        <f t="shared" si="12"/>
        <v>2037</v>
      </c>
      <c r="P24" s="304">
        <f t="shared" si="12"/>
        <v>2038</v>
      </c>
      <c r="Q24" s="304">
        <f t="shared" si="12"/>
        <v>2039</v>
      </c>
      <c r="R24" s="304">
        <f t="shared" si="12"/>
        <v>2040</v>
      </c>
      <c r="S24" s="304">
        <f t="shared" si="12"/>
        <v>2041</v>
      </c>
      <c r="T24" s="304">
        <f t="shared" si="12"/>
        <v>2042</v>
      </c>
      <c r="U24" s="304">
        <f t="shared" si="12"/>
        <v>2043</v>
      </c>
      <c r="V24" s="304">
        <f t="shared" si="12"/>
        <v>2044</v>
      </c>
      <c r="W24" s="304">
        <f t="shared" si="12"/>
        <v>2045</v>
      </c>
      <c r="X24" s="304">
        <f t="shared" si="12"/>
        <v>2046</v>
      </c>
      <c r="Y24" s="304">
        <f t="shared" si="12"/>
        <v>2047</v>
      </c>
      <c r="Z24" s="304">
        <f t="shared" si="12"/>
        <v>2048</v>
      </c>
      <c r="AA24" s="304">
        <f t="shared" si="12"/>
        <v>2049</v>
      </c>
      <c r="AB24" s="304">
        <f t="shared" si="12"/>
        <v>2050</v>
      </c>
      <c r="AC24" s="304">
        <f t="shared" si="12"/>
        <v>2051</v>
      </c>
      <c r="AD24" s="304">
        <f t="shared" si="12"/>
        <v>2052</v>
      </c>
      <c r="AE24" s="304">
        <f t="shared" si="12"/>
        <v>2053</v>
      </c>
      <c r="AF24" s="304">
        <f t="shared" si="12"/>
        <v>2054</v>
      </c>
      <c r="AG24" s="304">
        <f t="shared" si="12"/>
        <v>2055</v>
      </c>
      <c r="AH24" s="304">
        <f t="shared" si="12"/>
        <v>2056</v>
      </c>
      <c r="AI24" s="304">
        <f t="shared" si="12"/>
        <v>2057</v>
      </c>
      <c r="AJ24" s="304">
        <f t="shared" si="12"/>
        <v>2058</v>
      </c>
      <c r="AK24" s="304">
        <f t="shared" si="12"/>
        <v>2059</v>
      </c>
      <c r="AL24" s="304">
        <f t="shared" si="12"/>
        <v>2060</v>
      </c>
      <c r="AM24" s="304">
        <f t="shared" si="12"/>
        <v>2061</v>
      </c>
      <c r="AN24" s="304">
        <f t="shared" si="12"/>
        <v>2062</v>
      </c>
      <c r="AO24" s="304">
        <f t="shared" ref="AO24" si="13">$D$6+AN23</f>
        <v>2063</v>
      </c>
      <c r="AP24" s="304">
        <f t="shared" ref="AP24" si="14">$D$6+AO23</f>
        <v>2064</v>
      </c>
      <c r="AQ24" s="304">
        <f t="shared" ref="AQ24" si="15">$D$6+AP23</f>
        <v>2065</v>
      </c>
    </row>
    <row r="25" spans="2:43" x14ac:dyDescent="0.2">
      <c r="B25" s="362" t="s">
        <v>685</v>
      </c>
      <c r="C25" s="363">
        <f>SUM(D25:AQ25)</f>
        <v>51632.199864941504</v>
      </c>
      <c r="D25" s="235">
        <f>'04A Prevádzkové príjmy NOV200'!E78/Parametre!$C$152/Vstupy!$F$53*(Parametre!$C$173+Parametre!$D$173+Parametre!$E$173+Parametre!$F$173+Parametre!$G$173+Parametre!$H$173)*Parametre!E165</f>
        <v>0</v>
      </c>
      <c r="E25" s="235">
        <f>'04A Prevádzkové príjmy NOV200'!F78/Parametre!$C$152/Vstupy!$F$53*(Parametre!$C$173+Parametre!$D$173+Parametre!$E$173+Parametre!$F$173+Parametre!$G$173+Parametre!$H$173)*Parametre!F165</f>
        <v>0</v>
      </c>
      <c r="F25" s="235">
        <f>'04A Prevádzkové príjmy NOV200'!G78/Parametre!$C$152/Vstupy!$F$53*(Parametre!$C$173+Parametre!$D$173+Parametre!$E$173+Parametre!$F$173+Parametre!$G$173+Parametre!$H$173)*Parametre!G165</f>
        <v>0</v>
      </c>
      <c r="G25" s="235">
        <f>'04A Prevádzkové príjmy NOV200'!H78/Parametre!$C$152/Vstupy!$F$53*(Parametre!$C$173+Parametre!$D$173+Parametre!$E$173+Parametre!$F$173+Parametre!$G$173+Parametre!$H$173)*Parametre!H165</f>
        <v>1193.5571190995649</v>
      </c>
      <c r="H25" s="235">
        <f>'04A Prevádzkové príjmy NOV200'!I78/Parametre!$C$152/Vstupy!$F$53*(Parametre!$C$173+Parametre!$D$173+Parametre!$E$173+Parametre!$F$173+Parametre!$G$173+Parametre!$H$173)*Parametre!I165</f>
        <v>2253.661516550635</v>
      </c>
      <c r="I25" s="235">
        <f>'04A Prevádzkové príjmy NOV200'!J78/Parametre!$C$152/Vstupy!$F$53*(Parametre!$C$173+Parametre!$D$173+Parametre!$E$173+Parametre!$F$173+Parametre!$G$173+Parametre!$H$173)*Parametre!J165</f>
        <v>2634.9195107629448</v>
      </c>
      <c r="J25" s="235">
        <f>'04A Prevádzkové príjmy NOV200'!K78/Parametre!$C$152/Vstupy!$F$53*(Parametre!$C$173+Parametre!$D$173+Parametre!$E$173+Parametre!$F$173+Parametre!$G$173+Parametre!$H$173)*Parametre!K165</f>
        <v>2605.1506483772155</v>
      </c>
      <c r="K25" s="235">
        <f>'04A Prevádzkové príjmy NOV200'!L78/Parametre!$C$152/Vstupy!$F$53*(Parametre!$C$173+Parametre!$D$173+Parametre!$E$173+Parametre!$F$173+Parametre!$G$173+Parametre!$H$173)*Parametre!L165</f>
        <v>2561.6678318699915</v>
      </c>
      <c r="L25" s="235">
        <f>'04A Prevádzkové príjmy NOV200'!M78/Parametre!$C$152/Vstupy!$F$53*(Parametre!$C$173+Parametre!$D$173+Parametre!$E$173+Parametre!$F$173+Parametre!$G$173+Parametre!$H$173)*Parametre!M165</f>
        <v>2507.907282401196</v>
      </c>
      <c r="M25" s="235">
        <f>'04A Prevádzkové príjmy NOV200'!N78/Parametre!$C$152/Vstupy!$F$53*(Parametre!$C$173+Parametre!$D$173+Parametre!$E$173+Parametre!$F$173+Parametre!$G$173+Parametre!$H$173)*Parametre!N165</f>
        <v>2428.9726785604712</v>
      </c>
      <c r="N25" s="235">
        <f>'04A Prevádzkové príjmy NOV200'!O78/Parametre!$C$152/Vstupy!$F$53*(Parametre!$C$173+Parametre!$D$173+Parametre!$E$173+Parametre!$F$173+Parametre!$G$173+Parametre!$H$173)*Parametre!O165</f>
        <v>2369.580571151449</v>
      </c>
      <c r="O25" s="235">
        <f>'04A Prevádzkové príjmy NOV200'!P78/Parametre!$C$152/Vstupy!$F$53*(Parametre!$C$173+Parametre!$D$173+Parametre!$E$173+Parametre!$F$173+Parametre!$G$173+Parametre!$H$173)*Parametre!P165</f>
        <v>2308.4537003964028</v>
      </c>
      <c r="P25" s="235">
        <f>'04A Prevádzkové príjmy NOV200'!Q78/Parametre!$C$152/Vstupy!$F$53*(Parametre!$C$173+Parametre!$D$173+Parametre!$E$173+Parametre!$F$173+Parametre!$G$173+Parametre!$H$173)*Parametre!Q165</f>
        <v>2246.1743983384281</v>
      </c>
      <c r="Q25" s="235">
        <f>'04A Prevádzkové príjmy NOV200'!R78/Parametre!$C$152/Vstupy!$F$53*(Parametre!$C$173+Parametre!$D$173+Parametre!$E$173+Parametre!$F$173+Parametre!$G$173+Parametre!$H$173)*Parametre!R165</f>
        <v>2182.1085300582736</v>
      </c>
      <c r="R25" s="235">
        <f>'04A Prevádzkové príjmy NOV200'!S78/Parametre!$C$152/Vstupy!$F$53*(Parametre!$C$173+Parametre!$D$173+Parametre!$E$173+Parametre!$F$173+Parametre!$G$173+Parametre!$H$173)*Parametre!S165</f>
        <v>2116.8499631317727</v>
      </c>
      <c r="S25" s="235">
        <f>'04A Prevádzkové príjmy NOV200'!T78/Parametre!$C$152/Vstupy!$F$53*(Parametre!$C$173+Parametre!$D$173+Parametre!$E$173+Parametre!$F$173+Parametre!$G$173+Parametre!$H$173)*Parametre!T165</f>
        <v>2025.3981605961069</v>
      </c>
      <c r="T25" s="235">
        <f>'04A Prevádzkové príjmy NOV200'!U78/Parametre!$C$152/Vstupy!$F$53*(Parametre!$C$173+Parametre!$D$173+Parametre!$E$173+Parametre!$F$173+Parametre!$G$173+Parametre!$H$173)*Parametre!U165</f>
        <v>1934.6156823381302</v>
      </c>
      <c r="U25" s="235">
        <f>'04A Prevádzkové príjmy NOV200'!V78/Parametre!$C$152/Vstupy!$F$53*(Parametre!$C$173+Parametre!$D$173+Parametre!$E$173+Parametre!$F$173+Parametre!$G$173+Parametre!$H$173)*Parametre!V165</f>
        <v>1843.87687190208</v>
      </c>
      <c r="V25" s="235">
        <f>'04A Prevádzkové príjmy NOV200'!W78/Parametre!$C$152/Vstupy!$F$53*(Parametre!$C$173+Parametre!$D$173+Parametre!$E$173+Parametre!$F$173+Parametre!$G$173+Parametre!$H$173)*Parametre!W165</f>
        <v>1753.8040160225103</v>
      </c>
      <c r="W25" s="235">
        <f>'04A Prevádzkové príjmy NOV200'!X78/Parametre!$C$152/Vstupy!$F$53*(Parametre!$C$173+Parametre!$D$173+Parametre!$E$173+Parametre!$F$173+Parametre!$G$173+Parametre!$H$173)*Parametre!X165</f>
        <v>1663.7739597570599</v>
      </c>
      <c r="X25" s="235">
        <f>'04A Prevádzkové príjmy NOV200'!Y78/Parametre!$C$152/Vstupy!$F$53*(Parametre!$C$173+Parametre!$D$173+Parametre!$E$173+Parametre!$F$173+Parametre!$G$173+Parametre!$H$173)*Parametre!Y165</f>
        <v>1574.4065045699156</v>
      </c>
      <c r="Y25" s="235">
        <f>'04A Prevádzkové príjmy NOV200'!Z78/Parametre!$C$152/Vstupy!$F$53*(Parametre!$C$173+Parametre!$D$173+Parametre!$E$173+Parametre!$F$173+Parametre!$G$173+Parametre!$H$173)*Parametre!Z165</f>
        <v>1485.0809870305106</v>
      </c>
      <c r="Z25" s="235">
        <f>'04A Prevádzkové príjmy NOV200'!AA78/Parametre!$C$152/Vstupy!$F$53*(Parametre!$C$173+Parametre!$D$173+Parametre!$E$173+Parametre!$F$173+Parametre!$G$173+Parametre!$H$173)*Parametre!AA165</f>
        <v>1396.4147332582606</v>
      </c>
      <c r="AA25" s="235">
        <f>'04A Prevádzkové príjmy NOV200'!AB78/Parametre!$C$152/Vstupy!$F$53*(Parametre!$C$173+Parametre!$D$173+Parametre!$E$173+Parametre!$F$173+Parametre!$G$173+Parametre!$H$173)*Parametre!AB165</f>
        <v>1307.7895613727826</v>
      </c>
      <c r="AB25" s="235">
        <f>'04A Prevádzkové príjmy NOV200'!AC78/Parametre!$C$152/Vstupy!$F$53*(Parametre!$C$173+Parametre!$D$173+Parametre!$E$173+Parametre!$F$173+Parametre!$G$173+Parametre!$H$173)*Parametre!AC165</f>
        <v>1219.8203320346734</v>
      </c>
      <c r="AC25" s="235">
        <f>'04A Prevádzkové príjmy NOV200'!AD78/Parametre!$C$152/Vstupy!$F$53*(Parametre!$C$173+Parametre!$D$173+Parametre!$E$173+Parametre!$F$173+Parametre!$G$173+Parametre!$H$173)*Parametre!AD165</f>
        <v>1132.1977484556712</v>
      </c>
      <c r="AD25" s="235">
        <f>'04A Prevádzkové príjmy NOV200'!AE78/Parametre!$C$152/Vstupy!$F$53*(Parametre!$C$173+Parametre!$D$173+Parametre!$E$173+Parametre!$F$173+Parametre!$G$173+Parametre!$H$173)*Parametre!AE165</f>
        <v>1044.6149752928616</v>
      </c>
      <c r="AE25" s="235">
        <f>'04A Prevádzkové príjmy NOV200'!AF78/Parametre!$C$152/Vstupy!$F$53*(Parametre!$C$173+Parametre!$D$173+Parametre!$E$173+Parametre!$F$173+Parametre!$G$173+Parametre!$H$173)*Parametre!AF165</f>
        <v>957.68319346723115</v>
      </c>
      <c r="AF25" s="235">
        <f>'04A Prevádzkové príjmy NOV200'!AG78/Parametre!$C$152/Vstupy!$F$53*(Parametre!$C$173+Parametre!$D$173+Parametre!$E$173+Parametre!$F$173+Parametre!$G$173+Parametre!$H$173)*Parametre!AG165</f>
        <v>870.79038165155146</v>
      </c>
      <c r="AG25" s="235">
        <f>'04A Prevádzkové príjmy NOV200'!AH78/Parametre!$C$152/Vstupy!$F$53*(Parametre!$C$173+Parametre!$D$173+Parametre!$E$173+Parametre!$F$173+Parametre!$G$173+Parametre!$H$173)*Parametre!AH165</f>
        <v>784.54527985049594</v>
      </c>
      <c r="AH25" s="235">
        <f>'04A Prevádzkové príjmy NOV200'!AI78/Parametre!$C$152/Vstupy!$F$53*(Parametre!$C$173+Parametre!$D$173+Parametre!$E$173+Parametre!$F$173+Parametre!$G$173+Parametre!$H$173)*Parametre!AI165</f>
        <v>698.33831373398311</v>
      </c>
      <c r="AI25" s="235">
        <f>'04A Prevádzkové príjmy NOV200'!AJ78/Parametre!$C$152/Vstupy!$F$53*(Parametre!$C$173+Parametre!$D$173+Parametre!$E$173+Parametre!$F$173+Parametre!$G$173+Parametre!$H$173)*Parametre!AJ165</f>
        <v>612.77579213883007</v>
      </c>
      <c r="AJ25" s="235">
        <f>'04A Prevádzkové príjmy NOV200'!AK78/Parametre!$C$152/Vstupy!$F$53*(Parametre!$C$173+Parametre!$D$173+Parametre!$E$173+Parametre!$F$173+Parametre!$G$173+Parametre!$H$173)*Parametre!AK165</f>
        <v>527.25057794846521</v>
      </c>
      <c r="AK25" s="235">
        <f>'04A Prevádzkové príjmy NOV200'!AL78/Parametre!$C$152/Vstupy!$F$53*(Parametre!$C$173+Parametre!$D$173+Parametre!$E$173+Parametre!$F$173+Parametre!$G$173+Parametre!$H$173)*Parametre!AL165</f>
        <v>442.36655854137433</v>
      </c>
      <c r="AL25" s="235">
        <f>'04A Prevádzkové príjmy NOV200'!AM78/Parametre!$C$152/Vstupy!$F$53*(Parametre!$C$173+Parametre!$D$173+Parametre!$E$173+Parametre!$F$173+Parametre!$G$173+Parametre!$H$173)*Parametre!AM165</f>
        <v>357.51902426997827</v>
      </c>
      <c r="AM25" s="235">
        <f>'04A Prevádzkové príjmy NOV200'!AN78/Parametre!$C$152/Vstupy!$F$53*(Parametre!$C$173+Parametre!$D$173+Parametre!$E$173+Parametre!$F$173+Parametre!$G$173+Parametre!$H$173)*Parametre!AN165</f>
        <v>273.30945072517579</v>
      </c>
      <c r="AN25" s="235">
        <f>'04A Prevádzkové príjmy NOV200'!AO78/Parametre!$C$152/Vstupy!$F$53*(Parametre!$C$173+Parametre!$D$173+Parametre!$E$173+Parametre!$F$173+Parametre!$G$173+Parametre!$H$173)*Parametre!AO165</f>
        <v>189.1355460228252</v>
      </c>
      <c r="AO25" s="235">
        <f>'04A Prevádzkové príjmy NOV200'!AP78/Parametre!$C$152/Vstupy!$F$53*(Parametre!$C$173+Parametre!$D$173+Parametre!$E$173+Parametre!$F$173+Parametre!$G$173+Parametre!$H$173)*Parametre!AP165</f>
        <v>105.59638359835995</v>
      </c>
      <c r="AP25" s="235">
        <f>'04A Prevádzkové príjmy NOV200'!AQ78/Parametre!$C$152/Vstupy!$F$53*(Parametre!$C$173+Parametre!$D$173+Parametre!$E$173+Parametre!$F$173+Parametre!$G$173+Parametre!$H$173)*Parametre!AQ165</f>
        <v>22.092079664323062</v>
      </c>
      <c r="AQ25" s="235">
        <f>'04A Prevádzkové príjmy NOV200'!AR78/Parametre!$C$152/Vstupy!$F$53*(Parametre!$C$173+Parametre!$D$173+Parametre!$E$173+Parametre!$F$173+Parametre!$G$173+Parametre!$H$173)*Parametre!AR165</f>
        <v>0</v>
      </c>
    </row>
    <row r="27" spans="2:43" x14ac:dyDescent="0.2">
      <c r="B27" s="305"/>
      <c r="C27" s="305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</row>
    <row r="28" spans="2:43" x14ac:dyDescent="0.2">
      <c r="B28" s="358" t="s">
        <v>609</v>
      </c>
      <c r="C28" s="359"/>
      <c r="D28" s="256" t="s">
        <v>10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</row>
    <row r="29" spans="2:43" x14ac:dyDescent="0.2">
      <c r="B29" s="360"/>
      <c r="C29" s="361"/>
      <c r="D29" s="256">
        <v>1</v>
      </c>
      <c r="E29" s="256">
        <v>2</v>
      </c>
      <c r="F29" s="256">
        <v>3</v>
      </c>
      <c r="G29" s="256">
        <v>4</v>
      </c>
      <c r="H29" s="256">
        <v>5</v>
      </c>
      <c r="I29" s="256">
        <v>6</v>
      </c>
      <c r="J29" s="256">
        <v>7</v>
      </c>
      <c r="K29" s="256">
        <v>8</v>
      </c>
      <c r="L29" s="256">
        <v>9</v>
      </c>
      <c r="M29" s="256">
        <v>10</v>
      </c>
      <c r="N29" s="256">
        <v>11</v>
      </c>
      <c r="O29" s="256">
        <v>12</v>
      </c>
      <c r="P29" s="256">
        <v>13</v>
      </c>
      <c r="Q29" s="256">
        <v>14</v>
      </c>
      <c r="R29" s="256">
        <v>15</v>
      </c>
      <c r="S29" s="256">
        <v>16</v>
      </c>
      <c r="T29" s="256">
        <v>17</v>
      </c>
      <c r="U29" s="256">
        <v>18</v>
      </c>
      <c r="V29" s="256">
        <v>19</v>
      </c>
      <c r="W29" s="256">
        <v>20</v>
      </c>
      <c r="X29" s="256">
        <v>21</v>
      </c>
      <c r="Y29" s="256">
        <v>22</v>
      </c>
      <c r="Z29" s="256">
        <v>23</v>
      </c>
      <c r="AA29" s="256">
        <v>24</v>
      </c>
      <c r="AB29" s="256">
        <v>25</v>
      </c>
      <c r="AC29" s="256">
        <v>26</v>
      </c>
      <c r="AD29" s="256">
        <v>27</v>
      </c>
      <c r="AE29" s="256">
        <v>28</v>
      </c>
      <c r="AF29" s="256">
        <v>29</v>
      </c>
      <c r="AG29" s="256">
        <v>30</v>
      </c>
      <c r="AH29" s="256">
        <v>31</v>
      </c>
      <c r="AI29" s="256">
        <v>32</v>
      </c>
      <c r="AJ29" s="256">
        <v>33</v>
      </c>
      <c r="AK29" s="256">
        <v>34</v>
      </c>
      <c r="AL29" s="256">
        <v>35</v>
      </c>
      <c r="AM29" s="256">
        <v>36</v>
      </c>
      <c r="AN29" s="256">
        <v>37</v>
      </c>
      <c r="AO29" s="256">
        <v>38</v>
      </c>
      <c r="AP29" s="256">
        <v>39</v>
      </c>
      <c r="AQ29" s="256">
        <v>40</v>
      </c>
    </row>
    <row r="30" spans="2:43" x14ac:dyDescent="0.2">
      <c r="B30" s="259" t="s">
        <v>33</v>
      </c>
      <c r="C30" s="259" t="s">
        <v>9</v>
      </c>
      <c r="D30" s="304">
        <v>2026</v>
      </c>
      <c r="E30" s="304">
        <f>$D$6+D29</f>
        <v>2027</v>
      </c>
      <c r="F30" s="304">
        <f t="shared" ref="F30:AN30" si="16">$D$6+E29</f>
        <v>2028</v>
      </c>
      <c r="G30" s="304">
        <f t="shared" si="16"/>
        <v>2029</v>
      </c>
      <c r="H30" s="304">
        <f t="shared" si="16"/>
        <v>2030</v>
      </c>
      <c r="I30" s="304">
        <f t="shared" si="16"/>
        <v>2031</v>
      </c>
      <c r="J30" s="304">
        <f t="shared" si="16"/>
        <v>2032</v>
      </c>
      <c r="K30" s="304">
        <f t="shared" si="16"/>
        <v>2033</v>
      </c>
      <c r="L30" s="304">
        <f t="shared" si="16"/>
        <v>2034</v>
      </c>
      <c r="M30" s="304">
        <f t="shared" si="16"/>
        <v>2035</v>
      </c>
      <c r="N30" s="304">
        <f t="shared" si="16"/>
        <v>2036</v>
      </c>
      <c r="O30" s="304">
        <f t="shared" si="16"/>
        <v>2037</v>
      </c>
      <c r="P30" s="304">
        <f t="shared" si="16"/>
        <v>2038</v>
      </c>
      <c r="Q30" s="304">
        <f t="shared" si="16"/>
        <v>2039</v>
      </c>
      <c r="R30" s="304">
        <f t="shared" si="16"/>
        <v>2040</v>
      </c>
      <c r="S30" s="304">
        <f t="shared" si="16"/>
        <v>2041</v>
      </c>
      <c r="T30" s="304">
        <f t="shared" si="16"/>
        <v>2042</v>
      </c>
      <c r="U30" s="304">
        <f t="shared" si="16"/>
        <v>2043</v>
      </c>
      <c r="V30" s="304">
        <f t="shared" si="16"/>
        <v>2044</v>
      </c>
      <c r="W30" s="304">
        <f t="shared" si="16"/>
        <v>2045</v>
      </c>
      <c r="X30" s="304">
        <f t="shared" si="16"/>
        <v>2046</v>
      </c>
      <c r="Y30" s="304">
        <f t="shared" si="16"/>
        <v>2047</v>
      </c>
      <c r="Z30" s="304">
        <f t="shared" si="16"/>
        <v>2048</v>
      </c>
      <c r="AA30" s="304">
        <f t="shared" si="16"/>
        <v>2049</v>
      </c>
      <c r="AB30" s="304">
        <f t="shared" si="16"/>
        <v>2050</v>
      </c>
      <c r="AC30" s="304">
        <f t="shared" si="16"/>
        <v>2051</v>
      </c>
      <c r="AD30" s="304">
        <f t="shared" si="16"/>
        <v>2052</v>
      </c>
      <c r="AE30" s="304">
        <f t="shared" si="16"/>
        <v>2053</v>
      </c>
      <c r="AF30" s="304">
        <f t="shared" si="16"/>
        <v>2054</v>
      </c>
      <c r="AG30" s="304">
        <f t="shared" si="16"/>
        <v>2055</v>
      </c>
      <c r="AH30" s="304">
        <f t="shared" si="16"/>
        <v>2056</v>
      </c>
      <c r="AI30" s="304">
        <f t="shared" si="16"/>
        <v>2057</v>
      </c>
      <c r="AJ30" s="304">
        <f t="shared" si="16"/>
        <v>2058</v>
      </c>
      <c r="AK30" s="304">
        <f t="shared" si="16"/>
        <v>2059</v>
      </c>
      <c r="AL30" s="304">
        <f t="shared" si="16"/>
        <v>2060</v>
      </c>
      <c r="AM30" s="304">
        <f t="shared" si="16"/>
        <v>2061</v>
      </c>
      <c r="AN30" s="304">
        <f t="shared" si="16"/>
        <v>2062</v>
      </c>
      <c r="AO30" s="304">
        <f t="shared" ref="AO30" si="17">$D$6+AN29</f>
        <v>2063</v>
      </c>
      <c r="AP30" s="304">
        <f t="shared" ref="AP30" si="18">$D$6+AO29</f>
        <v>2064</v>
      </c>
      <c r="AQ30" s="304">
        <f t="shared" ref="AQ30" si="19">$D$6+AP29</f>
        <v>2065</v>
      </c>
    </row>
    <row r="31" spans="2:43" x14ac:dyDescent="0.2">
      <c r="B31" s="362" t="s">
        <v>685</v>
      </c>
      <c r="C31" s="363">
        <f>SUM(D31:AQ31)</f>
        <v>38540.897383618852</v>
      </c>
      <c r="D31" s="235">
        <f>'04A Prevádzkové príjmy NOV200'!E78/Parametre!$C$152/Vstupy!$F$53*(Parametre!$C$174+Parametre!$D$174+Parametre!$E$174+Parametre!$F$174+Parametre!$G$174+Parametre!$H$174)*Parametre!E166</f>
        <v>0</v>
      </c>
      <c r="E31" s="235">
        <f>'04A Prevádzkové príjmy NOV200'!F78/Parametre!$C$152/Vstupy!$F$53*(Parametre!$C$174+Parametre!$D$174+Parametre!$E$174+Parametre!$F$174+Parametre!$G$174+Parametre!$H$174)*Parametre!F166</f>
        <v>0</v>
      </c>
      <c r="F31" s="235">
        <f>'04A Prevádzkové príjmy NOV200'!G78/Parametre!$C$152/Vstupy!$F$53*(Parametre!$C$174+Parametre!$D$174+Parametre!$E$174+Parametre!$F$174+Parametre!$G$174+Parametre!$H$174)*Parametre!G166</f>
        <v>0</v>
      </c>
      <c r="G31" s="235">
        <f>'04A Prevádzkové príjmy NOV200'!H78/Parametre!$C$152/Vstupy!$F$53*(Parametre!$C$174+Parametre!$D$174+Parametre!$E$174+Parametre!$F$174+Parametre!$G$174+Parametre!$H$174)*Parametre!H166</f>
        <v>890.93167769399645</v>
      </c>
      <c r="H31" s="235">
        <f>'04A Prevádzkové príjmy NOV200'!I78/Parametre!$C$152/Vstupy!$F$53*(Parametre!$C$174+Parametre!$D$174+Parametre!$E$174+Parametre!$F$174+Parametre!$G$174+Parametre!$H$174)*Parametre!I166</f>
        <v>1682.2474632882322</v>
      </c>
      <c r="I31" s="235">
        <f>'04A Prevádzkové príjmy NOV200'!J78/Parametre!$C$152/Vstupy!$F$53*(Parametre!$C$174+Parametre!$D$174+Parametre!$E$174+Parametre!$F$174+Parametre!$G$174+Parametre!$H$174)*Parametre!J166</f>
        <v>1966.8378016828253</v>
      </c>
      <c r="J31" s="235">
        <f>'04A Prevádzkové príjmy NOV200'!K78/Parametre!$C$152/Vstupy!$F$53*(Parametre!$C$174+Parametre!$D$174+Parametre!$E$174+Parametre!$F$174+Parametre!$G$174+Parametre!$H$174)*Parametre!K166</f>
        <v>1944.6168102581603</v>
      </c>
      <c r="K31" s="235">
        <f>'04A Prevádzkové príjmy NOV200'!L78/Parametre!$C$152/Vstupy!$F$53*(Parametre!$C$174+Parametre!$D$174+Parametre!$E$174+Parametre!$F$174+Parametre!$G$174+Parametre!$H$174)*Parametre!L166</f>
        <v>1912.1590266785463</v>
      </c>
      <c r="L31" s="235">
        <f>'04A Prevádzkové príjmy NOV200'!M78/Parametre!$C$152/Vstupy!$F$53*(Parametre!$C$174+Parametre!$D$174+Parametre!$E$174+Parametre!$F$174+Parametre!$G$174+Parametre!$H$174)*Parametre!M166</f>
        <v>1872.029421010307</v>
      </c>
      <c r="M31" s="235">
        <f>'04A Prevádzkové príjmy NOV200'!N78/Parametre!$C$152/Vstupy!$F$53*(Parametre!$C$174+Parametre!$D$174+Parametre!$E$174+Parametre!$F$174+Parametre!$G$174+Parametre!$H$174)*Parametre!N166</f>
        <v>1813.1086220786376</v>
      </c>
      <c r="N31" s="235">
        <f>'04A Prevádzkové príjmy NOV200'!O78/Parametre!$C$152/Vstupy!$F$53*(Parametre!$C$174+Parametre!$D$174+Parametre!$E$174+Parametre!$F$174+Parametre!$G$174+Parametre!$H$174)*Parametre!O166</f>
        <v>1768.7753354273705</v>
      </c>
      <c r="O31" s="235">
        <f>'04A Prevádzkové príjmy NOV200'!P78/Parametre!$C$152/Vstupy!$F$53*(Parametre!$C$174+Parametre!$D$174+Parametre!$E$174+Parametre!$F$174+Parametre!$G$174+Parametre!$H$174)*Parametre!P166</f>
        <v>1723.1471332722335</v>
      </c>
      <c r="P31" s="235">
        <f>'04A Prevádzkové príjmy NOV200'!Q78/Parametre!$C$152/Vstupy!$F$53*(Parametre!$C$174+Parametre!$D$174+Parametre!$E$174+Parametre!$F$174+Parametre!$G$174+Parametre!$H$174)*Parametre!Q166</f>
        <v>1676.6586978381742</v>
      </c>
      <c r="Q31" s="235">
        <f>'04A Prevádzkové príjmy NOV200'!R78/Parametre!$C$152/Vstupy!$F$53*(Parametre!$C$174+Parametre!$D$174+Parametre!$E$174+Parametre!$F$174+Parametre!$G$174+Parametre!$H$174)*Parametre!R166</f>
        <v>1628.8366786014062</v>
      </c>
      <c r="R31" s="235">
        <f>'04A Prevádzkové príjmy NOV200'!S78/Parametre!$C$152/Vstupy!$F$53*(Parametre!$C$174+Parametre!$D$174+Parametre!$E$174+Parametre!$F$174+Parametre!$G$174+Parametre!$H$174)*Parametre!S166</f>
        <v>1580.1243684946255</v>
      </c>
      <c r="S31" s="235">
        <f>'04A Prevádzkové príjmy NOV200'!T78/Parametre!$C$152/Vstupy!$F$53*(Parametre!$C$174+Parametre!$D$174+Parametre!$E$174+Parametre!$F$174+Parametre!$G$174+Parametre!$H$174)*Parametre!T166</f>
        <v>1511.8600964648897</v>
      </c>
      <c r="T31" s="235">
        <f>'04A Prevádzkové príjmy NOV200'!U78/Parametre!$C$152/Vstupy!$F$53*(Parametre!$C$174+Parametre!$D$174+Parametre!$E$174+Parametre!$F$174+Parametre!$G$174+Parametre!$H$174)*Parametre!U166</f>
        <v>1444.0954420840287</v>
      </c>
      <c r="U31" s="235">
        <f>'04A Prevádzkové príjmy NOV200'!V78/Parametre!$C$152/Vstupy!$F$53*(Parametre!$C$174+Parametre!$D$174+Parametre!$E$174+Parametre!$F$174+Parametre!$G$174+Parametre!$H$174)*Parametre!V166</f>
        <v>1376.3633835841927</v>
      </c>
      <c r="V31" s="235">
        <f>'04A Prevádzkové príjmy NOV200'!W78/Parametre!$C$152/Vstupy!$F$53*(Parametre!$C$174+Parametre!$D$174+Parametre!$E$174+Parametre!$F$174+Parametre!$G$174+Parametre!$H$174)*Parametre!W166</f>
        <v>1309.1284274021082</v>
      </c>
      <c r="W31" s="235">
        <f>'04A Prevádzkové príjmy NOV200'!X78/Parametre!$C$152/Vstupy!$F$53*(Parametre!$C$174+Parametre!$D$174+Parametre!$E$174+Parametre!$F$174+Parametre!$G$174+Parametre!$H$174)*Parametre!X166</f>
        <v>1241.925419026627</v>
      </c>
      <c r="X31" s="235">
        <f>'04A Prevádzkové príjmy NOV200'!Y78/Parametre!$C$152/Vstupy!$F$53*(Parametre!$C$174+Parametre!$D$174+Parametre!$E$174+Parametre!$F$174+Parametre!$G$174+Parametre!$H$174)*Parametre!Y166</f>
        <v>1175.2170097623998</v>
      </c>
      <c r="Y31" s="235">
        <f>'04A Prevádzkové príjmy NOV200'!Z78/Parametre!$C$152/Vstupy!$F$53*(Parametre!$C$174+Parametre!$D$174+Parametre!$E$174+Parametre!$F$174+Parametre!$G$174+Parametre!$H$174)*Parametre!Z166</f>
        <v>1108.539904889275</v>
      </c>
      <c r="Z31" s="235">
        <f>'04A Prevádzkové príjmy NOV200'!AA78/Parametre!$C$152/Vstupy!$F$53*(Parametre!$C$174+Parametre!$D$174+Parametre!$E$174+Parametre!$F$174+Parametre!$G$174+Parametre!$H$174)*Parametre!AA166</f>
        <v>1042.3549079887935</v>
      </c>
      <c r="AA31" s="235">
        <f>'04A Prevádzkové príjmy NOV200'!AB78/Parametre!$C$152/Vstupy!$F$53*(Parametre!$C$174+Parametre!$D$174+Parametre!$E$174+Parametre!$F$174+Parametre!$G$174+Parametre!$H$174)*Parametre!AB166</f>
        <v>976.20057669594735</v>
      </c>
      <c r="AB31" s="235">
        <f>'04A Prevádzkové príjmy NOV200'!AC78/Parametre!$C$152/Vstupy!$F$53*(Parametre!$C$174+Parametre!$D$174+Parametre!$E$174+Parametre!$F$174+Parametre!$G$174+Parametre!$H$174)*Parametre!AC166</f>
        <v>910.53587424854675</v>
      </c>
      <c r="AC31" s="235">
        <f>'04A Prevádzkové príjmy NOV200'!AD78/Parametre!$C$152/Vstupy!$F$53*(Parametre!$C$174+Parametre!$D$174+Parametre!$E$174+Parametre!$F$174+Parametre!$G$174+Parametre!$H$174)*Parametre!AD166</f>
        <v>845.12992580862931</v>
      </c>
      <c r="AD31" s="235">
        <f>'04A Prevádzkové príjmy NOV200'!AE78/Parametre!$C$152/Vstupy!$F$53*(Parametre!$C$174+Parametre!$D$174+Parametre!$E$174+Parametre!$F$174+Parametre!$G$174+Parametre!$H$174)*Parametre!AE166</f>
        <v>779.75369388610363</v>
      </c>
      <c r="AE31" s="235">
        <f>'04A Prevádzkové príjmy NOV200'!AF78/Parametre!$C$152/Vstupy!$F$53*(Parametre!$C$174+Parametre!$D$174+Parametre!$E$174+Parametre!$F$174+Parametre!$G$174+Parametre!$H$174)*Parametre!AF166</f>
        <v>714.86339497416975</v>
      </c>
      <c r="AF31" s="235">
        <f>'04A Prevádzkové príjmy NOV200'!AG78/Parametre!$C$152/Vstupy!$F$53*(Parametre!$C$174+Parametre!$D$174+Parametre!$E$174+Parametre!$F$174+Parametre!$G$174+Parametre!$H$174)*Parametre!AG166</f>
        <v>650.00218525770845</v>
      </c>
      <c r="AG31" s="235">
        <f>'04A Prevádzkové príjmy NOV200'!AH78/Parametre!$C$152/Vstupy!$F$53*(Parametre!$C$174+Parametre!$D$174+Parametre!$E$174+Parametre!$F$174+Parametre!$G$174+Parametre!$H$174)*Parametre!AH166</f>
        <v>585.62445920596178</v>
      </c>
      <c r="AH31" s="235">
        <f>'04A Prevádzkové príjmy NOV200'!AI78/Parametre!$C$152/Vstupy!$F$53*(Parametre!$C$174+Parametre!$D$174+Parametre!$E$174+Parametre!$F$174+Parametre!$G$174+Parametre!$H$174)*Parametre!AI166</f>
        <v>521.27519956681124</v>
      </c>
      <c r="AI31" s="235">
        <f>'04A Prevádzkové príjmy NOV200'!AJ78/Parametre!$C$152/Vstupy!$F$53*(Parametre!$C$174+Parametre!$D$174+Parametre!$E$174+Parametre!$F$174+Parametre!$G$174+Parametre!$H$174)*Parametre!AJ166</f>
        <v>457.40698606228477</v>
      </c>
      <c r="AJ31" s="235">
        <f>'04A Prevádzkové príjmy NOV200'!AK78/Parametre!$C$152/Vstupy!$F$53*(Parametre!$C$174+Parametre!$D$174+Parametre!$E$174+Parametre!$F$174+Parametre!$G$174+Parametre!$H$174)*Parametre!AK166</f>
        <v>393.56662070026152</v>
      </c>
      <c r="AK31" s="235">
        <f>'04A Prevádzkové príjmy NOV200'!AL78/Parametre!$C$152/Vstupy!$F$53*(Parametre!$C$174+Parametre!$D$174+Parametre!$E$174+Parametre!$F$174+Parametre!$G$174+Parametre!$H$174)*Parametre!AL166</f>
        <v>330.20487570323758</v>
      </c>
      <c r="AL31" s="235">
        <f>'04A Prevádzkové príjmy NOV200'!AM78/Parametre!$C$152/Vstupy!$F$53*(Parametre!$C$174+Parametre!$D$174+Parametre!$E$174+Parametre!$F$174+Parametre!$G$174+Parametre!$H$174)*Parametre!AM166</f>
        <v>266.87036506528636</v>
      </c>
      <c r="AM31" s="235">
        <f>'04A Prevádzkové príjmy NOV200'!AN78/Parametre!$C$152/Vstupy!$F$53*(Parametre!$C$174+Parametre!$D$174+Parametre!$E$174+Parametre!$F$174+Parametre!$G$174+Parametre!$H$174)*Parametre!AN166</f>
        <v>204.01206072810751</v>
      </c>
      <c r="AN31" s="235">
        <f>'04A Prevádzkové príjmy NOV200'!AO78/Parametre!$C$152/Vstupy!$F$53*(Parametre!$C$174+Parametre!$D$174+Parametre!$E$174+Parametre!$F$174+Parametre!$G$174+Parametre!$H$174)*Parametre!AO166</f>
        <v>141.18038142724959</v>
      </c>
      <c r="AO31" s="235">
        <f>'04A Prevádzkové príjmy NOV200'!AP78/Parametre!$C$152/Vstupy!$F$53*(Parametre!$C$174+Parametre!$D$174+Parametre!$E$174+Parametre!$F$174+Parametre!$G$174+Parametre!$H$174)*Parametre!AP166</f>
        <v>78.822506013520467</v>
      </c>
      <c r="AP31" s="235">
        <f>'04A Prevádzkové príjmy NOV200'!AQ78/Parametre!$C$152/Vstupy!$F$53*(Parametre!$C$174+Parametre!$D$174+Parametre!$E$174+Parametre!$F$174+Parametre!$G$174+Parametre!$H$174)*Parametre!AQ166</f>
        <v>16.490650748188344</v>
      </c>
      <c r="AQ31" s="235">
        <f>'04A Prevádzkové príjmy NOV200'!AR78/Parametre!$C$152/Vstupy!$F$53*(Parametre!$C$174+Parametre!$D$174+Parametre!$E$174+Parametre!$F$174+Parametre!$G$174+Parametre!$H$174)*Parametre!AR166</f>
        <v>0</v>
      </c>
    </row>
    <row r="32" spans="2:43" x14ac:dyDescent="0.2">
      <c r="B32" s="305"/>
      <c r="C32" s="305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</row>
    <row r="33" spans="2:43" x14ac:dyDescent="0.2">
      <c r="B33" s="305"/>
      <c r="C33" s="306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</row>
    <row r="34" spans="2:43" x14ac:dyDescent="0.2">
      <c r="B34" s="358" t="s">
        <v>610</v>
      </c>
      <c r="C34" s="359"/>
      <c r="D34" s="256" t="s">
        <v>10</v>
      </c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</row>
    <row r="35" spans="2:43" x14ac:dyDescent="0.2">
      <c r="B35" s="360"/>
      <c r="C35" s="361"/>
      <c r="D35" s="256">
        <v>1</v>
      </c>
      <c r="E35" s="256">
        <v>2</v>
      </c>
      <c r="F35" s="256">
        <v>3</v>
      </c>
      <c r="G35" s="256">
        <v>4</v>
      </c>
      <c r="H35" s="256">
        <v>5</v>
      </c>
      <c r="I35" s="256">
        <v>6</v>
      </c>
      <c r="J35" s="256">
        <v>7</v>
      </c>
      <c r="K35" s="256">
        <v>8</v>
      </c>
      <c r="L35" s="256">
        <v>9</v>
      </c>
      <c r="M35" s="256">
        <v>10</v>
      </c>
      <c r="N35" s="256">
        <v>11</v>
      </c>
      <c r="O35" s="256">
        <v>12</v>
      </c>
      <c r="P35" s="256">
        <v>13</v>
      </c>
      <c r="Q35" s="256">
        <v>14</v>
      </c>
      <c r="R35" s="256">
        <v>15</v>
      </c>
      <c r="S35" s="256">
        <v>16</v>
      </c>
      <c r="T35" s="256">
        <v>17</v>
      </c>
      <c r="U35" s="256">
        <v>18</v>
      </c>
      <c r="V35" s="256">
        <v>19</v>
      </c>
      <c r="W35" s="256">
        <v>20</v>
      </c>
      <c r="X35" s="256">
        <v>21</v>
      </c>
      <c r="Y35" s="256">
        <v>22</v>
      </c>
      <c r="Z35" s="256">
        <v>23</v>
      </c>
      <c r="AA35" s="256">
        <v>24</v>
      </c>
      <c r="AB35" s="256">
        <v>25</v>
      </c>
      <c r="AC35" s="256">
        <v>26</v>
      </c>
      <c r="AD35" s="256">
        <v>27</v>
      </c>
      <c r="AE35" s="256">
        <v>28</v>
      </c>
      <c r="AF35" s="256">
        <v>29</v>
      </c>
      <c r="AG35" s="256">
        <v>30</v>
      </c>
      <c r="AH35" s="256">
        <v>31</v>
      </c>
      <c r="AI35" s="256">
        <v>32</v>
      </c>
      <c r="AJ35" s="256">
        <v>33</v>
      </c>
      <c r="AK35" s="256">
        <v>34</v>
      </c>
      <c r="AL35" s="256">
        <v>35</v>
      </c>
      <c r="AM35" s="256">
        <v>36</v>
      </c>
      <c r="AN35" s="256">
        <v>37</v>
      </c>
      <c r="AO35" s="256">
        <v>38</v>
      </c>
      <c r="AP35" s="256">
        <v>39</v>
      </c>
      <c r="AQ35" s="256">
        <v>40</v>
      </c>
    </row>
    <row r="36" spans="2:43" x14ac:dyDescent="0.2">
      <c r="B36" s="259" t="s">
        <v>33</v>
      </c>
      <c r="C36" s="259" t="s">
        <v>9</v>
      </c>
      <c r="D36" s="304">
        <v>2026</v>
      </c>
      <c r="E36" s="304">
        <f>$D$6+D35</f>
        <v>2027</v>
      </c>
      <c r="F36" s="304">
        <f t="shared" ref="F36:AN36" si="20">$D$6+E35</f>
        <v>2028</v>
      </c>
      <c r="G36" s="304">
        <f t="shared" si="20"/>
        <v>2029</v>
      </c>
      <c r="H36" s="304">
        <f t="shared" si="20"/>
        <v>2030</v>
      </c>
      <c r="I36" s="304">
        <f t="shared" si="20"/>
        <v>2031</v>
      </c>
      <c r="J36" s="304">
        <f t="shared" si="20"/>
        <v>2032</v>
      </c>
      <c r="K36" s="304">
        <f t="shared" si="20"/>
        <v>2033</v>
      </c>
      <c r="L36" s="304">
        <f t="shared" si="20"/>
        <v>2034</v>
      </c>
      <c r="M36" s="304">
        <f t="shared" si="20"/>
        <v>2035</v>
      </c>
      <c r="N36" s="304">
        <f t="shared" si="20"/>
        <v>2036</v>
      </c>
      <c r="O36" s="304">
        <f t="shared" si="20"/>
        <v>2037</v>
      </c>
      <c r="P36" s="304">
        <f t="shared" si="20"/>
        <v>2038</v>
      </c>
      <c r="Q36" s="304">
        <f t="shared" si="20"/>
        <v>2039</v>
      </c>
      <c r="R36" s="304">
        <f t="shared" si="20"/>
        <v>2040</v>
      </c>
      <c r="S36" s="304">
        <f t="shared" si="20"/>
        <v>2041</v>
      </c>
      <c r="T36" s="304">
        <f t="shared" si="20"/>
        <v>2042</v>
      </c>
      <c r="U36" s="304">
        <f t="shared" si="20"/>
        <v>2043</v>
      </c>
      <c r="V36" s="304">
        <f t="shared" si="20"/>
        <v>2044</v>
      </c>
      <c r="W36" s="304">
        <f t="shared" si="20"/>
        <v>2045</v>
      </c>
      <c r="X36" s="304">
        <f t="shared" si="20"/>
        <v>2046</v>
      </c>
      <c r="Y36" s="304">
        <f t="shared" si="20"/>
        <v>2047</v>
      </c>
      <c r="Z36" s="304">
        <f t="shared" si="20"/>
        <v>2048</v>
      </c>
      <c r="AA36" s="304">
        <f t="shared" si="20"/>
        <v>2049</v>
      </c>
      <c r="AB36" s="304">
        <f t="shared" si="20"/>
        <v>2050</v>
      </c>
      <c r="AC36" s="304">
        <f t="shared" si="20"/>
        <v>2051</v>
      </c>
      <c r="AD36" s="304">
        <f t="shared" si="20"/>
        <v>2052</v>
      </c>
      <c r="AE36" s="304">
        <f t="shared" si="20"/>
        <v>2053</v>
      </c>
      <c r="AF36" s="304">
        <f t="shared" si="20"/>
        <v>2054</v>
      </c>
      <c r="AG36" s="304">
        <f t="shared" si="20"/>
        <v>2055</v>
      </c>
      <c r="AH36" s="304">
        <f t="shared" si="20"/>
        <v>2056</v>
      </c>
      <c r="AI36" s="304">
        <f t="shared" si="20"/>
        <v>2057</v>
      </c>
      <c r="AJ36" s="304">
        <f t="shared" si="20"/>
        <v>2058</v>
      </c>
      <c r="AK36" s="304">
        <f t="shared" si="20"/>
        <v>2059</v>
      </c>
      <c r="AL36" s="304">
        <f t="shared" si="20"/>
        <v>2060</v>
      </c>
      <c r="AM36" s="304">
        <f t="shared" si="20"/>
        <v>2061</v>
      </c>
      <c r="AN36" s="304">
        <f t="shared" si="20"/>
        <v>2062</v>
      </c>
      <c r="AO36" s="304">
        <f t="shared" ref="AO36" si="21">$D$6+AN35</f>
        <v>2063</v>
      </c>
      <c r="AP36" s="304">
        <f t="shared" ref="AP36" si="22">$D$6+AO35</f>
        <v>2064</v>
      </c>
      <c r="AQ36" s="304">
        <f t="shared" ref="AQ36" si="23">$D$6+AP35</f>
        <v>2065</v>
      </c>
    </row>
    <row r="37" spans="2:43" x14ac:dyDescent="0.2">
      <c r="B37" s="362" t="s">
        <v>685</v>
      </c>
      <c r="C37" s="363">
        <f>SUM(D37:AQ37)</f>
        <v>207973.45725620887</v>
      </c>
      <c r="D37" s="235">
        <f>'04A Prevádzkové príjmy NOV200'!E78/Parametre!$C$152/Vstupy!$F$53*(Parametre!$C$175+Parametre!$D$175+Parametre!$E$175+Parametre!$F$175+Parametre!$G$175+Parametre!$H$175)*Parametre!E167</f>
        <v>0</v>
      </c>
      <c r="E37" s="235">
        <f>'04A Prevádzkové príjmy NOV200'!F78/Parametre!$C$152/Vstupy!$F$53*(Parametre!$C$175+Parametre!$D$175+Parametre!$E$175+Parametre!$F$175+Parametre!$G$175+Parametre!$H$175)*Parametre!F167</f>
        <v>0</v>
      </c>
      <c r="F37" s="235">
        <f>'04A Prevádzkové príjmy NOV200'!G78/Parametre!$C$152/Vstupy!$F$53*(Parametre!$C$175+Parametre!$D$175+Parametre!$E$175+Parametre!$F$175+Parametre!$G$175+Parametre!$H$175)*Parametre!G167</f>
        <v>0</v>
      </c>
      <c r="G37" s="235">
        <f>'04A Prevádzkové príjmy NOV200'!H78/Parametre!$C$152/Vstupy!$F$53*(Parametre!$C$175+Parametre!$D$175+Parametre!$E$175+Parametre!$F$175+Parametre!$G$175+Parametre!$H$175)*Parametre!H167</f>
        <v>249.19073543716436</v>
      </c>
      <c r="H37" s="235">
        <f>'04A Prevádzkové príjmy NOV200'!I78/Parametre!$C$152/Vstupy!$F$53*(Parametre!$C$175+Parametre!$D$175+Parametre!$E$175+Parametre!$F$175+Parametre!$G$175+Parametre!$H$175)*Parametre!I167</f>
        <v>558.78907029264087</v>
      </c>
      <c r="I37" s="235">
        <f>'04A Prevádzkové príjmy NOV200'!J78/Parametre!$C$152/Vstupy!$F$53*(Parametre!$C$175+Parametre!$D$175+Parametre!$E$175+Parametre!$F$175+Parametre!$G$175+Parametre!$H$175)*Parametre!J167</f>
        <v>817.19740958634168</v>
      </c>
      <c r="J37" s="235">
        <f>'04A Prevádzkové príjmy NOV200'!K78/Parametre!$C$152/Vstupy!$F$53*(Parametre!$C$175+Parametre!$D$175+Parametre!$E$175+Parametre!$F$175+Parametre!$G$175+Parametre!$H$175)*Parametre!K167</f>
        <v>1025.5214592251396</v>
      </c>
      <c r="K37" s="235">
        <f>'04A Prevádzkové príjmy NOV200'!L78/Parametre!$C$152/Vstupy!$F$53*(Parametre!$C$175+Parametre!$D$175+Parametre!$E$175+Parametre!$F$175+Parametre!$G$175+Parametre!$H$175)*Parametre!L167</f>
        <v>1283.7795393793017</v>
      </c>
      <c r="L37" s="235">
        <f>'04A Prevádzkové príjmy NOV200'!M78/Parametre!$C$152/Vstupy!$F$53*(Parametre!$C$175+Parametre!$D$175+Parametre!$E$175+Parametre!$F$175+Parametre!$G$175+Parametre!$H$175)*Parametre!M167</f>
        <v>1579.7261521870255</v>
      </c>
      <c r="M37" s="235">
        <f>'04A Prevádzkové príjmy NOV200'!N78/Parametre!$C$152/Vstupy!$F$53*(Parametre!$C$175+Parametre!$D$175+Parametre!$E$175+Parametre!$F$175+Parametre!$G$175+Parametre!$H$175)*Parametre!N167</f>
        <v>1966.5012094346812</v>
      </c>
      <c r="N37" s="235">
        <f>'04A Prevádzkové príjmy NOV200'!O78/Parametre!$C$152/Vstupy!$F$53*(Parametre!$C$175+Parametre!$D$175+Parametre!$E$175+Parametre!$F$175+Parametre!$G$175+Parametre!$H$175)*Parametre!O167</f>
        <v>2284.6279564398765</v>
      </c>
      <c r="O37" s="235">
        <f>'04A Prevádzkové príjmy NOV200'!P78/Parametre!$C$152/Vstupy!$F$53*(Parametre!$C$175+Parametre!$D$175+Parametre!$E$175+Parametre!$F$175+Parametre!$G$175+Parametre!$H$175)*Parametre!P167</f>
        <v>2610.0049276608506</v>
      </c>
      <c r="P37" s="235">
        <f>'04A Prevádzkové príjmy NOV200'!Q78/Parametre!$C$152/Vstupy!$F$53*(Parametre!$C$175+Parametre!$D$175+Parametre!$E$175+Parametre!$F$175+Parametre!$G$175+Parametre!$H$175)*Parametre!Q167</f>
        <v>2940.5657927200168</v>
      </c>
      <c r="Q37" s="235">
        <f>'04A Prevádzkové príjmy NOV200'!R78/Parametre!$C$152/Vstupy!$F$53*(Parametre!$C$175+Parametre!$D$175+Parametre!$E$175+Parametre!$F$175+Parametre!$G$175+Parametre!$H$175)*Parametre!R167</f>
        <v>3278.5830092060896</v>
      </c>
      <c r="R37" s="235">
        <f>'04A Prevádzkové príjmy NOV200'!S78/Parametre!$C$152/Vstupy!$F$53*(Parametre!$C$175+Parametre!$D$175+Parametre!$E$175+Parametre!$F$175+Parametre!$G$175+Parametre!$H$175)*Parametre!S167</f>
        <v>3621.9493174779359</v>
      </c>
      <c r="S37" s="235">
        <f>'04A Prevádzkové príjmy NOV200'!T78/Parametre!$C$152/Vstupy!$F$53*(Parametre!$C$175+Parametre!$D$175+Parametre!$E$175+Parametre!$F$175+Parametre!$G$175+Parametre!$H$175)*Parametre!T167</f>
        <v>3925.7796976391533</v>
      </c>
      <c r="T37" s="235">
        <f>'04A Prevádzkové príjmy NOV200'!U78/Parametre!$C$152/Vstupy!$F$53*(Parametre!$C$175+Parametre!$D$175+Parametre!$E$175+Parametre!$F$175+Parametre!$G$175+Parametre!$H$175)*Parametre!U167</f>
        <v>4227.2675368328537</v>
      </c>
      <c r="U37" s="235">
        <f>'04A Prevádzkové príjmy NOV200'!V78/Parametre!$C$152/Vstupy!$F$53*(Parametre!$C$175+Parametre!$D$175+Parametre!$E$175+Parametre!$F$175+Parametre!$G$175+Parametre!$H$175)*Parametre!V167</f>
        <v>4528.6442277372917</v>
      </c>
      <c r="V37" s="235">
        <f>'04A Prevádzkové príjmy NOV200'!W78/Parametre!$C$152/Vstupy!$F$53*(Parametre!$C$175+Parametre!$D$175+Parametre!$E$175+Parametre!$F$175+Parametre!$G$175+Parametre!$H$175)*Parametre!W167</f>
        <v>4827.6902176340345</v>
      </c>
      <c r="W37" s="235">
        <f>'04A Prevádzkové príjmy NOV200'!X78/Parametre!$C$152/Vstupy!$F$53*(Parametre!$C$175+Parametre!$D$175+Parametre!$E$175+Parametre!$F$175+Parametre!$G$175+Parametre!$H$175)*Parametre!X167</f>
        <v>5126.627977597861</v>
      </c>
      <c r="X37" s="235">
        <f>'04A Prevádzkové príjmy NOV200'!Y78/Parametre!$C$152/Vstupy!$F$53*(Parametre!$C$175+Parametre!$D$175+Parametre!$E$175+Parametre!$F$175+Parametre!$G$175+Parametre!$H$175)*Parametre!Y167</f>
        <v>5423.246819294588</v>
      </c>
      <c r="Y37" s="235">
        <f>'04A Prevádzkové príjmy NOV200'!Z78/Parametre!$C$152/Vstupy!$F$53*(Parametre!$C$175+Parametre!$D$175+Parametre!$E$175+Parametre!$F$175+Parametre!$G$175+Parametre!$H$175)*Parametre!Z167</f>
        <v>5719.7603278660581</v>
      </c>
      <c r="Z37" s="235">
        <f>'04A Prevádzkové príjmy NOV200'!AA78/Parametre!$C$152/Vstupy!$F$53*(Parametre!$C$175+Parametre!$D$175+Parametre!$E$175+Parametre!$F$175+Parametre!$G$175+Parametre!$H$175)*Parametre!AA167</f>
        <v>6013.9666439600323</v>
      </c>
      <c r="AA37" s="235">
        <f>'04A Prevádzkové príjmy NOV200'!AB78/Parametre!$C$152/Vstupy!$F$53*(Parametre!$C$175+Parametre!$D$175+Parametre!$E$175+Parametre!$F$175+Parametre!$G$175+Parametre!$H$175)*Parametre!AB167</f>
        <v>6308.0705023133387</v>
      </c>
      <c r="AB37" s="235">
        <f>'04A Prevádzkové príjmy NOV200'!AC78/Parametre!$C$152/Vstupy!$F$53*(Parametre!$C$175+Parametre!$D$175+Parametre!$E$175+Parametre!$F$175+Parametre!$G$175+Parametre!$H$175)*Parametre!AC167</f>
        <v>6599.8788372947665</v>
      </c>
      <c r="AC37" s="235">
        <f>'04A Prevádzkové príjmy NOV200'!AD78/Parametre!$C$152/Vstupy!$F$53*(Parametre!$C$175+Parametre!$D$175+Parametre!$E$175+Parametre!$F$175+Parametre!$G$175+Parametre!$H$175)*Parametre!AD167</f>
        <v>6890.4947066542572</v>
      </c>
      <c r="AD37" s="235">
        <f>'04A Prevádzkové príjmy NOV200'!AE78/Parametre!$C$152/Vstupy!$F$53*(Parametre!$C$175+Parametre!$D$175+Parametre!$E$175+Parametre!$F$175+Parametre!$G$175+Parametre!$H$175)*Parametre!AE167</f>
        <v>7181.0123892647762</v>
      </c>
      <c r="AE37" s="235">
        <f>'04A Prevádzkové príjmy NOV200'!AF78/Parametre!$C$152/Vstupy!$F$53*(Parametre!$C$175+Parametre!$D$175+Parametre!$E$175+Parametre!$F$175+Parametre!$G$175+Parametre!$H$175)*Parametre!AF167</f>
        <v>7469.2519442746998</v>
      </c>
      <c r="AF37" s="235">
        <f>'04A Prevádzkové príjmy NOV200'!AG78/Parametre!$C$152/Vstupy!$F$53*(Parametre!$C$175+Parametre!$D$175+Parametre!$E$175+Parametre!$F$175+Parametre!$G$175+Parametre!$H$175)*Parametre!AG167</f>
        <v>7757.3961349165684</v>
      </c>
      <c r="AG37" s="235">
        <f>'04A Prevádzkové príjmy NOV200'!AH78/Parametre!$C$152/Vstupy!$F$53*(Parametre!$C$175+Parametre!$D$175+Parametre!$E$175+Parametre!$F$175+Parametre!$G$175+Parametre!$H$175)*Parametre!AH167</f>
        <v>8043.2737265223541</v>
      </c>
      <c r="AH37" s="235">
        <f>'04A Prevádzkové príjmy NOV200'!AI78/Parametre!$C$152/Vstupy!$F$53*(Parametre!$C$175+Parametre!$D$175+Parametre!$E$175+Parametre!$F$175+Parametre!$G$175+Parametre!$H$175)*Parametre!AI167</f>
        <v>8329.0587551523859</v>
      </c>
      <c r="AI37" s="235">
        <f>'04A Prevádzkové príjmy NOV200'!AJ78/Parametre!$C$152/Vstupy!$F$53*(Parametre!$C$175+Parametre!$D$175+Parametre!$E$175+Parametre!$F$175+Parametre!$G$175+Parametre!$H$175)*Parametre!AJ167</f>
        <v>8612.5886575517306</v>
      </c>
      <c r="AJ37" s="235">
        <f>'04A Prevádzkové príjmy NOV200'!AK78/Parametre!$C$152/Vstupy!$F$53*(Parametre!$C$175+Parametre!$D$175+Parametre!$E$175+Parametre!$F$175+Parametre!$G$175+Parametre!$H$175)*Parametre!AK167</f>
        <v>8896.028777501675</v>
      </c>
      <c r="AK37" s="235">
        <f>'04A Prevádzkové príjmy NOV200'!AL78/Parametre!$C$152/Vstupy!$F$53*(Parametre!$C$175+Parametre!$D$175+Parametre!$E$175+Parametre!$F$175+Parametre!$G$175+Parametre!$H$175)*Parametre!AL167</f>
        <v>9177.2251885287642</v>
      </c>
      <c r="AL37" s="235">
        <f>'04A Prevádzkové príjmy NOV200'!AM78/Parametre!$C$152/Vstupy!$F$53*(Parametre!$C$175+Parametre!$D$175+Parametre!$E$175+Parametre!$F$175+Parametre!$G$175+Parametre!$H$175)*Parametre!AM167</f>
        <v>9458.3345768888812</v>
      </c>
      <c r="AM37" s="235">
        <f>'04A Prevádzkové príjmy NOV200'!AN78/Parametre!$C$152/Vstupy!$F$53*(Parametre!$C$175+Parametre!$D$175+Parametre!$E$175+Parametre!$F$175+Parametre!$G$175+Parametre!$H$175)*Parametre!AN167</f>
        <v>9737.2116183967446</v>
      </c>
      <c r="AN37" s="235">
        <f>'04A Prevádzkové príjmy NOV200'!AO78/Parametre!$C$152/Vstupy!$F$53*(Parametre!$C$175+Parametre!$D$175+Parametre!$E$175+Parametre!$F$175+Parametre!$G$175+Parametre!$H$175)*Parametre!AO167</f>
        <v>10016.004376397535</v>
      </c>
      <c r="AO37" s="235">
        <f>'04A Prevádzkové príjmy NOV200'!AP78/Parametre!$C$152/Vstupy!$F$53*(Parametre!$C$175+Parametre!$D$175+Parametre!$E$175+Parametre!$F$175+Parametre!$G$175+Parametre!$H$175)*Parametre!AP167</f>
        <v>10292.576094638574</v>
      </c>
      <c r="AP37" s="235">
        <f>'04A Prevádzkové príjmy NOV200'!AQ78/Parametre!$C$152/Vstupy!$F$53*(Parametre!$C$175+Parametre!$D$175+Parametre!$E$175+Parametre!$F$175+Parametre!$G$175+Parametre!$H$175)*Parametre!AQ167</f>
        <v>10569.066248030656</v>
      </c>
      <c r="AQ37" s="235">
        <f>'04A Prevádzkové príjmy NOV200'!AR78/Parametre!$C$152/Vstupy!$F$53*(Parametre!$C$175+Parametre!$D$175+Parametre!$E$175+Parametre!$F$175+Parametre!$G$175+Parametre!$H$175)*Parametre!AR167</f>
        <v>10626.564694272207</v>
      </c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AC7-6DC5-4DC2-91FF-0A1743E89AE7}">
  <sheetPr>
    <tabColor rgb="FFCCFF99"/>
  </sheetPr>
  <dimension ref="B2:AQ77"/>
  <sheetViews>
    <sheetView zoomScale="90" zoomScaleNormal="90" workbookViewId="0"/>
  </sheetViews>
  <sheetFormatPr defaultColWidth="8.85546875" defaultRowHeight="11.25" x14ac:dyDescent="0.2"/>
  <cols>
    <col min="1" max="1" width="5.140625" style="231" customWidth="1"/>
    <col min="2" max="2" width="34.42578125" style="231" bestFit="1" customWidth="1"/>
    <col min="3" max="3" width="10.140625" style="231" bestFit="1" customWidth="1"/>
    <col min="4" max="6" width="5.5703125" style="231" bestFit="1" customWidth="1"/>
    <col min="7" max="7" width="7.5703125" style="231" bestFit="1" customWidth="1"/>
    <col min="8" max="43" width="9.140625" style="231" bestFit="1" customWidth="1"/>
    <col min="44" max="16384" width="8.85546875" style="231"/>
  </cols>
  <sheetData>
    <row r="2" spans="2:43" x14ac:dyDescent="0.2">
      <c r="B2" s="230"/>
      <c r="C2" s="230"/>
      <c r="D2" s="230" t="s">
        <v>10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</row>
    <row r="3" spans="2:43" x14ac:dyDescent="0.2">
      <c r="B3" s="232" t="s">
        <v>396</v>
      </c>
      <c r="C3" s="232"/>
      <c r="D3" s="237">
        <v>1</v>
      </c>
      <c r="E3" s="237">
        <v>2</v>
      </c>
      <c r="F3" s="237">
        <v>3</v>
      </c>
      <c r="G3" s="237">
        <v>4</v>
      </c>
      <c r="H3" s="237">
        <v>5</v>
      </c>
      <c r="I3" s="237">
        <v>6</v>
      </c>
      <c r="J3" s="237">
        <v>7</v>
      </c>
      <c r="K3" s="237">
        <v>8</v>
      </c>
      <c r="L3" s="237">
        <v>9</v>
      </c>
      <c r="M3" s="237">
        <v>10</v>
      </c>
      <c r="N3" s="237">
        <v>11</v>
      </c>
      <c r="O3" s="237">
        <v>12</v>
      </c>
      <c r="P3" s="237">
        <v>13</v>
      </c>
      <c r="Q3" s="237">
        <v>14</v>
      </c>
      <c r="R3" s="237">
        <v>15</v>
      </c>
      <c r="S3" s="237">
        <v>16</v>
      </c>
      <c r="T3" s="237">
        <v>17</v>
      </c>
      <c r="U3" s="237">
        <v>18</v>
      </c>
      <c r="V3" s="237">
        <v>19</v>
      </c>
      <c r="W3" s="237">
        <v>20</v>
      </c>
      <c r="X3" s="237">
        <v>21</v>
      </c>
      <c r="Y3" s="237">
        <v>22</v>
      </c>
      <c r="Z3" s="237">
        <v>23</v>
      </c>
      <c r="AA3" s="237">
        <v>24</v>
      </c>
      <c r="AB3" s="237">
        <v>25</v>
      </c>
      <c r="AC3" s="237">
        <v>26</v>
      </c>
      <c r="AD3" s="237">
        <v>27</v>
      </c>
      <c r="AE3" s="237">
        <v>28</v>
      </c>
      <c r="AF3" s="237">
        <v>29</v>
      </c>
      <c r="AG3" s="237">
        <v>30</v>
      </c>
      <c r="AH3" s="237">
        <v>31</v>
      </c>
      <c r="AI3" s="237">
        <v>32</v>
      </c>
      <c r="AJ3" s="237">
        <v>33</v>
      </c>
      <c r="AK3" s="237">
        <v>34</v>
      </c>
      <c r="AL3" s="237">
        <v>35</v>
      </c>
      <c r="AM3" s="237">
        <v>36</v>
      </c>
      <c r="AN3" s="237">
        <v>37</v>
      </c>
      <c r="AO3" s="237">
        <v>38</v>
      </c>
      <c r="AP3" s="237">
        <v>39</v>
      </c>
      <c r="AQ3" s="237">
        <v>40</v>
      </c>
    </row>
    <row r="4" spans="2:43" x14ac:dyDescent="0.2">
      <c r="B4" s="233" t="s">
        <v>33</v>
      </c>
      <c r="C4" s="234" t="s">
        <v>9</v>
      </c>
      <c r="D4" s="238">
        <v>2026</v>
      </c>
      <c r="E4" s="238">
        <f>$D$4+D3</f>
        <v>2027</v>
      </c>
      <c r="F4" s="238">
        <f>$D$4+E3</f>
        <v>2028</v>
      </c>
      <c r="G4" s="238">
        <f t="shared" ref="G4:AN4" si="0">$D$4+F3</f>
        <v>2029</v>
      </c>
      <c r="H4" s="238">
        <f t="shared" si="0"/>
        <v>2030</v>
      </c>
      <c r="I4" s="238">
        <f t="shared" si="0"/>
        <v>2031</v>
      </c>
      <c r="J4" s="238">
        <f t="shared" si="0"/>
        <v>2032</v>
      </c>
      <c r="K4" s="238">
        <f t="shared" si="0"/>
        <v>2033</v>
      </c>
      <c r="L4" s="238">
        <f t="shared" si="0"/>
        <v>2034</v>
      </c>
      <c r="M4" s="238">
        <f t="shared" si="0"/>
        <v>2035</v>
      </c>
      <c r="N4" s="238">
        <f t="shared" si="0"/>
        <v>2036</v>
      </c>
      <c r="O4" s="238">
        <f t="shared" si="0"/>
        <v>2037</v>
      </c>
      <c r="P4" s="238">
        <f t="shared" si="0"/>
        <v>2038</v>
      </c>
      <c r="Q4" s="238">
        <f t="shared" si="0"/>
        <v>2039</v>
      </c>
      <c r="R4" s="238">
        <f t="shared" si="0"/>
        <v>2040</v>
      </c>
      <c r="S4" s="238">
        <f t="shared" si="0"/>
        <v>2041</v>
      </c>
      <c r="T4" s="238">
        <f t="shared" si="0"/>
        <v>2042</v>
      </c>
      <c r="U4" s="238">
        <f t="shared" si="0"/>
        <v>2043</v>
      </c>
      <c r="V4" s="238">
        <f t="shared" si="0"/>
        <v>2044</v>
      </c>
      <c r="W4" s="238">
        <f t="shared" si="0"/>
        <v>2045</v>
      </c>
      <c r="X4" s="238">
        <f t="shared" si="0"/>
        <v>2046</v>
      </c>
      <c r="Y4" s="238">
        <f t="shared" si="0"/>
        <v>2047</v>
      </c>
      <c r="Z4" s="238">
        <f t="shared" si="0"/>
        <v>2048</v>
      </c>
      <c r="AA4" s="238">
        <f t="shared" si="0"/>
        <v>2049</v>
      </c>
      <c r="AB4" s="238">
        <f t="shared" si="0"/>
        <v>2050</v>
      </c>
      <c r="AC4" s="238">
        <f t="shared" si="0"/>
        <v>2051</v>
      </c>
      <c r="AD4" s="238">
        <f t="shared" si="0"/>
        <v>2052</v>
      </c>
      <c r="AE4" s="238">
        <f t="shared" si="0"/>
        <v>2053</v>
      </c>
      <c r="AF4" s="238">
        <f t="shared" si="0"/>
        <v>2054</v>
      </c>
      <c r="AG4" s="238">
        <f t="shared" si="0"/>
        <v>2055</v>
      </c>
      <c r="AH4" s="238">
        <f t="shared" si="0"/>
        <v>2056</v>
      </c>
      <c r="AI4" s="238">
        <f t="shared" si="0"/>
        <v>2057</v>
      </c>
      <c r="AJ4" s="238">
        <f t="shared" si="0"/>
        <v>2058</v>
      </c>
      <c r="AK4" s="238">
        <f t="shared" si="0"/>
        <v>2059</v>
      </c>
      <c r="AL4" s="238">
        <f t="shared" si="0"/>
        <v>2060</v>
      </c>
      <c r="AM4" s="238">
        <f t="shared" si="0"/>
        <v>2061</v>
      </c>
      <c r="AN4" s="238">
        <f t="shared" si="0"/>
        <v>2062</v>
      </c>
      <c r="AO4" s="238">
        <f t="shared" ref="AO4" si="1">$D$4+AN3</f>
        <v>2063</v>
      </c>
      <c r="AP4" s="238">
        <f t="shared" ref="AP4" si="2">$D$4+AO3</f>
        <v>2064</v>
      </c>
      <c r="AQ4" s="238">
        <f t="shared" ref="AQ4" si="3">$D$4+AP3</f>
        <v>2065</v>
      </c>
    </row>
    <row r="5" spans="2:43" x14ac:dyDescent="0.2">
      <c r="B5" s="230" t="s">
        <v>390</v>
      </c>
      <c r="C5" s="235">
        <f>SUM(D5:AQ5)</f>
        <v>156678.25518232645</v>
      </c>
      <c r="D5" s="236">
        <f>'09_A Ostat. nákl. (cesty)NOV200'!D7</f>
        <v>0</v>
      </c>
      <c r="E5" s="236">
        <f>'09_A Ostat. nákl. (cesty)NOV200'!E7</f>
        <v>0</v>
      </c>
      <c r="F5" s="236">
        <f>'09_A Ostat. nákl. (cesty)NOV200'!F7</f>
        <v>0</v>
      </c>
      <c r="G5" s="236">
        <f>'09_A Ostat. nákl. (cesty)NOV200'!G7</f>
        <v>3621.8570459931311</v>
      </c>
      <c r="H5" s="236">
        <f>'09_A Ostat. nákl. (cesty)NOV200'!H7</f>
        <v>6838.7509172249211</v>
      </c>
      <c r="I5" s="236">
        <f>'09_A Ostat. nákl. (cesty)NOV200'!I7</f>
        <v>7995.6808459080175</v>
      </c>
      <c r="J5" s="236">
        <f>'09_A Ostat. nákl. (cesty)NOV200'!J7</f>
        <v>7905.3470342641358</v>
      </c>
      <c r="K5" s="236">
        <f>'09_A Ostat. nákl. (cesty)NOV200'!K7</f>
        <v>7773.3981372853923</v>
      </c>
      <c r="L5" s="236">
        <f>'09_A Ostat. nákl. (cesty)NOV200'!L7</f>
        <v>7610.2613910214895</v>
      </c>
      <c r="M5" s="236">
        <f>'09_A Ostat. nákl. (cesty)NOV200'!M7</f>
        <v>7370.7338087061298</v>
      </c>
      <c r="N5" s="236">
        <f>'09_A Ostat. nákl. (cesty)NOV200'!N7</f>
        <v>7190.5080622768101</v>
      </c>
      <c r="O5" s="236">
        <f>'09_A Ostat. nákl. (cesty)NOV200'!O7</f>
        <v>7005.0181648928474</v>
      </c>
      <c r="P5" s="236">
        <f>'09_A Ostat. nákl. (cesty)NOV200'!P7</f>
        <v>6816.0312070266164</v>
      </c>
      <c r="Q5" s="236">
        <f>'09_A Ostat. nákl. (cesty)NOV200'!Q7</f>
        <v>6621.6229020322162</v>
      </c>
      <c r="R5" s="236">
        <f>'09_A Ostat. nákl. (cesty)NOV200'!R7</f>
        <v>6423.5953450331235</v>
      </c>
      <c r="S5" s="236">
        <f>'09_A Ostat. nákl. (cesty)NOV200'!S7</f>
        <v>6146.0842397142151</v>
      </c>
      <c r="T5" s="236">
        <f>'09_A Ostat. nákl. (cesty)NOV200'!T7</f>
        <v>5870.6042033843032</v>
      </c>
      <c r="U5" s="236">
        <f>'09_A Ostat. nákl. (cesty)NOV200'!U7</f>
        <v>5595.2566773515518</v>
      </c>
      <c r="V5" s="236">
        <f>'09_A Ostat. nákl. (cesty)NOV200'!V7</f>
        <v>5321.9299948662965</v>
      </c>
      <c r="W5" s="236">
        <f>'09_A Ostat. nákl. (cesty)NOV200'!W7</f>
        <v>5048.7331880958127</v>
      </c>
      <c r="X5" s="236">
        <f>'09_A Ostat. nákl. (cesty)NOV200'!X7</f>
        <v>4777.5470487209159</v>
      </c>
      <c r="Y5" s="236">
        <f>'09_A Ostat. nákl. (cesty)NOV200'!Y7</f>
        <v>4506.4881694180576</v>
      </c>
      <c r="Z5" s="236">
        <f>'09_A Ostat. nákl. (cesty)NOV200'!Z7</f>
        <v>4237.4298304178192</v>
      </c>
      <c r="AA5" s="236">
        <f>'09_A Ostat. nákl. (cesty)NOV200'!AA7</f>
        <v>3968.4961546772488</v>
      </c>
      <c r="AB5" s="236">
        <f>'09_A Ostat. nákl. (cesty)NOV200'!AB7</f>
        <v>3701.5529409756864</v>
      </c>
      <c r="AC5" s="236">
        <f>'09_A Ostat. nákl. (cesty)NOV200'!AC7</f>
        <v>3435.6616261443123</v>
      </c>
      <c r="AD5" s="236">
        <f>'09_A Ostat. nákl. (cesty)NOV200'!AD7</f>
        <v>3169.8911162866443</v>
      </c>
      <c r="AE5" s="236">
        <f>'09_A Ostat. nákl. (cesty)NOV200'!AE7</f>
        <v>2906.0960439876094</v>
      </c>
      <c r="AF5" s="236">
        <f>'09_A Ostat. nákl. (cesty)NOV200'!AF7</f>
        <v>2642.4192264439312</v>
      </c>
      <c r="AG5" s="236">
        <f>'09_A Ostat. nákl. (cesty)NOV200'!AG7</f>
        <v>2380.7078892636869</v>
      </c>
      <c r="AH5" s="236">
        <f>'09_A Ostat. nákl. (cesty)NOV200'!AH7</f>
        <v>2119.1122750727773</v>
      </c>
      <c r="AI5" s="236">
        <f>'09_A Ostat. nákl. (cesty)NOV200'!AI7</f>
        <v>1859.4722320841904</v>
      </c>
      <c r="AJ5" s="236">
        <f>'09_A Ostat. nákl. (cesty)NOV200'!AJ7</f>
        <v>1599.9453986644953</v>
      </c>
      <c r="AK5" s="236">
        <f>'09_A Ostat. nákl. (cesty)NOV200'!AK7</f>
        <v>1342.3642750952056</v>
      </c>
      <c r="AL5" s="236">
        <f>'09_A Ostat. nákl. (cesty)NOV200'!AL7</f>
        <v>1084.8938659137541</v>
      </c>
      <c r="AM5" s="236">
        <f>'09_A Ostat. nákl. (cesty)NOV200'!AM7</f>
        <v>829.35935281612217</v>
      </c>
      <c r="AN5" s="236">
        <f>'09_A Ostat. nákl. (cesty)NOV200'!AN7</f>
        <v>573.9330770590326</v>
      </c>
      <c r="AO5" s="236">
        <f>'09_A Ostat. nákl. (cesty)NOV200'!AO7</f>
        <v>320.43293098167146</v>
      </c>
      <c r="AP5" s="236">
        <f>'09_A Ostat. nákl. (cesty)NOV200'!AP7</f>
        <v>67.038563226227438</v>
      </c>
      <c r="AQ5" s="236">
        <f>'09_A Ostat. nákl. (cesty)NOV200'!AQ7</f>
        <v>0</v>
      </c>
    </row>
    <row r="6" spans="2:43" x14ac:dyDescent="0.2">
      <c r="B6" s="230" t="s">
        <v>391</v>
      </c>
      <c r="C6" s="235">
        <f t="shared" ref="C6:C8" si="4">SUM(D6:AQ6)</f>
        <v>128191.29969463067</v>
      </c>
      <c r="D6" s="236">
        <f>'09_A Ostat. nákl. (cesty)NOV200'!D13</f>
        <v>0</v>
      </c>
      <c r="E6" s="236">
        <f>'09_A Ostat. nákl. (cesty)NOV200'!E13</f>
        <v>0</v>
      </c>
      <c r="F6" s="236">
        <f>'09_A Ostat. nákl. (cesty)NOV200'!F13</f>
        <v>0</v>
      </c>
      <c r="G6" s="236">
        <f>'09_A Ostat. nákl. (cesty)NOV200'!G13</f>
        <v>2963.3375830852888</v>
      </c>
      <c r="H6" s="236">
        <f>'09_A Ostat. nákl. (cesty)NOV200'!H13</f>
        <v>5595.341659547661</v>
      </c>
      <c r="I6" s="236">
        <f>'09_A Ostat. nákl. (cesty)NOV200'!I13</f>
        <v>6541.9206921065588</v>
      </c>
      <c r="J6" s="236">
        <f>'09_A Ostat. nákl. (cesty)NOV200'!J13</f>
        <v>6468.0112098524742</v>
      </c>
      <c r="K6" s="236">
        <f>'09_A Ostat. nákl. (cesty)NOV200'!K13</f>
        <v>6360.0530214153205</v>
      </c>
      <c r="L6" s="236">
        <f>'09_A Ostat. nákl. (cesty)NOV200'!L13</f>
        <v>6226.5775017448541</v>
      </c>
      <c r="M6" s="236">
        <f>'09_A Ostat. nákl. (cesty)NOV200'!M13</f>
        <v>6030.6003889413787</v>
      </c>
      <c r="N6" s="236">
        <f>'09_A Ostat. nákl. (cesty)NOV200'!N13</f>
        <v>5883.1429600446618</v>
      </c>
      <c r="O6" s="236">
        <f>'09_A Ostat. nákl. (cesty)NOV200'!O13</f>
        <v>5731.3784985486936</v>
      </c>
      <c r="P6" s="236">
        <f>'09_A Ostat. nákl. (cesty)NOV200'!P13</f>
        <v>5576.7528057490499</v>
      </c>
      <c r="Q6" s="236">
        <f>'09_A Ostat. nákl. (cesty)NOV200'!Q13</f>
        <v>5417.6914652990854</v>
      </c>
      <c r="R6" s="236">
        <f>'09_A Ostat. nákl. (cesty)NOV200'!R13</f>
        <v>5255.668918663464</v>
      </c>
      <c r="S6" s="236">
        <f>'09_A Ostat. nákl. (cesty)NOV200'!S13</f>
        <v>5028.6143779479935</v>
      </c>
      <c r="T6" s="236">
        <f>'09_A Ostat. nákl. (cesty)NOV200'!T13</f>
        <v>4803.2216209507933</v>
      </c>
      <c r="U6" s="236">
        <f>'09_A Ostat. nákl. (cesty)NOV200'!U13</f>
        <v>4577.9372814694516</v>
      </c>
      <c r="V6" s="236">
        <f>'09_A Ostat. nákl. (cesty)NOV200'!V13</f>
        <v>4354.306359436061</v>
      </c>
      <c r="W6" s="236">
        <f>'09_A Ostat. nákl. (cesty)NOV200'!W13</f>
        <v>4130.7816993511187</v>
      </c>
      <c r="X6" s="236">
        <f>'09_A Ostat. nákl. (cesty)NOV200'!X13</f>
        <v>3908.902130771658</v>
      </c>
      <c r="Y6" s="236">
        <f>'09_A Ostat. nákl. (cesty)NOV200'!Y13</f>
        <v>3687.1266840693197</v>
      </c>
      <c r="Z6" s="236">
        <f>'09_A Ostat. nákl. (cesty)NOV200'!Z13</f>
        <v>3466.9880430691242</v>
      </c>
      <c r="AA6" s="236">
        <f>'09_A Ostat. nákl. (cesty)NOV200'!AA13</f>
        <v>3246.951399281385</v>
      </c>
      <c r="AB6" s="236">
        <f>'09_A Ostat. nákl. (cesty)NOV200'!AB13</f>
        <v>3028.5433153437434</v>
      </c>
      <c r="AC6" s="236">
        <f>'09_A Ostat. nákl. (cesty)NOV200'!AC13</f>
        <v>2810.9958759362553</v>
      </c>
      <c r="AD6" s="236">
        <f>'09_A Ostat. nákl. (cesty)NOV200'!AD13</f>
        <v>2593.5472769618</v>
      </c>
      <c r="AE6" s="236">
        <f>'09_A Ostat. nákl. (cesty)NOV200'!AE13</f>
        <v>2377.7149450807715</v>
      </c>
      <c r="AF6" s="236">
        <f>'09_A Ostat. nákl. (cesty)NOV200'!AF13</f>
        <v>2161.9793670904892</v>
      </c>
      <c r="AG6" s="236">
        <f>'09_A Ostat. nákl. (cesty)NOV200'!AG13</f>
        <v>1947.8519093975619</v>
      </c>
      <c r="AH6" s="236">
        <f>'09_A Ostat. nákl. (cesty)NOV200'!AH13</f>
        <v>1733.8191341504537</v>
      </c>
      <c r="AI6" s="236">
        <f>'09_A Ostat. nákl. (cesty)NOV200'!AI13</f>
        <v>1521.3863717052466</v>
      </c>
      <c r="AJ6" s="236">
        <f>'09_A Ostat. nákl. (cesty)NOV200'!AJ13</f>
        <v>1309.0462352709505</v>
      </c>
      <c r="AK6" s="236">
        <f>'09_A Ostat. nákl. (cesty)NOV200'!AK13</f>
        <v>1098.2980432597137</v>
      </c>
      <c r="AL6" s="236">
        <f>'09_A Ostat. nákl. (cesty)NOV200'!AL13</f>
        <v>887.64043574761706</v>
      </c>
      <c r="AM6" s="236">
        <f>'09_A Ostat. nákl. (cesty)NOV200'!AM13</f>
        <v>678.56674321319076</v>
      </c>
      <c r="AN6" s="236">
        <f>'09_A Ostat. nákl. (cesty)NOV200'!AN13</f>
        <v>469.58160850284486</v>
      </c>
      <c r="AO6" s="236">
        <f>'09_A Ostat. nákl. (cesty)NOV200'!AO13</f>
        <v>262.17239807591295</v>
      </c>
      <c r="AP6" s="236">
        <f>'09_A Ostat. nákl. (cesty)NOV200'!AP13</f>
        <v>54.849733548731535</v>
      </c>
      <c r="AQ6" s="236">
        <f>'09_A Ostat. nákl. (cesty)NOV200'!AQ13</f>
        <v>0</v>
      </c>
    </row>
    <row r="7" spans="2:43" x14ac:dyDescent="0.2">
      <c r="B7" s="230" t="s">
        <v>392</v>
      </c>
      <c r="C7" s="235">
        <f t="shared" si="4"/>
        <v>321718.36344527046</v>
      </c>
      <c r="D7" s="236">
        <f>'09_A Ostat. nákl. (cesty)NOV200'!D19</f>
        <v>0</v>
      </c>
      <c r="E7" s="236">
        <f>'09_A Ostat. nákl. (cesty)NOV200'!E19</f>
        <v>0</v>
      </c>
      <c r="F7" s="236">
        <f>'09_A Ostat. nákl. (cesty)NOV200'!F19</f>
        <v>0</v>
      </c>
      <c r="G7" s="236">
        <f>'09_A Ostat. nákl. (cesty)NOV200'!G19</f>
        <v>385.47820788402311</v>
      </c>
      <c r="H7" s="236">
        <f>'09_A Ostat. nákl. (cesty)NOV200'!H19</f>
        <v>864.4021577435484</v>
      </c>
      <c r="I7" s="236">
        <f>'09_A Ostat. nákl. (cesty)NOV200'!I19</f>
        <v>1264.1392641751804</v>
      </c>
      <c r="J7" s="236">
        <f>'09_A Ostat. nákl. (cesty)NOV200'!J19</f>
        <v>1586.3999660950378</v>
      </c>
      <c r="K7" s="236">
        <f>'09_A Ostat. nákl. (cesty)NOV200'!K19</f>
        <v>1985.9046336130561</v>
      </c>
      <c r="L7" s="236">
        <f>'09_A Ostat. nákl. (cesty)NOV200'!L19</f>
        <v>2443.710457470559</v>
      </c>
      <c r="M7" s="236">
        <f>'09_A Ostat. nákl. (cesty)NOV200'!M19</f>
        <v>3042.0206460917657</v>
      </c>
      <c r="N7" s="236">
        <f>'09_A Ostat. nákl. (cesty)NOV200'!N19</f>
        <v>3534.1373698551943</v>
      </c>
      <c r="O7" s="236">
        <f>'09_A Ostat. nákl. (cesty)NOV200'!O19</f>
        <v>4037.4696126568929</v>
      </c>
      <c r="P7" s="236">
        <f>'09_A Ostat. nákl. (cesty)NOV200'!P19</f>
        <v>4548.8209260837539</v>
      </c>
      <c r="Q7" s="236">
        <f>'09_A Ostat. nákl. (cesty)NOV200'!Q19</f>
        <v>5071.7066209167106</v>
      </c>
      <c r="R7" s="236">
        <f>'09_A Ostat. nákl. (cesty)NOV200'!R19</f>
        <v>5602.866934433906</v>
      </c>
      <c r="S7" s="236">
        <f>'09_A Ostat. nákl. (cesty)NOV200'!S19</f>
        <v>6072.8683180720245</v>
      </c>
      <c r="T7" s="236">
        <f>'09_A Ostat. nákl. (cesty)NOV200'!T19</f>
        <v>6539.2459775276629</v>
      </c>
      <c r="U7" s="236">
        <f>'09_A Ostat. nákl. (cesty)NOV200'!U19</f>
        <v>7005.4516994380347</v>
      </c>
      <c r="V7" s="236">
        <f>'09_A Ostat. nákl. (cesty)NOV200'!V19</f>
        <v>7468.0520126401607</v>
      </c>
      <c r="W7" s="236">
        <f>'09_A Ostat. nákl. (cesty)NOV200'!W19</f>
        <v>7930.484902761702</v>
      </c>
      <c r="X7" s="236">
        <f>'09_A Ostat. nákl. (cesty)NOV200'!X19</f>
        <v>8389.3306111356433</v>
      </c>
      <c r="Y7" s="236">
        <f>'09_A Ostat. nákl. (cesty)NOV200'!Y19</f>
        <v>8848.0133775595805</v>
      </c>
      <c r="Z7" s="236">
        <f>'09_A Ostat. nákl. (cesty)NOV200'!Z19</f>
        <v>9303.1271010979217</v>
      </c>
      <c r="AA7" s="236">
        <f>'09_A Ostat. nákl. (cesty)NOV200'!AA19</f>
        <v>9758.0823306770599</v>
      </c>
      <c r="AB7" s="236">
        <f>'09_A Ostat. nákl. (cesty)NOV200'!AB19</f>
        <v>10209.486568546992</v>
      </c>
      <c r="AC7" s="236">
        <f>'09_A Ostat. nákl. (cesty)NOV200'!AC19</f>
        <v>10659.046157136121</v>
      </c>
      <c r="AD7" s="236">
        <f>'09_A Ostat. nákl. (cesty)NOV200'!AD19</f>
        <v>11108.453858649811</v>
      </c>
      <c r="AE7" s="236">
        <f>'09_A Ostat. nákl. (cesty)NOV200'!AE19</f>
        <v>11554.337478326077</v>
      </c>
      <c r="AF7" s="236">
        <f>'09_A Ostat. nákl. (cesty)NOV200'!AF19</f>
        <v>12000.07357692525</v>
      </c>
      <c r="AG7" s="236">
        <f>'09_A Ostat. nákl. (cesty)NOV200'!AG19</f>
        <v>12442.3034274575</v>
      </c>
      <c r="AH7" s="236">
        <f>'09_A Ostat. nákl. (cesty)NOV200'!AH19</f>
        <v>12884.390090443281</v>
      </c>
      <c r="AI7" s="236">
        <f>'09_A Ostat. nákl. (cesty)NOV200'!AI19</f>
        <v>13322.98825287774</v>
      </c>
      <c r="AJ7" s="236">
        <f>'09_A Ostat. nákl. (cesty)NOV200'!AJ19</f>
        <v>13761.447529018398</v>
      </c>
      <c r="AK7" s="236">
        <f>'09_A Ostat. nákl. (cesty)NOV200'!AK19</f>
        <v>14196.435966273017</v>
      </c>
      <c r="AL7" s="236">
        <f>'09_A Ostat. nákl. (cesty)NOV200'!AL19</f>
        <v>14631.289786397307</v>
      </c>
      <c r="AM7" s="236">
        <f>'09_A Ostat. nákl. (cesty)NOV200'!AM19</f>
        <v>15062.690343853252</v>
      </c>
      <c r="AN7" s="236">
        <f>'09_A Ostat. nákl. (cesty)NOV200'!AN19</f>
        <v>15493.960521440924</v>
      </c>
      <c r="AO7" s="236">
        <f>'09_A Ostat. nákl. (cesty)NOV200'!AO19</f>
        <v>15921.794927531209</v>
      </c>
      <c r="AP7" s="236">
        <f>'09_A Ostat. nákl. (cesty)NOV200'!AP19</f>
        <v>16349.503159300661</v>
      </c>
      <c r="AQ7" s="236">
        <f>'09_A Ostat. nákl. (cesty)NOV200'!AQ19</f>
        <v>16438.448673163464</v>
      </c>
    </row>
    <row r="8" spans="2:43" x14ac:dyDescent="0.2">
      <c r="B8" s="230" t="s">
        <v>138</v>
      </c>
      <c r="C8" s="235">
        <f t="shared" si="4"/>
        <v>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</row>
    <row r="11" spans="2:43" x14ac:dyDescent="0.2">
      <c r="B11" s="230"/>
      <c r="C11" s="230"/>
      <c r="D11" s="230" t="s">
        <v>10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</row>
    <row r="12" spans="2:43" x14ac:dyDescent="0.2">
      <c r="B12" s="232" t="s">
        <v>397</v>
      </c>
      <c r="C12" s="232"/>
      <c r="D12" s="237">
        <v>1</v>
      </c>
      <c r="E12" s="237">
        <v>2</v>
      </c>
      <c r="F12" s="237">
        <v>3</v>
      </c>
      <c r="G12" s="237">
        <v>4</v>
      </c>
      <c r="H12" s="237">
        <v>5</v>
      </c>
      <c r="I12" s="237">
        <v>6</v>
      </c>
      <c r="J12" s="237">
        <v>7</v>
      </c>
      <c r="K12" s="237">
        <v>8</v>
      </c>
      <c r="L12" s="237">
        <v>9</v>
      </c>
      <c r="M12" s="237">
        <v>10</v>
      </c>
      <c r="N12" s="237">
        <v>11</v>
      </c>
      <c r="O12" s="237">
        <v>12</v>
      </c>
      <c r="P12" s="237">
        <v>13</v>
      </c>
      <c r="Q12" s="237">
        <v>14</v>
      </c>
      <c r="R12" s="237">
        <v>15</v>
      </c>
      <c r="S12" s="237">
        <v>16</v>
      </c>
      <c r="T12" s="237">
        <v>17</v>
      </c>
      <c r="U12" s="237">
        <v>18</v>
      </c>
      <c r="V12" s="237">
        <v>19</v>
      </c>
      <c r="W12" s="237">
        <v>20</v>
      </c>
      <c r="X12" s="237">
        <v>21</v>
      </c>
      <c r="Y12" s="237">
        <v>22</v>
      </c>
      <c r="Z12" s="237">
        <v>23</v>
      </c>
      <c r="AA12" s="237">
        <v>24</v>
      </c>
      <c r="AB12" s="237">
        <v>25</v>
      </c>
      <c r="AC12" s="237">
        <v>26</v>
      </c>
      <c r="AD12" s="237">
        <v>27</v>
      </c>
      <c r="AE12" s="237">
        <v>28</v>
      </c>
      <c r="AF12" s="237">
        <v>29</v>
      </c>
      <c r="AG12" s="237">
        <v>30</v>
      </c>
      <c r="AH12" s="237">
        <v>31</v>
      </c>
      <c r="AI12" s="237">
        <v>32</v>
      </c>
      <c r="AJ12" s="237">
        <v>33</v>
      </c>
      <c r="AK12" s="237">
        <v>34</v>
      </c>
      <c r="AL12" s="237">
        <v>35</v>
      </c>
      <c r="AM12" s="237">
        <v>36</v>
      </c>
      <c r="AN12" s="237">
        <v>37</v>
      </c>
      <c r="AO12" s="237">
        <v>38</v>
      </c>
      <c r="AP12" s="237">
        <v>39</v>
      </c>
      <c r="AQ12" s="237">
        <v>40</v>
      </c>
    </row>
    <row r="13" spans="2:43" x14ac:dyDescent="0.2">
      <c r="B13" s="233" t="s">
        <v>34</v>
      </c>
      <c r="C13" s="234" t="s">
        <v>9</v>
      </c>
      <c r="D13" s="238">
        <f t="shared" ref="D13:AN13" si="5">D4</f>
        <v>2026</v>
      </c>
      <c r="E13" s="238">
        <f t="shared" si="5"/>
        <v>2027</v>
      </c>
      <c r="F13" s="238">
        <f t="shared" si="5"/>
        <v>2028</v>
      </c>
      <c r="G13" s="238">
        <f t="shared" si="5"/>
        <v>2029</v>
      </c>
      <c r="H13" s="238">
        <f t="shared" si="5"/>
        <v>2030</v>
      </c>
      <c r="I13" s="238">
        <f t="shared" si="5"/>
        <v>2031</v>
      </c>
      <c r="J13" s="238">
        <f t="shared" si="5"/>
        <v>2032</v>
      </c>
      <c r="K13" s="238">
        <f t="shared" si="5"/>
        <v>2033</v>
      </c>
      <c r="L13" s="238">
        <f t="shared" si="5"/>
        <v>2034</v>
      </c>
      <c r="M13" s="238">
        <f t="shared" si="5"/>
        <v>2035</v>
      </c>
      <c r="N13" s="238">
        <f t="shared" si="5"/>
        <v>2036</v>
      </c>
      <c r="O13" s="238">
        <f t="shared" si="5"/>
        <v>2037</v>
      </c>
      <c r="P13" s="238">
        <f t="shared" si="5"/>
        <v>2038</v>
      </c>
      <c r="Q13" s="238">
        <f t="shared" si="5"/>
        <v>2039</v>
      </c>
      <c r="R13" s="238">
        <f t="shared" si="5"/>
        <v>2040</v>
      </c>
      <c r="S13" s="238">
        <f t="shared" si="5"/>
        <v>2041</v>
      </c>
      <c r="T13" s="238">
        <f t="shared" si="5"/>
        <v>2042</v>
      </c>
      <c r="U13" s="238">
        <f t="shared" si="5"/>
        <v>2043</v>
      </c>
      <c r="V13" s="238">
        <f t="shared" si="5"/>
        <v>2044</v>
      </c>
      <c r="W13" s="238">
        <f t="shared" si="5"/>
        <v>2045</v>
      </c>
      <c r="X13" s="238">
        <f t="shared" si="5"/>
        <v>2046</v>
      </c>
      <c r="Y13" s="238">
        <f t="shared" si="5"/>
        <v>2047</v>
      </c>
      <c r="Z13" s="238">
        <f t="shared" si="5"/>
        <v>2048</v>
      </c>
      <c r="AA13" s="238">
        <f t="shared" si="5"/>
        <v>2049</v>
      </c>
      <c r="AB13" s="238">
        <f t="shared" si="5"/>
        <v>2050</v>
      </c>
      <c r="AC13" s="238">
        <f t="shared" si="5"/>
        <v>2051</v>
      </c>
      <c r="AD13" s="238">
        <f t="shared" si="5"/>
        <v>2052</v>
      </c>
      <c r="AE13" s="238">
        <f t="shared" si="5"/>
        <v>2053</v>
      </c>
      <c r="AF13" s="238">
        <f t="shared" si="5"/>
        <v>2054</v>
      </c>
      <c r="AG13" s="238">
        <f t="shared" si="5"/>
        <v>2055</v>
      </c>
      <c r="AH13" s="238">
        <f t="shared" si="5"/>
        <v>2056</v>
      </c>
      <c r="AI13" s="238">
        <f t="shared" si="5"/>
        <v>2057</v>
      </c>
      <c r="AJ13" s="238">
        <f t="shared" si="5"/>
        <v>2058</v>
      </c>
      <c r="AK13" s="238">
        <f t="shared" si="5"/>
        <v>2059</v>
      </c>
      <c r="AL13" s="238">
        <f t="shared" si="5"/>
        <v>2060</v>
      </c>
      <c r="AM13" s="238">
        <f t="shared" si="5"/>
        <v>2061</v>
      </c>
      <c r="AN13" s="238">
        <f t="shared" si="5"/>
        <v>2062</v>
      </c>
      <c r="AO13" s="238">
        <f t="shared" ref="AO13:AQ13" si="6">AO4</f>
        <v>2063</v>
      </c>
      <c r="AP13" s="238">
        <f t="shared" si="6"/>
        <v>2064</v>
      </c>
      <c r="AQ13" s="238">
        <f t="shared" si="6"/>
        <v>2065</v>
      </c>
    </row>
    <row r="14" spans="2:43" x14ac:dyDescent="0.2">
      <c r="B14" s="230" t="s">
        <v>390</v>
      </c>
      <c r="C14" s="235">
        <f t="shared" ref="C14:C17" si="7">SUM(D14:AQ14)</f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0</v>
      </c>
      <c r="AO14" s="236">
        <v>0</v>
      </c>
      <c r="AP14" s="236">
        <v>0</v>
      </c>
      <c r="AQ14" s="236">
        <v>0</v>
      </c>
    </row>
    <row r="15" spans="2:43" x14ac:dyDescent="0.2">
      <c r="B15" s="230" t="s">
        <v>391</v>
      </c>
      <c r="C15" s="235">
        <f t="shared" si="7"/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  <c r="AO15" s="236">
        <v>0</v>
      </c>
      <c r="AP15" s="236">
        <v>0</v>
      </c>
      <c r="AQ15" s="236">
        <v>0</v>
      </c>
    </row>
    <row r="16" spans="2:43" x14ac:dyDescent="0.2">
      <c r="B16" s="230" t="s">
        <v>392</v>
      </c>
      <c r="C16" s="235">
        <f t="shared" si="7"/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  <c r="AP16" s="236">
        <v>0</v>
      </c>
      <c r="AQ16" s="236">
        <v>0</v>
      </c>
    </row>
    <row r="17" spans="2:43" x14ac:dyDescent="0.2">
      <c r="B17" s="230" t="s">
        <v>138</v>
      </c>
      <c r="C17" s="235">
        <f t="shared" si="7"/>
        <v>0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20" spans="2:43" x14ac:dyDescent="0.2">
      <c r="B20" s="230"/>
      <c r="C20" s="230"/>
      <c r="D20" s="230" t="s">
        <v>10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</row>
    <row r="21" spans="2:43" x14ac:dyDescent="0.2">
      <c r="B21" s="232" t="s">
        <v>398</v>
      </c>
      <c r="C21" s="232"/>
      <c r="D21" s="230">
        <v>1</v>
      </c>
      <c r="E21" s="230">
        <v>2</v>
      </c>
      <c r="F21" s="230">
        <v>3</v>
      </c>
      <c r="G21" s="230">
        <v>4</v>
      </c>
      <c r="H21" s="230">
        <v>5</v>
      </c>
      <c r="I21" s="230">
        <v>6</v>
      </c>
      <c r="J21" s="230">
        <v>7</v>
      </c>
      <c r="K21" s="230">
        <v>8</v>
      </c>
      <c r="L21" s="230">
        <v>9</v>
      </c>
      <c r="M21" s="230">
        <v>10</v>
      </c>
      <c r="N21" s="230">
        <v>11</v>
      </c>
      <c r="O21" s="230">
        <v>12</v>
      </c>
      <c r="P21" s="230">
        <v>13</v>
      </c>
      <c r="Q21" s="230">
        <v>14</v>
      </c>
      <c r="R21" s="230">
        <v>15</v>
      </c>
      <c r="S21" s="230">
        <v>16</v>
      </c>
      <c r="T21" s="230">
        <v>17</v>
      </c>
      <c r="U21" s="230">
        <v>18</v>
      </c>
      <c r="V21" s="230">
        <v>19</v>
      </c>
      <c r="W21" s="230">
        <v>20</v>
      </c>
      <c r="X21" s="230">
        <v>21</v>
      </c>
      <c r="Y21" s="230">
        <v>22</v>
      </c>
      <c r="Z21" s="230">
        <v>23</v>
      </c>
      <c r="AA21" s="230">
        <v>24</v>
      </c>
      <c r="AB21" s="230">
        <v>25</v>
      </c>
      <c r="AC21" s="230">
        <v>26</v>
      </c>
      <c r="AD21" s="230">
        <v>27</v>
      </c>
      <c r="AE21" s="230">
        <v>28</v>
      </c>
      <c r="AF21" s="230">
        <v>29</v>
      </c>
      <c r="AG21" s="230">
        <v>30</v>
      </c>
      <c r="AH21" s="230">
        <v>31</v>
      </c>
      <c r="AI21" s="230">
        <v>32</v>
      </c>
      <c r="AJ21" s="230">
        <v>33</v>
      </c>
      <c r="AK21" s="230">
        <v>34</v>
      </c>
      <c r="AL21" s="230">
        <v>35</v>
      </c>
      <c r="AM21" s="230">
        <v>36</v>
      </c>
      <c r="AN21" s="230">
        <v>37</v>
      </c>
      <c r="AO21" s="230">
        <v>38</v>
      </c>
      <c r="AP21" s="230">
        <v>39</v>
      </c>
      <c r="AQ21" s="230">
        <v>40</v>
      </c>
    </row>
    <row r="22" spans="2:43" x14ac:dyDescent="0.2">
      <c r="B22" s="233" t="s">
        <v>63</v>
      </c>
      <c r="C22" s="234" t="s">
        <v>9</v>
      </c>
      <c r="D22" s="301">
        <f t="shared" ref="D22:AN22" si="8">D4</f>
        <v>2026</v>
      </c>
      <c r="E22" s="301">
        <f t="shared" si="8"/>
        <v>2027</v>
      </c>
      <c r="F22" s="301">
        <f t="shared" si="8"/>
        <v>2028</v>
      </c>
      <c r="G22" s="301">
        <f t="shared" si="8"/>
        <v>2029</v>
      </c>
      <c r="H22" s="301">
        <f t="shared" si="8"/>
        <v>2030</v>
      </c>
      <c r="I22" s="301">
        <f t="shared" si="8"/>
        <v>2031</v>
      </c>
      <c r="J22" s="301">
        <f t="shared" si="8"/>
        <v>2032</v>
      </c>
      <c r="K22" s="301">
        <f t="shared" si="8"/>
        <v>2033</v>
      </c>
      <c r="L22" s="301">
        <f t="shared" si="8"/>
        <v>2034</v>
      </c>
      <c r="M22" s="301">
        <f t="shared" si="8"/>
        <v>2035</v>
      </c>
      <c r="N22" s="301">
        <f t="shared" si="8"/>
        <v>2036</v>
      </c>
      <c r="O22" s="301">
        <f t="shared" si="8"/>
        <v>2037</v>
      </c>
      <c r="P22" s="301">
        <f t="shared" si="8"/>
        <v>2038</v>
      </c>
      <c r="Q22" s="301">
        <f t="shared" si="8"/>
        <v>2039</v>
      </c>
      <c r="R22" s="301">
        <f t="shared" si="8"/>
        <v>2040</v>
      </c>
      <c r="S22" s="301">
        <f t="shared" si="8"/>
        <v>2041</v>
      </c>
      <c r="T22" s="301">
        <f t="shared" si="8"/>
        <v>2042</v>
      </c>
      <c r="U22" s="301">
        <f t="shared" si="8"/>
        <v>2043</v>
      </c>
      <c r="V22" s="301">
        <f t="shared" si="8"/>
        <v>2044</v>
      </c>
      <c r="W22" s="301">
        <f t="shared" si="8"/>
        <v>2045</v>
      </c>
      <c r="X22" s="301">
        <f t="shared" si="8"/>
        <v>2046</v>
      </c>
      <c r="Y22" s="301">
        <f t="shared" si="8"/>
        <v>2047</v>
      </c>
      <c r="Z22" s="301">
        <f t="shared" si="8"/>
        <v>2048</v>
      </c>
      <c r="AA22" s="301">
        <f t="shared" si="8"/>
        <v>2049</v>
      </c>
      <c r="AB22" s="301">
        <f t="shared" si="8"/>
        <v>2050</v>
      </c>
      <c r="AC22" s="301">
        <f t="shared" si="8"/>
        <v>2051</v>
      </c>
      <c r="AD22" s="301">
        <f t="shared" si="8"/>
        <v>2052</v>
      </c>
      <c r="AE22" s="301">
        <f t="shared" si="8"/>
        <v>2053</v>
      </c>
      <c r="AF22" s="301">
        <f t="shared" si="8"/>
        <v>2054</v>
      </c>
      <c r="AG22" s="301">
        <f t="shared" si="8"/>
        <v>2055</v>
      </c>
      <c r="AH22" s="301">
        <f t="shared" si="8"/>
        <v>2056</v>
      </c>
      <c r="AI22" s="301">
        <f t="shared" si="8"/>
        <v>2057</v>
      </c>
      <c r="AJ22" s="301">
        <f t="shared" si="8"/>
        <v>2058</v>
      </c>
      <c r="AK22" s="301">
        <f t="shared" si="8"/>
        <v>2059</v>
      </c>
      <c r="AL22" s="301">
        <f t="shared" si="8"/>
        <v>2060</v>
      </c>
      <c r="AM22" s="301">
        <f t="shared" si="8"/>
        <v>2061</v>
      </c>
      <c r="AN22" s="301">
        <f t="shared" si="8"/>
        <v>2062</v>
      </c>
      <c r="AO22" s="301">
        <f t="shared" ref="AO22:AQ22" si="9">AO4</f>
        <v>2063</v>
      </c>
      <c r="AP22" s="301">
        <f t="shared" si="9"/>
        <v>2064</v>
      </c>
      <c r="AQ22" s="301">
        <f t="shared" si="9"/>
        <v>2065</v>
      </c>
    </row>
    <row r="23" spans="2:43" x14ac:dyDescent="0.2">
      <c r="B23" s="230" t="s">
        <v>390</v>
      </c>
      <c r="C23" s="235">
        <f t="shared" ref="C23:C26" si="10">SUM(D23:AQ23)</f>
        <v>156678.25518232645</v>
      </c>
      <c r="D23" s="235">
        <f t="shared" ref="D23:AN26" si="11">D5-D14</f>
        <v>0</v>
      </c>
      <c r="E23" s="235">
        <f t="shared" si="11"/>
        <v>0</v>
      </c>
      <c r="F23" s="235">
        <f t="shared" si="11"/>
        <v>0</v>
      </c>
      <c r="G23" s="235">
        <f t="shared" si="11"/>
        <v>3621.8570459931311</v>
      </c>
      <c r="H23" s="235">
        <f t="shared" si="11"/>
        <v>6838.7509172249211</v>
      </c>
      <c r="I23" s="235">
        <f t="shared" si="11"/>
        <v>7995.6808459080175</v>
      </c>
      <c r="J23" s="235">
        <f t="shared" si="11"/>
        <v>7905.3470342641358</v>
      </c>
      <c r="K23" s="235">
        <f t="shared" si="11"/>
        <v>7773.3981372853923</v>
      </c>
      <c r="L23" s="235">
        <f t="shared" si="11"/>
        <v>7610.2613910214895</v>
      </c>
      <c r="M23" s="235">
        <f t="shared" si="11"/>
        <v>7370.7338087061298</v>
      </c>
      <c r="N23" s="235">
        <f t="shared" si="11"/>
        <v>7190.5080622768101</v>
      </c>
      <c r="O23" s="235">
        <f t="shared" si="11"/>
        <v>7005.0181648928474</v>
      </c>
      <c r="P23" s="235">
        <f t="shared" si="11"/>
        <v>6816.0312070266164</v>
      </c>
      <c r="Q23" s="235">
        <f t="shared" si="11"/>
        <v>6621.6229020322162</v>
      </c>
      <c r="R23" s="235">
        <f t="shared" si="11"/>
        <v>6423.5953450331235</v>
      </c>
      <c r="S23" s="235">
        <f t="shared" si="11"/>
        <v>6146.0842397142151</v>
      </c>
      <c r="T23" s="235">
        <f t="shared" si="11"/>
        <v>5870.6042033843032</v>
      </c>
      <c r="U23" s="235">
        <f t="shared" si="11"/>
        <v>5595.2566773515518</v>
      </c>
      <c r="V23" s="235">
        <f t="shared" si="11"/>
        <v>5321.9299948662965</v>
      </c>
      <c r="W23" s="235">
        <f t="shared" si="11"/>
        <v>5048.7331880958127</v>
      </c>
      <c r="X23" s="235">
        <f t="shared" si="11"/>
        <v>4777.5470487209159</v>
      </c>
      <c r="Y23" s="235">
        <f t="shared" si="11"/>
        <v>4506.4881694180576</v>
      </c>
      <c r="Z23" s="235">
        <f t="shared" si="11"/>
        <v>4237.4298304178192</v>
      </c>
      <c r="AA23" s="235">
        <f t="shared" si="11"/>
        <v>3968.4961546772488</v>
      </c>
      <c r="AB23" s="235">
        <f t="shared" si="11"/>
        <v>3701.5529409756864</v>
      </c>
      <c r="AC23" s="235">
        <f t="shared" si="11"/>
        <v>3435.6616261443123</v>
      </c>
      <c r="AD23" s="235">
        <f t="shared" si="11"/>
        <v>3169.8911162866443</v>
      </c>
      <c r="AE23" s="235">
        <f t="shared" si="11"/>
        <v>2906.0960439876094</v>
      </c>
      <c r="AF23" s="235">
        <f t="shared" si="11"/>
        <v>2642.4192264439312</v>
      </c>
      <c r="AG23" s="235">
        <f t="shared" si="11"/>
        <v>2380.7078892636869</v>
      </c>
      <c r="AH23" s="235">
        <f t="shared" si="11"/>
        <v>2119.1122750727773</v>
      </c>
      <c r="AI23" s="235">
        <f t="shared" si="11"/>
        <v>1859.4722320841904</v>
      </c>
      <c r="AJ23" s="235">
        <f t="shared" si="11"/>
        <v>1599.9453986644953</v>
      </c>
      <c r="AK23" s="235">
        <f t="shared" si="11"/>
        <v>1342.3642750952056</v>
      </c>
      <c r="AL23" s="235">
        <f t="shared" si="11"/>
        <v>1084.8938659137541</v>
      </c>
      <c r="AM23" s="235">
        <f t="shared" si="11"/>
        <v>829.35935281612217</v>
      </c>
      <c r="AN23" s="235">
        <f t="shared" si="11"/>
        <v>573.9330770590326</v>
      </c>
      <c r="AO23" s="235">
        <f t="shared" ref="AO23:AQ23" si="12">AO5-AO14</f>
        <v>320.43293098167146</v>
      </c>
      <c r="AP23" s="235">
        <f t="shared" si="12"/>
        <v>67.038563226227438</v>
      </c>
      <c r="AQ23" s="235">
        <f t="shared" si="12"/>
        <v>0</v>
      </c>
    </row>
    <row r="24" spans="2:43" x14ac:dyDescent="0.2">
      <c r="B24" s="230" t="s">
        <v>391</v>
      </c>
      <c r="C24" s="235">
        <f t="shared" si="10"/>
        <v>128191.29969463067</v>
      </c>
      <c r="D24" s="235">
        <f t="shared" si="11"/>
        <v>0</v>
      </c>
      <c r="E24" s="235">
        <f t="shared" si="11"/>
        <v>0</v>
      </c>
      <c r="F24" s="235">
        <f t="shared" si="11"/>
        <v>0</v>
      </c>
      <c r="G24" s="235">
        <f t="shared" si="11"/>
        <v>2963.3375830852888</v>
      </c>
      <c r="H24" s="235">
        <f t="shared" si="11"/>
        <v>5595.341659547661</v>
      </c>
      <c r="I24" s="235">
        <f t="shared" si="11"/>
        <v>6541.9206921065588</v>
      </c>
      <c r="J24" s="235">
        <f t="shared" si="11"/>
        <v>6468.0112098524742</v>
      </c>
      <c r="K24" s="235">
        <f t="shared" si="11"/>
        <v>6360.0530214153205</v>
      </c>
      <c r="L24" s="235">
        <f t="shared" si="11"/>
        <v>6226.5775017448541</v>
      </c>
      <c r="M24" s="235">
        <f t="shared" si="11"/>
        <v>6030.6003889413787</v>
      </c>
      <c r="N24" s="235">
        <f t="shared" si="11"/>
        <v>5883.1429600446618</v>
      </c>
      <c r="O24" s="235">
        <f t="shared" si="11"/>
        <v>5731.3784985486936</v>
      </c>
      <c r="P24" s="235">
        <f t="shared" si="11"/>
        <v>5576.7528057490499</v>
      </c>
      <c r="Q24" s="235">
        <f t="shared" si="11"/>
        <v>5417.6914652990854</v>
      </c>
      <c r="R24" s="235">
        <f t="shared" si="11"/>
        <v>5255.668918663464</v>
      </c>
      <c r="S24" s="235">
        <f t="shared" si="11"/>
        <v>5028.6143779479935</v>
      </c>
      <c r="T24" s="235">
        <f t="shared" si="11"/>
        <v>4803.2216209507933</v>
      </c>
      <c r="U24" s="235">
        <f t="shared" si="11"/>
        <v>4577.9372814694516</v>
      </c>
      <c r="V24" s="235">
        <f t="shared" si="11"/>
        <v>4354.306359436061</v>
      </c>
      <c r="W24" s="235">
        <f t="shared" si="11"/>
        <v>4130.7816993511187</v>
      </c>
      <c r="X24" s="235">
        <f t="shared" si="11"/>
        <v>3908.902130771658</v>
      </c>
      <c r="Y24" s="235">
        <f t="shared" si="11"/>
        <v>3687.1266840693197</v>
      </c>
      <c r="Z24" s="235">
        <f t="shared" si="11"/>
        <v>3466.9880430691242</v>
      </c>
      <c r="AA24" s="235">
        <f t="shared" si="11"/>
        <v>3246.951399281385</v>
      </c>
      <c r="AB24" s="235">
        <f t="shared" si="11"/>
        <v>3028.5433153437434</v>
      </c>
      <c r="AC24" s="235">
        <f t="shared" si="11"/>
        <v>2810.9958759362553</v>
      </c>
      <c r="AD24" s="235">
        <f t="shared" si="11"/>
        <v>2593.5472769618</v>
      </c>
      <c r="AE24" s="235">
        <f t="shared" si="11"/>
        <v>2377.7149450807715</v>
      </c>
      <c r="AF24" s="235">
        <f t="shared" si="11"/>
        <v>2161.9793670904892</v>
      </c>
      <c r="AG24" s="235">
        <f t="shared" si="11"/>
        <v>1947.8519093975619</v>
      </c>
      <c r="AH24" s="235">
        <f t="shared" si="11"/>
        <v>1733.8191341504537</v>
      </c>
      <c r="AI24" s="235">
        <f t="shared" si="11"/>
        <v>1521.3863717052466</v>
      </c>
      <c r="AJ24" s="235">
        <f t="shared" si="11"/>
        <v>1309.0462352709505</v>
      </c>
      <c r="AK24" s="235">
        <f t="shared" si="11"/>
        <v>1098.2980432597137</v>
      </c>
      <c r="AL24" s="235">
        <f t="shared" si="11"/>
        <v>887.64043574761706</v>
      </c>
      <c r="AM24" s="235">
        <f t="shared" si="11"/>
        <v>678.56674321319076</v>
      </c>
      <c r="AN24" s="235">
        <f t="shared" si="11"/>
        <v>469.58160850284486</v>
      </c>
      <c r="AO24" s="235">
        <f t="shared" ref="AO24:AQ24" si="13">AO6-AO15</f>
        <v>262.17239807591295</v>
      </c>
      <c r="AP24" s="235">
        <f t="shared" si="13"/>
        <v>54.849733548731535</v>
      </c>
      <c r="AQ24" s="235">
        <f t="shared" si="13"/>
        <v>0</v>
      </c>
    </row>
    <row r="25" spans="2:43" x14ac:dyDescent="0.2">
      <c r="B25" s="230" t="s">
        <v>392</v>
      </c>
      <c r="C25" s="235">
        <f t="shared" si="10"/>
        <v>321718.36344527046</v>
      </c>
      <c r="D25" s="235">
        <f t="shared" si="11"/>
        <v>0</v>
      </c>
      <c r="E25" s="235">
        <f t="shared" si="11"/>
        <v>0</v>
      </c>
      <c r="F25" s="235">
        <f t="shared" si="11"/>
        <v>0</v>
      </c>
      <c r="G25" s="235">
        <f t="shared" si="11"/>
        <v>385.47820788402311</v>
      </c>
      <c r="H25" s="235">
        <f t="shared" si="11"/>
        <v>864.4021577435484</v>
      </c>
      <c r="I25" s="235">
        <f t="shared" si="11"/>
        <v>1264.1392641751804</v>
      </c>
      <c r="J25" s="235">
        <f t="shared" si="11"/>
        <v>1586.3999660950378</v>
      </c>
      <c r="K25" s="235">
        <f t="shared" si="11"/>
        <v>1985.9046336130561</v>
      </c>
      <c r="L25" s="235">
        <f t="shared" si="11"/>
        <v>2443.710457470559</v>
      </c>
      <c r="M25" s="235">
        <f t="shared" si="11"/>
        <v>3042.0206460917657</v>
      </c>
      <c r="N25" s="235">
        <f t="shared" si="11"/>
        <v>3534.1373698551943</v>
      </c>
      <c r="O25" s="235">
        <f t="shared" si="11"/>
        <v>4037.4696126568929</v>
      </c>
      <c r="P25" s="235">
        <f t="shared" si="11"/>
        <v>4548.8209260837539</v>
      </c>
      <c r="Q25" s="235">
        <f t="shared" si="11"/>
        <v>5071.7066209167106</v>
      </c>
      <c r="R25" s="235">
        <f t="shared" si="11"/>
        <v>5602.866934433906</v>
      </c>
      <c r="S25" s="235">
        <f t="shared" si="11"/>
        <v>6072.8683180720245</v>
      </c>
      <c r="T25" s="235">
        <f t="shared" si="11"/>
        <v>6539.2459775276629</v>
      </c>
      <c r="U25" s="235">
        <f t="shared" si="11"/>
        <v>7005.4516994380347</v>
      </c>
      <c r="V25" s="235">
        <f t="shared" si="11"/>
        <v>7468.0520126401607</v>
      </c>
      <c r="W25" s="235">
        <f t="shared" si="11"/>
        <v>7930.484902761702</v>
      </c>
      <c r="X25" s="235">
        <f t="shared" si="11"/>
        <v>8389.3306111356433</v>
      </c>
      <c r="Y25" s="235">
        <f t="shared" si="11"/>
        <v>8848.0133775595805</v>
      </c>
      <c r="Z25" s="235">
        <f t="shared" si="11"/>
        <v>9303.1271010979217</v>
      </c>
      <c r="AA25" s="235">
        <f t="shared" si="11"/>
        <v>9758.0823306770599</v>
      </c>
      <c r="AB25" s="235">
        <f t="shared" si="11"/>
        <v>10209.486568546992</v>
      </c>
      <c r="AC25" s="235">
        <f t="shared" si="11"/>
        <v>10659.046157136121</v>
      </c>
      <c r="AD25" s="235">
        <f t="shared" si="11"/>
        <v>11108.453858649811</v>
      </c>
      <c r="AE25" s="235">
        <f t="shared" si="11"/>
        <v>11554.337478326077</v>
      </c>
      <c r="AF25" s="235">
        <f t="shared" si="11"/>
        <v>12000.07357692525</v>
      </c>
      <c r="AG25" s="235">
        <f t="shared" si="11"/>
        <v>12442.3034274575</v>
      </c>
      <c r="AH25" s="235">
        <f t="shared" si="11"/>
        <v>12884.390090443281</v>
      </c>
      <c r="AI25" s="235">
        <f t="shared" si="11"/>
        <v>13322.98825287774</v>
      </c>
      <c r="AJ25" s="235">
        <f t="shared" si="11"/>
        <v>13761.447529018398</v>
      </c>
      <c r="AK25" s="235">
        <f t="shared" si="11"/>
        <v>14196.435966273017</v>
      </c>
      <c r="AL25" s="235">
        <f t="shared" si="11"/>
        <v>14631.289786397307</v>
      </c>
      <c r="AM25" s="235">
        <f t="shared" si="11"/>
        <v>15062.690343853252</v>
      </c>
      <c r="AN25" s="235">
        <f t="shared" si="11"/>
        <v>15493.960521440924</v>
      </c>
      <c r="AO25" s="235">
        <f t="shared" ref="AO25:AQ25" si="14">AO7-AO16</f>
        <v>15921.794927531209</v>
      </c>
      <c r="AP25" s="235">
        <f t="shared" si="14"/>
        <v>16349.503159300661</v>
      </c>
      <c r="AQ25" s="235">
        <f t="shared" si="14"/>
        <v>16438.448673163464</v>
      </c>
    </row>
    <row r="26" spans="2:43" x14ac:dyDescent="0.2">
      <c r="B26" s="230" t="s">
        <v>138</v>
      </c>
      <c r="C26" s="235">
        <f t="shared" si="10"/>
        <v>0</v>
      </c>
      <c r="D26" s="235">
        <f t="shared" si="11"/>
        <v>0</v>
      </c>
      <c r="E26" s="235">
        <f t="shared" si="11"/>
        <v>0</v>
      </c>
      <c r="F26" s="235">
        <f t="shared" si="11"/>
        <v>0</v>
      </c>
      <c r="G26" s="235">
        <f t="shared" si="11"/>
        <v>0</v>
      </c>
      <c r="H26" s="235">
        <f t="shared" si="11"/>
        <v>0</v>
      </c>
      <c r="I26" s="235">
        <f t="shared" si="11"/>
        <v>0</v>
      </c>
      <c r="J26" s="235">
        <f t="shared" si="11"/>
        <v>0</v>
      </c>
      <c r="K26" s="235">
        <f t="shared" si="11"/>
        <v>0</v>
      </c>
      <c r="L26" s="235">
        <f t="shared" si="11"/>
        <v>0</v>
      </c>
      <c r="M26" s="235">
        <f t="shared" si="11"/>
        <v>0</v>
      </c>
      <c r="N26" s="235">
        <f t="shared" si="11"/>
        <v>0</v>
      </c>
      <c r="O26" s="235">
        <f t="shared" si="11"/>
        <v>0</v>
      </c>
      <c r="P26" s="235">
        <f t="shared" si="11"/>
        <v>0</v>
      </c>
      <c r="Q26" s="235">
        <f t="shared" si="11"/>
        <v>0</v>
      </c>
      <c r="R26" s="235">
        <f t="shared" si="11"/>
        <v>0</v>
      </c>
      <c r="S26" s="235">
        <f t="shared" si="11"/>
        <v>0</v>
      </c>
      <c r="T26" s="235">
        <f t="shared" si="11"/>
        <v>0</v>
      </c>
      <c r="U26" s="235">
        <f t="shared" si="11"/>
        <v>0</v>
      </c>
      <c r="V26" s="235">
        <f t="shared" si="11"/>
        <v>0</v>
      </c>
      <c r="W26" s="235">
        <f t="shared" si="11"/>
        <v>0</v>
      </c>
      <c r="X26" s="235">
        <f t="shared" si="11"/>
        <v>0</v>
      </c>
      <c r="Y26" s="235">
        <f t="shared" si="11"/>
        <v>0</v>
      </c>
      <c r="Z26" s="235">
        <f t="shared" si="11"/>
        <v>0</v>
      </c>
      <c r="AA26" s="235">
        <f t="shared" si="11"/>
        <v>0</v>
      </c>
      <c r="AB26" s="235">
        <f t="shared" si="11"/>
        <v>0</v>
      </c>
      <c r="AC26" s="235">
        <f t="shared" si="11"/>
        <v>0</v>
      </c>
      <c r="AD26" s="235">
        <f t="shared" si="11"/>
        <v>0</v>
      </c>
      <c r="AE26" s="235">
        <f t="shared" si="11"/>
        <v>0</v>
      </c>
      <c r="AF26" s="235">
        <f t="shared" si="11"/>
        <v>0</v>
      </c>
      <c r="AG26" s="235">
        <f t="shared" si="11"/>
        <v>0</v>
      </c>
      <c r="AH26" s="235">
        <f t="shared" si="11"/>
        <v>0</v>
      </c>
      <c r="AI26" s="235">
        <f t="shared" si="11"/>
        <v>0</v>
      </c>
      <c r="AJ26" s="235">
        <f t="shared" si="11"/>
        <v>0</v>
      </c>
      <c r="AK26" s="235">
        <f t="shared" si="11"/>
        <v>0</v>
      </c>
      <c r="AL26" s="235">
        <f t="shared" si="11"/>
        <v>0</v>
      </c>
      <c r="AM26" s="235">
        <f t="shared" si="11"/>
        <v>0</v>
      </c>
      <c r="AN26" s="235">
        <f t="shared" si="11"/>
        <v>0</v>
      </c>
      <c r="AO26" s="235">
        <f t="shared" ref="AO26:AQ26" si="15">AO8-AO17</f>
        <v>0</v>
      </c>
      <c r="AP26" s="235">
        <f t="shared" si="15"/>
        <v>0</v>
      </c>
      <c r="AQ26" s="235">
        <f t="shared" si="15"/>
        <v>0</v>
      </c>
    </row>
    <row r="27" spans="2:43" x14ac:dyDescent="0.2"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</row>
    <row r="29" spans="2:43" ht="22.5" x14ac:dyDescent="0.2">
      <c r="B29" s="254" t="s">
        <v>399</v>
      </c>
      <c r="C29" s="249" t="s">
        <v>9</v>
      </c>
    </row>
    <row r="30" spans="2:43" x14ac:dyDescent="0.2">
      <c r="B30" s="245" t="s">
        <v>390</v>
      </c>
      <c r="C30" s="235">
        <f t="shared" ref="C30:C34" si="16">SUM(D30:AQ30)</f>
        <v>792791.97122257133</v>
      </c>
      <c r="D30" s="235">
        <f>D23*Parametre!$D$187</f>
        <v>0</v>
      </c>
      <c r="E30" s="235">
        <f>E23*Parametre!$D$187</f>
        <v>0</v>
      </c>
      <c r="F30" s="235">
        <f>F23*Parametre!$D$187</f>
        <v>0</v>
      </c>
      <c r="G30" s="235">
        <f>G23*Parametre!$D$187</f>
        <v>18326.596652725242</v>
      </c>
      <c r="H30" s="235">
        <f>H23*Parametre!$D$187</f>
        <v>34604.079641158096</v>
      </c>
      <c r="I30" s="235">
        <f>I23*Parametre!$D$187</f>
        <v>40458.145080294569</v>
      </c>
      <c r="J30" s="235">
        <f>J23*Parametre!$D$187</f>
        <v>40001.055993376525</v>
      </c>
      <c r="K30" s="235">
        <f>K23*Parametre!$D$187</f>
        <v>39333.394574664082</v>
      </c>
      <c r="L30" s="235">
        <f>L23*Parametre!$D$187</f>
        <v>38507.922638568736</v>
      </c>
      <c r="M30" s="235">
        <f>M23*Parametre!$D$187</f>
        <v>37295.913072053016</v>
      </c>
      <c r="N30" s="235">
        <f>N23*Parametre!$D$187</f>
        <v>36383.970795120658</v>
      </c>
      <c r="O30" s="235">
        <f>O23*Parametre!$D$187</f>
        <v>35445.391914357802</v>
      </c>
      <c r="P30" s="235">
        <f>P23*Parametre!$D$187</f>
        <v>34489.117907554675</v>
      </c>
      <c r="Q30" s="235">
        <f>Q23*Parametre!$D$187</f>
        <v>33505.411884283014</v>
      </c>
      <c r="R30" s="235">
        <f>R23*Parametre!$D$187</f>
        <v>32503.392445867601</v>
      </c>
      <c r="S30" s="235">
        <f>S23*Parametre!$D$187</f>
        <v>31099.186252953925</v>
      </c>
      <c r="T30" s="235">
        <f>T23*Parametre!$D$187</f>
        <v>29705.257269124573</v>
      </c>
      <c r="U30" s="235">
        <f>U23*Parametre!$D$187</f>
        <v>28311.99878739885</v>
      </c>
      <c r="V30" s="235">
        <f>V23*Parametre!$D$187</f>
        <v>26928.965774023458</v>
      </c>
      <c r="W30" s="235">
        <f>W23*Parametre!$D$187</f>
        <v>25546.589931764811</v>
      </c>
      <c r="X30" s="235">
        <f>X23*Parametre!$D$187</f>
        <v>24174.388066527834</v>
      </c>
      <c r="Y30" s="235">
        <f>Y23*Parametre!$D$187</f>
        <v>22802.830137255369</v>
      </c>
      <c r="Z30" s="235">
        <f>Z23*Parametre!$D$187</f>
        <v>21441.394941914165</v>
      </c>
      <c r="AA30" s="235">
        <f>AA23*Parametre!$D$187</f>
        <v>20080.590542666876</v>
      </c>
      <c r="AB30" s="235">
        <f>AB23*Parametre!$D$187</f>
        <v>18729.857881336971</v>
      </c>
      <c r="AC30" s="235">
        <f>AC23*Parametre!$D$187</f>
        <v>17384.44782829022</v>
      </c>
      <c r="AD30" s="235">
        <f>AD23*Parametre!$D$187</f>
        <v>16039.64904841042</v>
      </c>
      <c r="AE30" s="235">
        <f>AE23*Parametre!$D$187</f>
        <v>14704.845982577302</v>
      </c>
      <c r="AF30" s="235">
        <f>AF23*Parametre!$D$187</f>
        <v>13370.64128580629</v>
      </c>
      <c r="AG30" s="235">
        <f>AG23*Parametre!$D$187</f>
        <v>12046.381919674255</v>
      </c>
      <c r="AH30" s="235">
        <f>AH23*Parametre!$D$187</f>
        <v>10722.708111868253</v>
      </c>
      <c r="AI30" s="235">
        <f>AI23*Parametre!$D$187</f>
        <v>9408.9294943460027</v>
      </c>
      <c r="AJ30" s="235">
        <f>AJ23*Parametre!$D$187</f>
        <v>8095.7237172423456</v>
      </c>
      <c r="AK30" s="235">
        <f>AK23*Parametre!$D$187</f>
        <v>6792.3632319817398</v>
      </c>
      <c r="AL30" s="235">
        <f>AL23*Parametre!$D$187</f>
        <v>5489.5629615235957</v>
      </c>
      <c r="AM30" s="235">
        <f>AM23*Parametre!$D$187</f>
        <v>4196.558325249578</v>
      </c>
      <c r="AN30" s="235">
        <f>AN23*Parametre!$D$187</f>
        <v>2904.1013699187047</v>
      </c>
      <c r="AO30" s="235">
        <f>AO23*Parametre!$D$187</f>
        <v>1621.3906307672576</v>
      </c>
      <c r="AP30" s="235">
        <f>AP23*Parametre!$D$187</f>
        <v>339.21512992471082</v>
      </c>
      <c r="AQ30" s="235">
        <f>AQ23*Parametre!$D$187</f>
        <v>0</v>
      </c>
    </row>
    <row r="31" spans="2:43" x14ac:dyDescent="0.2">
      <c r="B31" s="245" t="s">
        <v>391</v>
      </c>
      <c r="C31" s="235">
        <f t="shared" si="16"/>
        <v>420339.27169869409</v>
      </c>
      <c r="D31" s="235">
        <f>D24*Parametre!$D$188</f>
        <v>0</v>
      </c>
      <c r="E31" s="235">
        <f>E24*Parametre!$D$188</f>
        <v>0</v>
      </c>
      <c r="F31" s="235">
        <f>F24*Parametre!$D$188</f>
        <v>0</v>
      </c>
      <c r="G31" s="235">
        <f>G24*Parametre!$D$188</f>
        <v>9716.7839349366623</v>
      </c>
      <c r="H31" s="235">
        <f>H24*Parametre!$D$188</f>
        <v>18347.125301656779</v>
      </c>
      <c r="I31" s="235">
        <f>I24*Parametre!$D$188</f>
        <v>21450.957949417407</v>
      </c>
      <c r="J31" s="235">
        <f>J24*Parametre!$D$188</f>
        <v>21208.608757106264</v>
      </c>
      <c r="K31" s="235">
        <f>K24*Parametre!$D$188</f>
        <v>20854.613857220837</v>
      </c>
      <c r="L31" s="235">
        <f>L24*Parametre!$D$188</f>
        <v>20416.947628221376</v>
      </c>
      <c r="M31" s="235">
        <f>M24*Parametre!$D$188</f>
        <v>19774.338675338779</v>
      </c>
      <c r="N31" s="235">
        <f>N24*Parametre!$D$188</f>
        <v>19290.825765986447</v>
      </c>
      <c r="O31" s="235">
        <f>O24*Parametre!$D$188</f>
        <v>18793.190096741168</v>
      </c>
      <c r="P31" s="235">
        <f>P24*Parametre!$D$188</f>
        <v>18286.172450051134</v>
      </c>
      <c r="Q31" s="235">
        <f>Q24*Parametre!$D$188</f>
        <v>17764.610314715701</v>
      </c>
      <c r="R31" s="235">
        <f>R24*Parametre!$D$188</f>
        <v>17233.338384297498</v>
      </c>
      <c r="S31" s="235">
        <f>S24*Parametre!$D$188</f>
        <v>16488.826545291471</v>
      </c>
      <c r="T31" s="235">
        <f>T24*Parametre!$D$188</f>
        <v>15749.76369509765</v>
      </c>
      <c r="U31" s="235">
        <f>U24*Parametre!$D$188</f>
        <v>15011.056345938332</v>
      </c>
      <c r="V31" s="235">
        <f>V24*Parametre!$D$188</f>
        <v>14277.770552590844</v>
      </c>
      <c r="W31" s="235">
        <f>W24*Parametre!$D$188</f>
        <v>13544.833192172318</v>
      </c>
      <c r="X31" s="235">
        <f>X24*Parametre!$D$188</f>
        <v>12817.290086800267</v>
      </c>
      <c r="Y31" s="235">
        <f>Y24*Parametre!$D$188</f>
        <v>12090.088397063299</v>
      </c>
      <c r="Z31" s="235">
        <f>Z24*Parametre!$D$188</f>
        <v>11368.253793223657</v>
      </c>
      <c r="AA31" s="235">
        <f>AA24*Parametre!$D$188</f>
        <v>10646.753638243661</v>
      </c>
      <c r="AB31" s="235">
        <f>AB24*Parametre!$D$188</f>
        <v>9930.5935310121349</v>
      </c>
      <c r="AC31" s="235">
        <f>AC24*Parametre!$D$188</f>
        <v>9217.2554771949817</v>
      </c>
      <c r="AD31" s="235">
        <f>AD24*Parametre!$D$188</f>
        <v>8504.2415211577427</v>
      </c>
      <c r="AE31" s="235">
        <f>AE24*Parametre!$D$188</f>
        <v>7796.5273049198495</v>
      </c>
      <c r="AF31" s="235">
        <f>AF24*Parametre!$D$188</f>
        <v>7089.1303446897136</v>
      </c>
      <c r="AG31" s="235">
        <f>AG24*Parametre!$D$188</f>
        <v>6387.0064109146051</v>
      </c>
      <c r="AH31" s="235">
        <f>AH24*Parametre!$D$188</f>
        <v>5685.1929408793376</v>
      </c>
      <c r="AI31" s="235">
        <f>AI24*Parametre!$D$188</f>
        <v>4988.6259128215033</v>
      </c>
      <c r="AJ31" s="235">
        <f>AJ24*Parametre!$D$188</f>
        <v>4292.362605453447</v>
      </c>
      <c r="AK31" s="235">
        <f>AK24*Parametre!$D$188</f>
        <v>3601.3192838486011</v>
      </c>
      <c r="AL31" s="235">
        <f>AL24*Parametre!$D$188</f>
        <v>2910.5729888164365</v>
      </c>
      <c r="AM31" s="235">
        <f>AM24*Parametre!$D$188</f>
        <v>2225.0203509960525</v>
      </c>
      <c r="AN31" s="235">
        <f>AN24*Parametre!$D$188</f>
        <v>1539.7580942808283</v>
      </c>
      <c r="AO31" s="235">
        <f>AO24*Parametre!$D$188</f>
        <v>859.66329329091855</v>
      </c>
      <c r="AP31" s="235">
        <f>AP24*Parametre!$D$188</f>
        <v>179.85227630629069</v>
      </c>
      <c r="AQ31" s="235">
        <f>AQ24*Parametre!$D$188</f>
        <v>0</v>
      </c>
    </row>
    <row r="32" spans="2:43" x14ac:dyDescent="0.2">
      <c r="B32" s="230" t="s">
        <v>392</v>
      </c>
      <c r="C32" s="235">
        <f t="shared" si="16"/>
        <v>1508215.6878314277</v>
      </c>
      <c r="D32" s="235">
        <f>D25*Parametre!$D$189</f>
        <v>0</v>
      </c>
      <c r="E32" s="235">
        <f>E25*Parametre!$D$189</f>
        <v>0</v>
      </c>
      <c r="F32" s="235">
        <f>F25*Parametre!$D$189</f>
        <v>0</v>
      </c>
      <c r="G32" s="235">
        <f>G25*Parametre!$D$189</f>
        <v>1807.1218385603001</v>
      </c>
      <c r="H32" s="235">
        <f>H25*Parametre!$D$189</f>
        <v>4052.3173155017548</v>
      </c>
      <c r="I32" s="235">
        <f>I25*Parametre!$D$189</f>
        <v>5926.2848704532453</v>
      </c>
      <c r="J32" s="235">
        <f>J25*Parametre!$D$189</f>
        <v>7437.0430410535373</v>
      </c>
      <c r="K32" s="235">
        <f>K25*Parametre!$D$189</f>
        <v>9309.9209223780072</v>
      </c>
      <c r="L32" s="235">
        <f>L25*Parametre!$D$189</f>
        <v>11456.11462462198</v>
      </c>
      <c r="M32" s="235">
        <f>M25*Parametre!$D$189</f>
        <v>14260.992788878197</v>
      </c>
      <c r="N32" s="235">
        <f>N25*Parametre!$D$189</f>
        <v>16568.035989881151</v>
      </c>
      <c r="O32" s="235">
        <f>O25*Parametre!$D$189</f>
        <v>18927.657544135513</v>
      </c>
      <c r="P32" s="235">
        <f>P25*Parametre!$D$189</f>
        <v>21324.872501480637</v>
      </c>
      <c r="Q32" s="235">
        <f>Q25*Parametre!$D$189</f>
        <v>23776.160638857538</v>
      </c>
      <c r="R32" s="235">
        <f>R25*Parametre!$D$189</f>
        <v>26266.24018862615</v>
      </c>
      <c r="S32" s="235">
        <f>S25*Parametre!$D$189</f>
        <v>28469.606675121649</v>
      </c>
      <c r="T32" s="235">
        <f>T25*Parametre!$D$189</f>
        <v>30655.985142649683</v>
      </c>
      <c r="U32" s="235">
        <f>U25*Parametre!$D$189</f>
        <v>32841.557566965508</v>
      </c>
      <c r="V32" s="235">
        <f>V25*Parametre!$D$189</f>
        <v>35010.227835257072</v>
      </c>
      <c r="W32" s="235">
        <f>W25*Parametre!$D$189</f>
        <v>37178.113224146859</v>
      </c>
      <c r="X32" s="235">
        <f>X25*Parametre!$D$189</f>
        <v>39329.18190500389</v>
      </c>
      <c r="Y32" s="235">
        <f>Y25*Parametre!$D$189</f>
        <v>41479.486713999308</v>
      </c>
      <c r="Z32" s="235">
        <f>Z25*Parametre!$D$189</f>
        <v>43613.059849947058</v>
      </c>
      <c r="AA32" s="235">
        <f>AA25*Parametre!$D$189</f>
        <v>45745.889966214054</v>
      </c>
      <c r="AB32" s="235">
        <f>AB25*Parametre!$D$189</f>
        <v>47862.073033348293</v>
      </c>
      <c r="AC32" s="235">
        <f>AC25*Parametre!$D$189</f>
        <v>49969.60838465413</v>
      </c>
      <c r="AD32" s="235">
        <f>AD25*Parametre!$D$189</f>
        <v>52076.431689350313</v>
      </c>
      <c r="AE32" s="235">
        <f>AE25*Parametre!$D$189</f>
        <v>54166.734098392648</v>
      </c>
      <c r="AF32" s="235">
        <f>AF25*Parametre!$D$189</f>
        <v>56256.344928625564</v>
      </c>
      <c r="AG32" s="235">
        <f>AG25*Parametre!$D$189</f>
        <v>58329.51846792076</v>
      </c>
      <c r="AH32" s="235">
        <f>AH25*Parametre!$D$189</f>
        <v>60402.020743998102</v>
      </c>
      <c r="AI32" s="235">
        <f>AI25*Parametre!$D$189</f>
        <v>62458.168929490843</v>
      </c>
      <c r="AJ32" s="235">
        <f>AJ25*Parametre!$D$189</f>
        <v>64513.666016038245</v>
      </c>
      <c r="AK32" s="235">
        <f>AK25*Parametre!$D$189</f>
        <v>66552.891809887893</v>
      </c>
      <c r="AL32" s="235">
        <f>AL25*Parametre!$D$189</f>
        <v>68591.486518630569</v>
      </c>
      <c r="AM32" s="235">
        <f>AM25*Parametre!$D$189</f>
        <v>70613.89233198404</v>
      </c>
      <c r="AN32" s="235">
        <f>AN25*Parametre!$D$189</f>
        <v>72635.686924515045</v>
      </c>
      <c r="AO32" s="235">
        <f>AO25*Parametre!$D$189</f>
        <v>74641.374620266302</v>
      </c>
      <c r="AP32" s="235">
        <f>AP25*Parametre!$D$189</f>
        <v>76646.470810801489</v>
      </c>
      <c r="AQ32" s="235">
        <f>AQ25*Parametre!$D$189</f>
        <v>77063.447379790319</v>
      </c>
    </row>
    <row r="33" spans="2:43" x14ac:dyDescent="0.2">
      <c r="B33" s="245" t="s">
        <v>138</v>
      </c>
      <c r="C33" s="235">
        <f t="shared" si="16"/>
        <v>0</v>
      </c>
      <c r="D33" s="235">
        <f>D26*Parametre!$D$190</f>
        <v>0</v>
      </c>
      <c r="E33" s="235">
        <f>E26*Parametre!$D$190</f>
        <v>0</v>
      </c>
      <c r="F33" s="235">
        <f>F26*Parametre!$D$190</f>
        <v>0</v>
      </c>
      <c r="G33" s="235">
        <f>G26*Parametre!$D$190</f>
        <v>0</v>
      </c>
      <c r="H33" s="235">
        <f>H26*Parametre!$D$190</f>
        <v>0</v>
      </c>
      <c r="I33" s="235">
        <f>I26*Parametre!$D$190</f>
        <v>0</v>
      </c>
      <c r="J33" s="235">
        <f>J26*Parametre!$D$190</f>
        <v>0</v>
      </c>
      <c r="K33" s="235">
        <f>K26*Parametre!$D$190</f>
        <v>0</v>
      </c>
      <c r="L33" s="235">
        <f>L26*Parametre!$D$190</f>
        <v>0</v>
      </c>
      <c r="M33" s="235">
        <f>M26*Parametre!$D$190</f>
        <v>0</v>
      </c>
      <c r="N33" s="235">
        <f>N26*Parametre!$D$190</f>
        <v>0</v>
      </c>
      <c r="O33" s="235">
        <f>O26*Parametre!$D$190</f>
        <v>0</v>
      </c>
      <c r="P33" s="235">
        <f>P26*Parametre!$D$190</f>
        <v>0</v>
      </c>
      <c r="Q33" s="235">
        <f>Q26*Parametre!$D$190</f>
        <v>0</v>
      </c>
      <c r="R33" s="235">
        <f>R26*Parametre!$D$190</f>
        <v>0</v>
      </c>
      <c r="S33" s="235">
        <f>S26*Parametre!$D$190</f>
        <v>0</v>
      </c>
      <c r="T33" s="235">
        <f>T26*Parametre!$D$190</f>
        <v>0</v>
      </c>
      <c r="U33" s="235">
        <f>U26*Parametre!$D$190</f>
        <v>0</v>
      </c>
      <c r="V33" s="235">
        <f>V26*Parametre!$D$190</f>
        <v>0</v>
      </c>
      <c r="W33" s="235">
        <f>W26*Parametre!$D$190</f>
        <v>0</v>
      </c>
      <c r="X33" s="235">
        <f>X26*Parametre!$D$190</f>
        <v>0</v>
      </c>
      <c r="Y33" s="235">
        <f>Y26*Parametre!$D$190</f>
        <v>0</v>
      </c>
      <c r="Z33" s="235">
        <f>Z26*Parametre!$D$190</f>
        <v>0</v>
      </c>
      <c r="AA33" s="235">
        <f>AA26*Parametre!$D$190</f>
        <v>0</v>
      </c>
      <c r="AB33" s="235">
        <f>AB26*Parametre!$D$190</f>
        <v>0</v>
      </c>
      <c r="AC33" s="235">
        <f>AC26*Parametre!$D$190</f>
        <v>0</v>
      </c>
      <c r="AD33" s="235">
        <f>AD26*Parametre!$D$190</f>
        <v>0</v>
      </c>
      <c r="AE33" s="235">
        <f>AE26*Parametre!$D$190</f>
        <v>0</v>
      </c>
      <c r="AF33" s="235">
        <f>AF26*Parametre!$D$190</f>
        <v>0</v>
      </c>
      <c r="AG33" s="235">
        <f>AG26*Parametre!$D$190</f>
        <v>0</v>
      </c>
      <c r="AH33" s="235">
        <f>AH26*Parametre!$D$190</f>
        <v>0</v>
      </c>
      <c r="AI33" s="235">
        <f>AI26*Parametre!$D$190</f>
        <v>0</v>
      </c>
      <c r="AJ33" s="235">
        <f>AJ26*Parametre!$D$190</f>
        <v>0</v>
      </c>
      <c r="AK33" s="235">
        <f>AK26*Parametre!$D$190</f>
        <v>0</v>
      </c>
      <c r="AL33" s="235">
        <f>AL26*Parametre!$D$190</f>
        <v>0</v>
      </c>
      <c r="AM33" s="235">
        <f>AM26*Parametre!$D$190</f>
        <v>0</v>
      </c>
      <c r="AN33" s="235">
        <f>AN26*Parametre!$D$190</f>
        <v>0</v>
      </c>
      <c r="AO33" s="235">
        <f>AO26*Parametre!$D$190</f>
        <v>0</v>
      </c>
      <c r="AP33" s="235">
        <f>AP26*Parametre!$D$190</f>
        <v>0</v>
      </c>
      <c r="AQ33" s="235">
        <f>AQ26*Parametre!$D$190</f>
        <v>0</v>
      </c>
    </row>
    <row r="34" spans="2:43" x14ac:dyDescent="0.2">
      <c r="B34" s="246" t="s">
        <v>9</v>
      </c>
      <c r="C34" s="247">
        <f t="shared" si="16"/>
        <v>2721346.9307526927</v>
      </c>
      <c r="D34" s="248">
        <f t="shared" ref="D34" si="17">SUM(D30:D33)</f>
        <v>0</v>
      </c>
      <c r="E34" s="248">
        <f t="shared" ref="E34:AN34" si="18">SUM(E30:E33)</f>
        <v>0</v>
      </c>
      <c r="F34" s="248">
        <f t="shared" si="18"/>
        <v>0</v>
      </c>
      <c r="G34" s="248">
        <f t="shared" si="18"/>
        <v>29850.502426222203</v>
      </c>
      <c r="H34" s="248">
        <f t="shared" si="18"/>
        <v>57003.522258316632</v>
      </c>
      <c r="I34" s="248">
        <f t="shared" si="18"/>
        <v>67835.387900165224</v>
      </c>
      <c r="J34" s="248">
        <f t="shared" si="18"/>
        <v>68646.707791536319</v>
      </c>
      <c r="K34" s="248">
        <f t="shared" si="18"/>
        <v>69497.929354262931</v>
      </c>
      <c r="L34" s="248">
        <f t="shared" si="18"/>
        <v>70380.984891412081</v>
      </c>
      <c r="M34" s="248">
        <f t="shared" si="18"/>
        <v>71331.244536269995</v>
      </c>
      <c r="N34" s="248">
        <f t="shared" si="18"/>
        <v>72242.832550988256</v>
      </c>
      <c r="O34" s="248">
        <f t="shared" si="18"/>
        <v>73166.239555234482</v>
      </c>
      <c r="P34" s="248">
        <f t="shared" si="18"/>
        <v>74100.162859086442</v>
      </c>
      <c r="Q34" s="248">
        <f t="shared" si="18"/>
        <v>75046.182837856264</v>
      </c>
      <c r="R34" s="248">
        <f t="shared" si="18"/>
        <v>76002.971018791257</v>
      </c>
      <c r="S34" s="248">
        <f t="shared" si="18"/>
        <v>76057.619473367056</v>
      </c>
      <c r="T34" s="248">
        <f t="shared" si="18"/>
        <v>76111.006106871908</v>
      </c>
      <c r="U34" s="248">
        <f t="shared" si="18"/>
        <v>76164.612700302692</v>
      </c>
      <c r="V34" s="248">
        <f t="shared" si="18"/>
        <v>76216.964161871379</v>
      </c>
      <c r="W34" s="248">
        <f t="shared" si="18"/>
        <v>76269.536348083988</v>
      </c>
      <c r="X34" s="248">
        <f t="shared" si="18"/>
        <v>76320.860058331993</v>
      </c>
      <c r="Y34" s="248">
        <f t="shared" si="18"/>
        <v>76372.405248317984</v>
      </c>
      <c r="Z34" s="248">
        <f t="shared" si="18"/>
        <v>76422.708585084882</v>
      </c>
      <c r="AA34" s="248">
        <f t="shared" si="18"/>
        <v>76473.234147124589</v>
      </c>
      <c r="AB34" s="248">
        <f t="shared" si="18"/>
        <v>76522.524445697403</v>
      </c>
      <c r="AC34" s="248">
        <f t="shared" si="18"/>
        <v>76571.311690139322</v>
      </c>
      <c r="AD34" s="248">
        <f t="shared" si="18"/>
        <v>76620.322258918473</v>
      </c>
      <c r="AE34" s="248">
        <f t="shared" si="18"/>
        <v>76668.107385889802</v>
      </c>
      <c r="AF34" s="248">
        <f t="shared" si="18"/>
        <v>76716.116559121569</v>
      </c>
      <c r="AG34" s="248">
        <f t="shared" si="18"/>
        <v>76762.906798509619</v>
      </c>
      <c r="AH34" s="248">
        <f t="shared" si="18"/>
        <v>76809.921796745693</v>
      </c>
      <c r="AI34" s="248">
        <f t="shared" si="18"/>
        <v>76855.724336658343</v>
      </c>
      <c r="AJ34" s="248">
        <f t="shared" si="18"/>
        <v>76901.752338734033</v>
      </c>
      <c r="AK34" s="248">
        <f t="shared" si="18"/>
        <v>76946.574325718233</v>
      </c>
      <c r="AL34" s="248">
        <f t="shared" si="18"/>
        <v>76991.6224689706</v>
      </c>
      <c r="AM34" s="248">
        <f t="shared" si="18"/>
        <v>77035.471008229666</v>
      </c>
      <c r="AN34" s="248">
        <f t="shared" si="18"/>
        <v>77079.546388714574</v>
      </c>
      <c r="AO34" s="248">
        <f t="shared" ref="AO34:AQ34" si="19">SUM(AO30:AO33)</f>
        <v>77122.428544324473</v>
      </c>
      <c r="AP34" s="248">
        <f t="shared" si="19"/>
        <v>77165.538217032488</v>
      </c>
      <c r="AQ34" s="248">
        <f t="shared" si="19"/>
        <v>77063.447379790319</v>
      </c>
    </row>
    <row r="37" spans="2:43" x14ac:dyDescent="0.2">
      <c r="B37" s="230"/>
      <c r="C37" s="230"/>
      <c r="D37" s="230" t="s">
        <v>10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</row>
    <row r="38" spans="2:43" x14ac:dyDescent="0.2">
      <c r="B38" s="232" t="s">
        <v>400</v>
      </c>
      <c r="C38" s="232"/>
      <c r="D38" s="230">
        <v>1</v>
      </c>
      <c r="E38" s="230">
        <v>2</v>
      </c>
      <c r="F38" s="230">
        <v>3</v>
      </c>
      <c r="G38" s="230">
        <v>4</v>
      </c>
      <c r="H38" s="230">
        <v>5</v>
      </c>
      <c r="I38" s="230">
        <v>6</v>
      </c>
      <c r="J38" s="230">
        <v>7</v>
      </c>
      <c r="K38" s="230">
        <v>8</v>
      </c>
      <c r="L38" s="230">
        <v>9</v>
      </c>
      <c r="M38" s="230">
        <v>10</v>
      </c>
      <c r="N38" s="230">
        <v>11</v>
      </c>
      <c r="O38" s="230">
        <v>12</v>
      </c>
      <c r="P38" s="230">
        <v>13</v>
      </c>
      <c r="Q38" s="230">
        <v>14</v>
      </c>
      <c r="R38" s="230">
        <v>15</v>
      </c>
      <c r="S38" s="230">
        <v>16</v>
      </c>
      <c r="T38" s="230">
        <v>17</v>
      </c>
      <c r="U38" s="230">
        <v>18</v>
      </c>
      <c r="V38" s="230">
        <v>19</v>
      </c>
      <c r="W38" s="230">
        <v>20</v>
      </c>
      <c r="X38" s="230">
        <v>21</v>
      </c>
      <c r="Y38" s="230">
        <v>22</v>
      </c>
      <c r="Z38" s="230">
        <v>23</v>
      </c>
      <c r="AA38" s="230">
        <v>24</v>
      </c>
      <c r="AB38" s="230">
        <v>25</v>
      </c>
      <c r="AC38" s="230">
        <v>26</v>
      </c>
      <c r="AD38" s="230">
        <v>27</v>
      </c>
      <c r="AE38" s="230">
        <v>28</v>
      </c>
      <c r="AF38" s="230">
        <v>29</v>
      </c>
      <c r="AG38" s="230">
        <v>30</v>
      </c>
      <c r="AH38" s="230">
        <v>31</v>
      </c>
      <c r="AI38" s="230">
        <v>32</v>
      </c>
      <c r="AJ38" s="230">
        <v>33</v>
      </c>
      <c r="AK38" s="230">
        <v>34</v>
      </c>
      <c r="AL38" s="230">
        <v>35</v>
      </c>
      <c r="AM38" s="230">
        <v>36</v>
      </c>
      <c r="AN38" s="230">
        <v>37</v>
      </c>
      <c r="AO38" s="230">
        <v>38</v>
      </c>
      <c r="AP38" s="230">
        <v>39</v>
      </c>
      <c r="AQ38" s="230">
        <v>40</v>
      </c>
    </row>
    <row r="39" spans="2:43" x14ac:dyDescent="0.2">
      <c r="B39" s="233" t="s">
        <v>33</v>
      </c>
      <c r="C39" s="234" t="s">
        <v>9</v>
      </c>
      <c r="D39" s="301">
        <f t="shared" ref="D39:AN39" si="20">D4</f>
        <v>2026</v>
      </c>
      <c r="E39" s="301">
        <f t="shared" si="20"/>
        <v>2027</v>
      </c>
      <c r="F39" s="301">
        <f t="shared" si="20"/>
        <v>2028</v>
      </c>
      <c r="G39" s="301">
        <f t="shared" si="20"/>
        <v>2029</v>
      </c>
      <c r="H39" s="301">
        <f t="shared" si="20"/>
        <v>2030</v>
      </c>
      <c r="I39" s="301">
        <f t="shared" si="20"/>
        <v>2031</v>
      </c>
      <c r="J39" s="301">
        <f t="shared" si="20"/>
        <v>2032</v>
      </c>
      <c r="K39" s="301">
        <f t="shared" si="20"/>
        <v>2033</v>
      </c>
      <c r="L39" s="301">
        <f t="shared" si="20"/>
        <v>2034</v>
      </c>
      <c r="M39" s="301">
        <f t="shared" si="20"/>
        <v>2035</v>
      </c>
      <c r="N39" s="301">
        <f t="shared" si="20"/>
        <v>2036</v>
      </c>
      <c r="O39" s="301">
        <f t="shared" si="20"/>
        <v>2037</v>
      </c>
      <c r="P39" s="301">
        <f t="shared" si="20"/>
        <v>2038</v>
      </c>
      <c r="Q39" s="301">
        <f t="shared" si="20"/>
        <v>2039</v>
      </c>
      <c r="R39" s="301">
        <f t="shared" si="20"/>
        <v>2040</v>
      </c>
      <c r="S39" s="301">
        <f t="shared" si="20"/>
        <v>2041</v>
      </c>
      <c r="T39" s="301">
        <f t="shared" si="20"/>
        <v>2042</v>
      </c>
      <c r="U39" s="301">
        <f t="shared" si="20"/>
        <v>2043</v>
      </c>
      <c r="V39" s="301">
        <f t="shared" si="20"/>
        <v>2044</v>
      </c>
      <c r="W39" s="301">
        <f t="shared" si="20"/>
        <v>2045</v>
      </c>
      <c r="X39" s="301">
        <f t="shared" si="20"/>
        <v>2046</v>
      </c>
      <c r="Y39" s="301">
        <f t="shared" si="20"/>
        <v>2047</v>
      </c>
      <c r="Z39" s="301">
        <f t="shared" si="20"/>
        <v>2048</v>
      </c>
      <c r="AA39" s="301">
        <f t="shared" si="20"/>
        <v>2049</v>
      </c>
      <c r="AB39" s="301">
        <f t="shared" si="20"/>
        <v>2050</v>
      </c>
      <c r="AC39" s="301">
        <f t="shared" si="20"/>
        <v>2051</v>
      </c>
      <c r="AD39" s="301">
        <f t="shared" si="20"/>
        <v>2052</v>
      </c>
      <c r="AE39" s="301">
        <f t="shared" si="20"/>
        <v>2053</v>
      </c>
      <c r="AF39" s="301">
        <f t="shared" si="20"/>
        <v>2054</v>
      </c>
      <c r="AG39" s="301">
        <f t="shared" si="20"/>
        <v>2055</v>
      </c>
      <c r="AH39" s="301">
        <f t="shared" si="20"/>
        <v>2056</v>
      </c>
      <c r="AI39" s="301">
        <f t="shared" si="20"/>
        <v>2057</v>
      </c>
      <c r="AJ39" s="301">
        <f t="shared" si="20"/>
        <v>2058</v>
      </c>
      <c r="AK39" s="301">
        <f t="shared" si="20"/>
        <v>2059</v>
      </c>
      <c r="AL39" s="301">
        <f t="shared" si="20"/>
        <v>2060</v>
      </c>
      <c r="AM39" s="301">
        <f t="shared" si="20"/>
        <v>2061</v>
      </c>
      <c r="AN39" s="301">
        <f t="shared" si="20"/>
        <v>2062</v>
      </c>
      <c r="AO39" s="301">
        <f t="shared" ref="AO39:AQ39" si="21">AO4</f>
        <v>2063</v>
      </c>
      <c r="AP39" s="301">
        <f t="shared" si="21"/>
        <v>2064</v>
      </c>
      <c r="AQ39" s="301">
        <f t="shared" si="21"/>
        <v>2065</v>
      </c>
    </row>
    <row r="40" spans="2:43" x14ac:dyDescent="0.2">
      <c r="B40" s="230" t="s">
        <v>390</v>
      </c>
      <c r="C40" s="235">
        <f t="shared" ref="C40:C43" si="22">SUM(D40:AQ40)</f>
        <v>14853098.591284538</v>
      </c>
      <c r="D40" s="236">
        <f>'09_A Ostat. nákl. (cesty)NOV200'!D25</f>
        <v>0</v>
      </c>
      <c r="E40" s="236">
        <f>'09_A Ostat. nákl. (cesty)NOV200'!E25</f>
        <v>0</v>
      </c>
      <c r="F40" s="236">
        <f>'09_A Ostat. nákl. (cesty)NOV200'!F25</f>
        <v>0</v>
      </c>
      <c r="G40" s="236">
        <f>'09_A Ostat. nákl. (cesty)NOV200'!G25</f>
        <v>343352.04796014883</v>
      </c>
      <c r="H40" s="236">
        <f>'09_A Ostat. nákl. (cesty)NOV200'!H25</f>
        <v>648313.58695292252</v>
      </c>
      <c r="I40" s="236">
        <f>'09_A Ostat. nákl. (cesty)NOV200'!I25</f>
        <v>757990.54419208004</v>
      </c>
      <c r="J40" s="236">
        <f>'09_A Ostat. nákl. (cesty)NOV200'!J25</f>
        <v>749426.89884824003</v>
      </c>
      <c r="K40" s="236">
        <f>'09_A Ostat. nákl. (cesty)NOV200'!K25</f>
        <v>736918.14341465512</v>
      </c>
      <c r="L40" s="236">
        <f>'09_A Ostat. nákl. (cesty)NOV200'!L25</f>
        <v>721452.77986883733</v>
      </c>
      <c r="M40" s="236">
        <f>'09_A Ostat. nákl. (cesty)NOV200'!M25</f>
        <v>698745.56506534095</v>
      </c>
      <c r="N40" s="236">
        <f>'09_A Ostat. nákl. (cesty)NOV200'!N25</f>
        <v>681660.16430384154</v>
      </c>
      <c r="O40" s="236">
        <f>'09_A Ostat. nákl. (cesty)NOV200'!O25</f>
        <v>664075.72203184187</v>
      </c>
      <c r="P40" s="236">
        <f>'09_A Ostat. nákl. (cesty)NOV200'!P25</f>
        <v>646159.75842612318</v>
      </c>
      <c r="Q40" s="236">
        <f>'09_A Ostat. nákl. (cesty)NOV200'!Q25</f>
        <v>627729.85111265408</v>
      </c>
      <c r="R40" s="236">
        <f>'09_A Ostat. nákl. (cesty)NOV200'!R25</f>
        <v>608956.83870914008</v>
      </c>
      <c r="S40" s="236">
        <f>'09_A Ostat. nákl. (cesty)NOV200'!S25</f>
        <v>582648.78592490754</v>
      </c>
      <c r="T40" s="236">
        <f>'09_A Ostat. nákl. (cesty)NOV200'!T25</f>
        <v>556533.278480832</v>
      </c>
      <c r="U40" s="236">
        <f>'09_A Ostat. nákl. (cesty)NOV200'!U25</f>
        <v>530430.33301292709</v>
      </c>
      <c r="V40" s="236">
        <f>'09_A Ostat. nákl. (cesty)NOV200'!V25</f>
        <v>504518.96351332491</v>
      </c>
      <c r="W40" s="236">
        <f>'09_A Ostat. nákl. (cesty)NOV200'!W25</f>
        <v>478619.90623148304</v>
      </c>
      <c r="X40" s="236">
        <f>'09_A Ostat. nákl. (cesty)NOV200'!X25</f>
        <v>452911.46021874278</v>
      </c>
      <c r="Y40" s="236">
        <f>'09_A Ostat. nákl. (cesty)NOV200'!Y25</f>
        <v>427215.07846083184</v>
      </c>
      <c r="Z40" s="236">
        <f>'09_A Ostat. nákl. (cesty)NOV200'!Z25</f>
        <v>401708.34792360925</v>
      </c>
      <c r="AA40" s="236">
        <f>'09_A Ostat. nákl. (cesty)NOV200'!AA25</f>
        <v>376213.43546340318</v>
      </c>
      <c r="AB40" s="236">
        <f>'09_A Ostat. nákl. (cesty)NOV200'!AB25</f>
        <v>350907.21880449506</v>
      </c>
      <c r="AC40" s="236">
        <f>'09_A Ostat. nákl. (cesty)NOV200'!AC25</f>
        <v>325700.72215848078</v>
      </c>
      <c r="AD40" s="236">
        <f>'09_A Ostat. nákl. (cesty)NOV200'!AD25</f>
        <v>300505.67782397388</v>
      </c>
      <c r="AE40" s="236">
        <f>'09_A Ostat. nákl. (cesty)NOV200'!AE25</f>
        <v>275497.90497002535</v>
      </c>
      <c r="AF40" s="236">
        <f>'09_A Ostat. nákl. (cesty)NOV200'!AF25</f>
        <v>250501.34266688465</v>
      </c>
      <c r="AG40" s="236">
        <f>'09_A Ostat. nákl. (cesty)NOV200'!AG25</f>
        <v>225691.10790219749</v>
      </c>
      <c r="AH40" s="236">
        <f>'09_A Ostat. nákl. (cesty)NOV200'!AH25</f>
        <v>200891.84367689924</v>
      </c>
      <c r="AI40" s="236">
        <f>'09_A Ostat. nákl. (cesty)NOV200'!AI25</f>
        <v>176277.96760158124</v>
      </c>
      <c r="AJ40" s="236">
        <f>'09_A Ostat. nákl. (cesty)NOV200'!AJ25</f>
        <v>151674.82379339414</v>
      </c>
      <c r="AK40" s="236">
        <f>'09_A Ostat. nákl. (cesty)NOV200'!AK25</f>
        <v>127256.13327902551</v>
      </c>
      <c r="AL40" s="236">
        <f>'09_A Ostat. nákl. (cesty)NOV200'!AL25</f>
        <v>102847.93848862388</v>
      </c>
      <c r="AM40" s="236">
        <f>'09_A Ostat. nákl. (cesty)NOV200'!AM25</f>
        <v>78623.266646968375</v>
      </c>
      <c r="AN40" s="236">
        <f>'09_A Ostat. nákl. (cesty)NOV200'!AN25</f>
        <v>54408.855705196293</v>
      </c>
      <c r="AO40" s="236">
        <f>'09_A Ostat. nákl. (cesty)NOV200'!AO25</f>
        <v>30377.04185706245</v>
      </c>
      <c r="AP40" s="236">
        <f>'09_A Ostat. nákl. (cesty)NOV200'!AP25</f>
        <v>6355.2557938463606</v>
      </c>
      <c r="AQ40" s="236">
        <f>'09_A Ostat. nákl. (cesty)NOV200'!AQ25</f>
        <v>0</v>
      </c>
    </row>
    <row r="41" spans="2:43" x14ac:dyDescent="0.2">
      <c r="B41" s="230" t="s">
        <v>391</v>
      </c>
      <c r="C41" s="235">
        <f t="shared" si="22"/>
        <v>12152535.211050987</v>
      </c>
      <c r="D41" s="236">
        <f>'09_A Ostat. nákl. (cesty)NOV200'!D31</f>
        <v>0</v>
      </c>
      <c r="E41" s="236">
        <f>'09_A Ostat. nákl. (cesty)NOV200'!E31</f>
        <v>0</v>
      </c>
      <c r="F41" s="236">
        <f>'09_A Ostat. nákl. (cesty)NOV200'!F31</f>
        <v>0</v>
      </c>
      <c r="G41" s="236">
        <f>'09_A Ostat. nákl. (cesty)NOV200'!G31</f>
        <v>280924.40287648537</v>
      </c>
      <c r="H41" s="236">
        <f>'09_A Ostat. nákl. (cesty)NOV200'!H31</f>
        <v>530438.38932511827</v>
      </c>
      <c r="I41" s="236">
        <f>'09_A Ostat. nákl. (cesty)NOV200'!I31</f>
        <v>620174.08161170175</v>
      </c>
      <c r="J41" s="236">
        <f>'09_A Ostat. nákl. (cesty)NOV200'!J31</f>
        <v>613167.46269401454</v>
      </c>
      <c r="K41" s="236">
        <f>'09_A Ostat. nákl. (cesty)NOV200'!K31</f>
        <v>602933.02643017226</v>
      </c>
      <c r="L41" s="236">
        <f>'09_A Ostat. nákl. (cesty)NOV200'!L31</f>
        <v>590279.54716541222</v>
      </c>
      <c r="M41" s="236">
        <f>'09_A Ostat. nákl. (cesty)NOV200'!M31</f>
        <v>571700.91687164258</v>
      </c>
      <c r="N41" s="236">
        <f>'09_A Ostat. nákl. (cesty)NOV200'!N31</f>
        <v>557721.95261223393</v>
      </c>
      <c r="O41" s="236">
        <f>'09_A Ostat. nákl. (cesty)NOV200'!O31</f>
        <v>543334.68166241609</v>
      </c>
      <c r="P41" s="236">
        <f>'09_A Ostat. nákl. (cesty)NOV200'!P31</f>
        <v>528676.16598500998</v>
      </c>
      <c r="Q41" s="236">
        <f>'09_A Ostat. nákl. (cesty)NOV200'!Q31</f>
        <v>513597.15091035335</v>
      </c>
      <c r="R41" s="236">
        <f>'09_A Ostat. nákl. (cesty)NOV200'!R31</f>
        <v>498237.41348929639</v>
      </c>
      <c r="S41" s="236">
        <f>'09_A Ostat. nákl. (cesty)NOV200'!S31</f>
        <v>476712.64302946976</v>
      </c>
      <c r="T41" s="236">
        <f>'09_A Ostat. nákl. (cesty)NOV200'!T31</f>
        <v>455345.40966613527</v>
      </c>
      <c r="U41" s="236">
        <f>'09_A Ostat. nákl. (cesty)NOV200'!U31</f>
        <v>433988.45428330405</v>
      </c>
      <c r="V41" s="236">
        <f>'09_A Ostat. nákl. (cesty)NOV200'!V31</f>
        <v>412788.24287453858</v>
      </c>
      <c r="W41" s="236">
        <f>'09_A Ostat. nákl. (cesty)NOV200'!W31</f>
        <v>391598.10509848606</v>
      </c>
      <c r="X41" s="236">
        <f>'09_A Ostat. nákl. (cesty)NOV200'!X31</f>
        <v>370563.92199715314</v>
      </c>
      <c r="Y41" s="236">
        <f>'09_A Ostat. nákl. (cesty)NOV200'!Y31</f>
        <v>349539.60964977153</v>
      </c>
      <c r="Z41" s="236">
        <f>'09_A Ostat. nákl. (cesty)NOV200'!Z31</f>
        <v>328670.46648295294</v>
      </c>
      <c r="AA41" s="236">
        <f>'09_A Ostat. nákl. (cesty)NOV200'!AA31</f>
        <v>307810.99265187531</v>
      </c>
      <c r="AB41" s="236">
        <f>'09_A Ostat. nákl. (cesty)NOV200'!AB31</f>
        <v>287105.90629458684</v>
      </c>
      <c r="AC41" s="236">
        <f>'09_A Ostat. nákl. (cesty)NOV200'!AC31</f>
        <v>266482.40903875703</v>
      </c>
      <c r="AD41" s="236">
        <f>'09_A Ostat. nákl. (cesty)NOV200'!AD31</f>
        <v>245868.28185597865</v>
      </c>
      <c r="AE41" s="236">
        <f>'09_A Ostat. nákl. (cesty)NOV200'!AE31</f>
        <v>225407.37679365714</v>
      </c>
      <c r="AF41" s="236">
        <f>'09_A Ostat. nákl. (cesty)NOV200'!AF31</f>
        <v>204955.64400017835</v>
      </c>
      <c r="AG41" s="236">
        <f>'09_A Ostat. nákl. (cesty)NOV200'!AG31</f>
        <v>184656.36101088885</v>
      </c>
      <c r="AH41" s="236">
        <f>'09_A Ostat. nákl. (cesty)NOV200'!AH31</f>
        <v>164366.053917463</v>
      </c>
      <c r="AI41" s="236">
        <f>'09_A Ostat. nákl. (cesty)NOV200'!AI31</f>
        <v>144227.42803765737</v>
      </c>
      <c r="AJ41" s="236">
        <f>'09_A Ostat. nákl. (cesty)NOV200'!AJ31</f>
        <v>124097.58310368611</v>
      </c>
      <c r="AK41" s="236">
        <f>'09_A Ostat. nákl. (cesty)NOV200'!AK31</f>
        <v>104118.65450102088</v>
      </c>
      <c r="AL41" s="236">
        <f>'09_A Ostat. nákl. (cesty)NOV200'!AL31</f>
        <v>84148.313308874087</v>
      </c>
      <c r="AM41" s="236">
        <f>'09_A Ostat. nákl. (cesty)NOV200'!AM31</f>
        <v>64328.127256610482</v>
      </c>
      <c r="AN41" s="236">
        <f>'09_A Ostat. nákl. (cesty)NOV200'!AN31</f>
        <v>44516.336486069697</v>
      </c>
      <c r="AO41" s="236">
        <f>'09_A Ostat. nákl. (cesty)NOV200'!AO31</f>
        <v>24853.943337596549</v>
      </c>
      <c r="AP41" s="236">
        <f>'09_A Ostat. nákl. (cesty)NOV200'!AP31</f>
        <v>5199.7547404197485</v>
      </c>
      <c r="AQ41" s="236">
        <f>'09_A Ostat. nákl. (cesty)NOV200'!AQ31</f>
        <v>0</v>
      </c>
    </row>
    <row r="42" spans="2:43" x14ac:dyDescent="0.2">
      <c r="B42" s="230" t="s">
        <v>392</v>
      </c>
      <c r="C42" s="235">
        <f t="shared" si="22"/>
        <v>30498900.854611631</v>
      </c>
      <c r="D42" s="236">
        <f>'09_A Ostat. nákl. (cesty)NOV200'!D37</f>
        <v>0</v>
      </c>
      <c r="E42" s="236">
        <f>'09_A Ostat. nákl. (cesty)NOV200'!E37</f>
        <v>0</v>
      </c>
      <c r="F42" s="236">
        <f>'09_A Ostat. nákl. (cesty)NOV200'!F37</f>
        <v>0</v>
      </c>
      <c r="G42" s="236">
        <f>'09_A Ostat. nákl. (cesty)NOV200'!G37</f>
        <v>36543.33410740539</v>
      </c>
      <c r="H42" s="236">
        <f>'09_A Ostat. nákl. (cesty)NOV200'!H37</f>
        <v>81945.324554088395</v>
      </c>
      <c r="I42" s="236">
        <f>'09_A Ostat. nákl. (cesty)NOV200'!I37</f>
        <v>119840.4022438071</v>
      </c>
      <c r="J42" s="236">
        <f>'09_A Ostat. nákl. (cesty)NOV200'!J37</f>
        <v>150390.71678580958</v>
      </c>
      <c r="K42" s="236">
        <f>'09_A Ostat. nákl. (cesty)NOV200'!K37</f>
        <v>188263.75926651771</v>
      </c>
      <c r="L42" s="236">
        <f>'09_A Ostat. nákl. (cesty)NOV200'!L37</f>
        <v>231663.75136820902</v>
      </c>
      <c r="M42" s="236">
        <f>'09_A Ostat. nákl. (cesty)NOV200'!M37</f>
        <v>288383.55724949937</v>
      </c>
      <c r="N42" s="236">
        <f>'09_A Ostat. nákl. (cesty)NOV200'!N37</f>
        <v>335036.2226622724</v>
      </c>
      <c r="O42" s="236">
        <f>'09_A Ostat. nákl. (cesty)NOV200'!O37</f>
        <v>382752.11927987344</v>
      </c>
      <c r="P42" s="236">
        <f>'09_A Ostat. nákl. (cesty)NOV200'!P37</f>
        <v>431228.22379273991</v>
      </c>
      <c r="Q42" s="236">
        <f>'09_A Ostat. nákl. (cesty)NOV200'!Q37</f>
        <v>480797.78766290419</v>
      </c>
      <c r="R42" s="236">
        <f>'09_A Ostat. nákl. (cesty)NOV200'!R37</f>
        <v>531151.78538433427</v>
      </c>
      <c r="S42" s="236">
        <f>'09_A Ostat. nákl. (cesty)NOV200'!S37</f>
        <v>575707.91655322781</v>
      </c>
      <c r="T42" s="236">
        <f>'09_A Ostat. nákl. (cesty)NOV200'!T37</f>
        <v>619920.51866962248</v>
      </c>
      <c r="U42" s="236">
        <f>'09_A Ostat. nákl. (cesty)NOV200'!U37</f>
        <v>664116.82110672572</v>
      </c>
      <c r="V42" s="236">
        <f>'09_A Ostat. nákl. (cesty)NOV200'!V37</f>
        <v>707971.33079828718</v>
      </c>
      <c r="W42" s="236">
        <f>'09_A Ostat. nákl. (cesty)NOV200'!W37</f>
        <v>751809.96878180921</v>
      </c>
      <c r="X42" s="236">
        <f>'09_A Ostat. nákl. (cesty)NOV200'!X37</f>
        <v>795308.54193565901</v>
      </c>
      <c r="Y42" s="236">
        <f>'09_A Ostat. nákl. (cesty)NOV200'!Y37</f>
        <v>838791.66819264821</v>
      </c>
      <c r="Z42" s="236">
        <f>'09_A Ostat. nákl. (cesty)NOV200'!Z37</f>
        <v>881936.44918408291</v>
      </c>
      <c r="AA42" s="236">
        <f>'09_A Ostat. nákl. (cesty)NOV200'!AA37</f>
        <v>925066.20494818524</v>
      </c>
      <c r="AB42" s="236">
        <f>'09_A Ostat. nákl. (cesty)NOV200'!AB37</f>
        <v>967859.32669825491</v>
      </c>
      <c r="AC42" s="236">
        <f>'09_A Ostat. nákl. (cesty)NOV200'!AC37</f>
        <v>1010477.5756965043</v>
      </c>
      <c r="AD42" s="236">
        <f>'09_A Ostat. nákl. (cesty)NOV200'!AD37</f>
        <v>1053081.4258000019</v>
      </c>
      <c r="AE42" s="236">
        <f>'09_A Ostat. nákl. (cesty)NOV200'!AE37</f>
        <v>1095351.1929453122</v>
      </c>
      <c r="AF42" s="236">
        <f>'09_A Ostat. nákl. (cesty)NOV200'!AF37</f>
        <v>1137606.9750925135</v>
      </c>
      <c r="AG42" s="236">
        <f>'09_A Ostat. nákl. (cesty)NOV200'!AG37</f>
        <v>1179530.3649229708</v>
      </c>
      <c r="AH42" s="236">
        <f>'09_A Ostat. nákl. (cesty)NOV200'!AH37</f>
        <v>1221440.1805740229</v>
      </c>
      <c r="AI42" s="236">
        <f>'09_A Ostat. nákl. (cesty)NOV200'!AI37</f>
        <v>1263019.2863728097</v>
      </c>
      <c r="AJ42" s="236">
        <f>'09_A Ostat. nákl. (cesty)NOV200'!AJ37</f>
        <v>1304585.2257509441</v>
      </c>
      <c r="AK42" s="236">
        <f>'09_A Ostat. nákl. (cesty)NOV200'!AK37</f>
        <v>1345822.1296026821</v>
      </c>
      <c r="AL42" s="236">
        <f>'09_A Ostat. nákl. (cesty)NOV200'!AL37</f>
        <v>1387046.2717504646</v>
      </c>
      <c r="AM42" s="236">
        <f>'09_A Ostat. nákl. (cesty)NOV200'!AM37</f>
        <v>1427943.0445972881</v>
      </c>
      <c r="AN42" s="236">
        <f>'09_A Ostat. nákl. (cesty)NOV200'!AN37</f>
        <v>1468827.4574325995</v>
      </c>
      <c r="AO42" s="236">
        <f>'09_A Ostat. nákl. (cesty)NOV200'!AO37</f>
        <v>1509386.1591299584</v>
      </c>
      <c r="AP42" s="236">
        <f>'09_A Ostat. nákl. (cesty)NOV200'!AP37</f>
        <v>1549932.8995017025</v>
      </c>
      <c r="AQ42" s="236">
        <f>'09_A Ostat. nákl. (cesty)NOV200'!AQ37</f>
        <v>1558364.9342158963</v>
      </c>
    </row>
    <row r="43" spans="2:43" x14ac:dyDescent="0.2">
      <c r="B43" s="230" t="s">
        <v>138</v>
      </c>
      <c r="C43" s="235">
        <f t="shared" si="22"/>
        <v>0</v>
      </c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6" spans="2:43" x14ac:dyDescent="0.2">
      <c r="B46" s="230"/>
      <c r="C46" s="230"/>
      <c r="D46" s="230" t="s">
        <v>10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</row>
    <row r="47" spans="2:43" x14ac:dyDescent="0.2">
      <c r="B47" s="232" t="s">
        <v>401</v>
      </c>
      <c r="C47" s="232"/>
      <c r="D47" s="230">
        <v>1</v>
      </c>
      <c r="E47" s="230">
        <v>2</v>
      </c>
      <c r="F47" s="230">
        <v>3</v>
      </c>
      <c r="G47" s="230">
        <v>4</v>
      </c>
      <c r="H47" s="230">
        <v>5</v>
      </c>
      <c r="I47" s="230">
        <v>6</v>
      </c>
      <c r="J47" s="230">
        <v>7</v>
      </c>
      <c r="K47" s="230">
        <v>8</v>
      </c>
      <c r="L47" s="230">
        <v>9</v>
      </c>
      <c r="M47" s="230">
        <v>10</v>
      </c>
      <c r="N47" s="230">
        <v>11</v>
      </c>
      <c r="O47" s="230">
        <v>12</v>
      </c>
      <c r="P47" s="230">
        <v>13</v>
      </c>
      <c r="Q47" s="230">
        <v>14</v>
      </c>
      <c r="R47" s="230">
        <v>15</v>
      </c>
      <c r="S47" s="230">
        <v>16</v>
      </c>
      <c r="T47" s="230">
        <v>17</v>
      </c>
      <c r="U47" s="230">
        <v>18</v>
      </c>
      <c r="V47" s="230">
        <v>19</v>
      </c>
      <c r="W47" s="230">
        <v>20</v>
      </c>
      <c r="X47" s="230">
        <v>21</v>
      </c>
      <c r="Y47" s="230">
        <v>22</v>
      </c>
      <c r="Z47" s="230">
        <v>23</v>
      </c>
      <c r="AA47" s="230">
        <v>24</v>
      </c>
      <c r="AB47" s="230">
        <v>25</v>
      </c>
      <c r="AC47" s="230">
        <v>26</v>
      </c>
      <c r="AD47" s="230">
        <v>27</v>
      </c>
      <c r="AE47" s="230">
        <v>28</v>
      </c>
      <c r="AF47" s="230">
        <v>29</v>
      </c>
      <c r="AG47" s="230">
        <v>30</v>
      </c>
      <c r="AH47" s="230">
        <v>31</v>
      </c>
      <c r="AI47" s="230">
        <v>32</v>
      </c>
      <c r="AJ47" s="230">
        <v>33</v>
      </c>
      <c r="AK47" s="230">
        <v>34</v>
      </c>
      <c r="AL47" s="230">
        <v>35</v>
      </c>
      <c r="AM47" s="230">
        <v>36</v>
      </c>
      <c r="AN47" s="230">
        <v>37</v>
      </c>
      <c r="AO47" s="230">
        <v>38</v>
      </c>
      <c r="AP47" s="230">
        <v>39</v>
      </c>
      <c r="AQ47" s="230">
        <v>40</v>
      </c>
    </row>
    <row r="48" spans="2:43" x14ac:dyDescent="0.2">
      <c r="B48" s="233" t="s">
        <v>34</v>
      </c>
      <c r="C48" s="234" t="s">
        <v>9</v>
      </c>
      <c r="D48" s="301">
        <f t="shared" ref="D48:AN48" si="23">D4</f>
        <v>2026</v>
      </c>
      <c r="E48" s="301">
        <f t="shared" si="23"/>
        <v>2027</v>
      </c>
      <c r="F48" s="301">
        <f t="shared" si="23"/>
        <v>2028</v>
      </c>
      <c r="G48" s="301">
        <f t="shared" si="23"/>
        <v>2029</v>
      </c>
      <c r="H48" s="301">
        <f t="shared" si="23"/>
        <v>2030</v>
      </c>
      <c r="I48" s="301">
        <f t="shared" si="23"/>
        <v>2031</v>
      </c>
      <c r="J48" s="301">
        <f t="shared" si="23"/>
        <v>2032</v>
      </c>
      <c r="K48" s="301">
        <f t="shared" si="23"/>
        <v>2033</v>
      </c>
      <c r="L48" s="301">
        <f t="shared" si="23"/>
        <v>2034</v>
      </c>
      <c r="M48" s="301">
        <f t="shared" si="23"/>
        <v>2035</v>
      </c>
      <c r="N48" s="301">
        <f t="shared" si="23"/>
        <v>2036</v>
      </c>
      <c r="O48" s="301">
        <f t="shared" si="23"/>
        <v>2037</v>
      </c>
      <c r="P48" s="301">
        <f t="shared" si="23"/>
        <v>2038</v>
      </c>
      <c r="Q48" s="301">
        <f t="shared" si="23"/>
        <v>2039</v>
      </c>
      <c r="R48" s="301">
        <f t="shared" si="23"/>
        <v>2040</v>
      </c>
      <c r="S48" s="301">
        <f t="shared" si="23"/>
        <v>2041</v>
      </c>
      <c r="T48" s="301">
        <f t="shared" si="23"/>
        <v>2042</v>
      </c>
      <c r="U48" s="301">
        <f t="shared" si="23"/>
        <v>2043</v>
      </c>
      <c r="V48" s="301">
        <f t="shared" si="23"/>
        <v>2044</v>
      </c>
      <c r="W48" s="301">
        <f t="shared" si="23"/>
        <v>2045</v>
      </c>
      <c r="X48" s="301">
        <f t="shared" si="23"/>
        <v>2046</v>
      </c>
      <c r="Y48" s="301">
        <f t="shared" si="23"/>
        <v>2047</v>
      </c>
      <c r="Z48" s="301">
        <f t="shared" si="23"/>
        <v>2048</v>
      </c>
      <c r="AA48" s="301">
        <f t="shared" si="23"/>
        <v>2049</v>
      </c>
      <c r="AB48" s="301">
        <f t="shared" si="23"/>
        <v>2050</v>
      </c>
      <c r="AC48" s="301">
        <f t="shared" si="23"/>
        <v>2051</v>
      </c>
      <c r="AD48" s="301">
        <f t="shared" si="23"/>
        <v>2052</v>
      </c>
      <c r="AE48" s="301">
        <f t="shared" si="23"/>
        <v>2053</v>
      </c>
      <c r="AF48" s="301">
        <f t="shared" si="23"/>
        <v>2054</v>
      </c>
      <c r="AG48" s="301">
        <f t="shared" si="23"/>
        <v>2055</v>
      </c>
      <c r="AH48" s="301">
        <f t="shared" si="23"/>
        <v>2056</v>
      </c>
      <c r="AI48" s="301">
        <f t="shared" si="23"/>
        <v>2057</v>
      </c>
      <c r="AJ48" s="301">
        <f t="shared" si="23"/>
        <v>2058</v>
      </c>
      <c r="AK48" s="301">
        <f t="shared" si="23"/>
        <v>2059</v>
      </c>
      <c r="AL48" s="301">
        <f t="shared" si="23"/>
        <v>2060</v>
      </c>
      <c r="AM48" s="301">
        <f t="shared" si="23"/>
        <v>2061</v>
      </c>
      <c r="AN48" s="301">
        <f t="shared" si="23"/>
        <v>2062</v>
      </c>
      <c r="AO48" s="301">
        <f t="shared" ref="AO48:AQ48" si="24">AO4</f>
        <v>2063</v>
      </c>
      <c r="AP48" s="301">
        <f t="shared" si="24"/>
        <v>2064</v>
      </c>
      <c r="AQ48" s="301">
        <f t="shared" si="24"/>
        <v>2065</v>
      </c>
    </row>
    <row r="49" spans="2:43" x14ac:dyDescent="0.2">
      <c r="B49" s="230" t="s">
        <v>390</v>
      </c>
      <c r="C49" s="235">
        <f t="shared" ref="C49:C52" si="25">SUM(D49:AQ49)</f>
        <v>0</v>
      </c>
      <c r="D49" s="236">
        <v>0</v>
      </c>
      <c r="E49" s="236">
        <v>0</v>
      </c>
      <c r="F49" s="236">
        <v>0</v>
      </c>
      <c r="G49" s="236">
        <v>0</v>
      </c>
      <c r="H49" s="236">
        <v>0</v>
      </c>
      <c r="I49" s="236">
        <v>0</v>
      </c>
      <c r="J49" s="236">
        <v>0</v>
      </c>
      <c r="K49" s="236">
        <v>0</v>
      </c>
      <c r="L49" s="236">
        <v>0</v>
      </c>
      <c r="M49" s="236">
        <v>0</v>
      </c>
      <c r="N49" s="236">
        <v>0</v>
      </c>
      <c r="O49" s="236">
        <v>0</v>
      </c>
      <c r="P49" s="236">
        <v>0</v>
      </c>
      <c r="Q49" s="236">
        <v>0</v>
      </c>
      <c r="R49" s="236">
        <v>0</v>
      </c>
      <c r="S49" s="236">
        <v>0</v>
      </c>
      <c r="T49" s="236">
        <v>0</v>
      </c>
      <c r="U49" s="236">
        <v>0</v>
      </c>
      <c r="V49" s="236">
        <v>0</v>
      </c>
      <c r="W49" s="236">
        <v>0</v>
      </c>
      <c r="X49" s="236">
        <v>0</v>
      </c>
      <c r="Y49" s="236">
        <v>0</v>
      </c>
      <c r="Z49" s="236">
        <v>0</v>
      </c>
      <c r="AA49" s="236">
        <v>0</v>
      </c>
      <c r="AB49" s="236">
        <v>0</v>
      </c>
      <c r="AC49" s="236">
        <v>0</v>
      </c>
      <c r="AD49" s="236">
        <v>0</v>
      </c>
      <c r="AE49" s="236">
        <v>0</v>
      </c>
      <c r="AF49" s="236">
        <v>0</v>
      </c>
      <c r="AG49" s="236">
        <v>0</v>
      </c>
      <c r="AH49" s="236">
        <v>0</v>
      </c>
      <c r="AI49" s="236">
        <v>0</v>
      </c>
      <c r="AJ49" s="236">
        <v>0</v>
      </c>
      <c r="AK49" s="236">
        <v>0</v>
      </c>
      <c r="AL49" s="236">
        <v>0</v>
      </c>
      <c r="AM49" s="236">
        <v>0</v>
      </c>
      <c r="AN49" s="236">
        <v>0</v>
      </c>
      <c r="AO49" s="236">
        <v>0</v>
      </c>
      <c r="AP49" s="236">
        <v>0</v>
      </c>
      <c r="AQ49" s="236">
        <v>0</v>
      </c>
    </row>
    <row r="50" spans="2:43" x14ac:dyDescent="0.2">
      <c r="B50" s="230" t="s">
        <v>391</v>
      </c>
      <c r="C50" s="235">
        <f t="shared" si="25"/>
        <v>0</v>
      </c>
      <c r="D50" s="236">
        <v>0</v>
      </c>
      <c r="E50" s="236">
        <v>0</v>
      </c>
      <c r="F50" s="236">
        <v>0</v>
      </c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0</v>
      </c>
      <c r="Q50" s="236">
        <v>0</v>
      </c>
      <c r="R50" s="236">
        <v>0</v>
      </c>
      <c r="S50" s="236">
        <v>0</v>
      </c>
      <c r="T50" s="236">
        <v>0</v>
      </c>
      <c r="U50" s="236">
        <v>0</v>
      </c>
      <c r="V50" s="236">
        <v>0</v>
      </c>
      <c r="W50" s="236">
        <v>0</v>
      </c>
      <c r="X50" s="236">
        <v>0</v>
      </c>
      <c r="Y50" s="236">
        <v>0</v>
      </c>
      <c r="Z50" s="236">
        <v>0</v>
      </c>
      <c r="AA50" s="236">
        <v>0</v>
      </c>
      <c r="AB50" s="236">
        <v>0</v>
      </c>
      <c r="AC50" s="236">
        <v>0</v>
      </c>
      <c r="AD50" s="236">
        <v>0</v>
      </c>
      <c r="AE50" s="236">
        <v>0</v>
      </c>
      <c r="AF50" s="236">
        <v>0</v>
      </c>
      <c r="AG50" s="236">
        <v>0</v>
      </c>
      <c r="AH50" s="236">
        <v>0</v>
      </c>
      <c r="AI50" s="236">
        <v>0</v>
      </c>
      <c r="AJ50" s="236">
        <v>0</v>
      </c>
      <c r="AK50" s="236">
        <v>0</v>
      </c>
      <c r="AL50" s="236">
        <v>0</v>
      </c>
      <c r="AM50" s="236">
        <v>0</v>
      </c>
      <c r="AN50" s="236">
        <v>0</v>
      </c>
      <c r="AO50" s="236">
        <v>0</v>
      </c>
      <c r="AP50" s="236">
        <v>0</v>
      </c>
      <c r="AQ50" s="236">
        <v>0</v>
      </c>
    </row>
    <row r="51" spans="2:43" x14ac:dyDescent="0.2">
      <c r="B51" s="230" t="s">
        <v>392</v>
      </c>
      <c r="C51" s="235">
        <f t="shared" si="25"/>
        <v>0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236">
        <v>0</v>
      </c>
      <c r="S51" s="236">
        <v>0</v>
      </c>
      <c r="T51" s="236">
        <v>0</v>
      </c>
      <c r="U51" s="236">
        <v>0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236">
        <v>0</v>
      </c>
      <c r="AC51" s="236">
        <v>0</v>
      </c>
      <c r="AD51" s="236">
        <v>0</v>
      </c>
      <c r="AE51" s="236">
        <v>0</v>
      </c>
      <c r="AF51" s="236">
        <v>0</v>
      </c>
      <c r="AG51" s="236">
        <v>0</v>
      </c>
      <c r="AH51" s="236">
        <v>0</v>
      </c>
      <c r="AI51" s="236">
        <v>0</v>
      </c>
      <c r="AJ51" s="236">
        <v>0</v>
      </c>
      <c r="AK51" s="236">
        <v>0</v>
      </c>
      <c r="AL51" s="236">
        <v>0</v>
      </c>
      <c r="AM51" s="236">
        <v>0</v>
      </c>
      <c r="AN51" s="236">
        <v>0</v>
      </c>
      <c r="AO51" s="236">
        <v>0</v>
      </c>
      <c r="AP51" s="236">
        <v>0</v>
      </c>
      <c r="AQ51" s="236">
        <v>0</v>
      </c>
    </row>
    <row r="52" spans="2:43" x14ac:dyDescent="0.2">
      <c r="B52" s="230" t="s">
        <v>138</v>
      </c>
      <c r="C52" s="235">
        <f t="shared" si="25"/>
        <v>0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</row>
    <row r="55" spans="2:43" x14ac:dyDescent="0.2">
      <c r="B55" s="230"/>
      <c r="C55" s="230"/>
      <c r="D55" s="230" t="s">
        <v>10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</row>
    <row r="56" spans="2:43" x14ac:dyDescent="0.2">
      <c r="B56" s="232" t="s">
        <v>402</v>
      </c>
      <c r="C56" s="232"/>
      <c r="D56" s="230">
        <v>1</v>
      </c>
      <c r="E56" s="230">
        <v>2</v>
      </c>
      <c r="F56" s="230">
        <v>3</v>
      </c>
      <c r="G56" s="230">
        <v>4</v>
      </c>
      <c r="H56" s="230">
        <v>5</v>
      </c>
      <c r="I56" s="230">
        <v>6</v>
      </c>
      <c r="J56" s="230">
        <v>7</v>
      </c>
      <c r="K56" s="230">
        <v>8</v>
      </c>
      <c r="L56" s="230">
        <v>9</v>
      </c>
      <c r="M56" s="230">
        <v>10</v>
      </c>
      <c r="N56" s="230">
        <v>11</v>
      </c>
      <c r="O56" s="230">
        <v>12</v>
      </c>
      <c r="P56" s="230">
        <v>13</v>
      </c>
      <c r="Q56" s="230">
        <v>14</v>
      </c>
      <c r="R56" s="230">
        <v>15</v>
      </c>
      <c r="S56" s="230">
        <v>16</v>
      </c>
      <c r="T56" s="230">
        <v>17</v>
      </c>
      <c r="U56" s="230">
        <v>18</v>
      </c>
      <c r="V56" s="230">
        <v>19</v>
      </c>
      <c r="W56" s="230">
        <v>20</v>
      </c>
      <c r="X56" s="230">
        <v>21</v>
      </c>
      <c r="Y56" s="230">
        <v>22</v>
      </c>
      <c r="Z56" s="230">
        <v>23</v>
      </c>
      <c r="AA56" s="230">
        <v>24</v>
      </c>
      <c r="AB56" s="230">
        <v>25</v>
      </c>
      <c r="AC56" s="230">
        <v>26</v>
      </c>
      <c r="AD56" s="230">
        <v>27</v>
      </c>
      <c r="AE56" s="230">
        <v>28</v>
      </c>
      <c r="AF56" s="230">
        <v>29</v>
      </c>
      <c r="AG56" s="230">
        <v>30</v>
      </c>
      <c r="AH56" s="230">
        <v>31</v>
      </c>
      <c r="AI56" s="230">
        <v>32</v>
      </c>
      <c r="AJ56" s="230">
        <v>33</v>
      </c>
      <c r="AK56" s="230">
        <v>34</v>
      </c>
      <c r="AL56" s="230">
        <v>35</v>
      </c>
      <c r="AM56" s="230">
        <v>36</v>
      </c>
      <c r="AN56" s="230">
        <v>37</v>
      </c>
      <c r="AO56" s="230">
        <v>38</v>
      </c>
      <c r="AP56" s="230">
        <v>39</v>
      </c>
      <c r="AQ56" s="230">
        <v>40</v>
      </c>
    </row>
    <row r="57" spans="2:43" x14ac:dyDescent="0.2">
      <c r="B57" s="233" t="s">
        <v>63</v>
      </c>
      <c r="C57" s="234" t="s">
        <v>9</v>
      </c>
      <c r="D57" s="301">
        <f t="shared" ref="D57:AN57" si="26">D4</f>
        <v>2026</v>
      </c>
      <c r="E57" s="301">
        <f t="shared" si="26"/>
        <v>2027</v>
      </c>
      <c r="F57" s="301">
        <f t="shared" si="26"/>
        <v>2028</v>
      </c>
      <c r="G57" s="301">
        <f t="shared" si="26"/>
        <v>2029</v>
      </c>
      <c r="H57" s="301">
        <f t="shared" si="26"/>
        <v>2030</v>
      </c>
      <c r="I57" s="301">
        <f t="shared" si="26"/>
        <v>2031</v>
      </c>
      <c r="J57" s="301">
        <f t="shared" si="26"/>
        <v>2032</v>
      </c>
      <c r="K57" s="301">
        <f t="shared" si="26"/>
        <v>2033</v>
      </c>
      <c r="L57" s="301">
        <f t="shared" si="26"/>
        <v>2034</v>
      </c>
      <c r="M57" s="301">
        <f t="shared" si="26"/>
        <v>2035</v>
      </c>
      <c r="N57" s="301">
        <f t="shared" si="26"/>
        <v>2036</v>
      </c>
      <c r="O57" s="301">
        <f t="shared" si="26"/>
        <v>2037</v>
      </c>
      <c r="P57" s="301">
        <f t="shared" si="26"/>
        <v>2038</v>
      </c>
      <c r="Q57" s="301">
        <f t="shared" si="26"/>
        <v>2039</v>
      </c>
      <c r="R57" s="301">
        <f t="shared" si="26"/>
        <v>2040</v>
      </c>
      <c r="S57" s="301">
        <f t="shared" si="26"/>
        <v>2041</v>
      </c>
      <c r="T57" s="301">
        <f t="shared" si="26"/>
        <v>2042</v>
      </c>
      <c r="U57" s="301">
        <f t="shared" si="26"/>
        <v>2043</v>
      </c>
      <c r="V57" s="301">
        <f t="shared" si="26"/>
        <v>2044</v>
      </c>
      <c r="W57" s="301">
        <f t="shared" si="26"/>
        <v>2045</v>
      </c>
      <c r="X57" s="301">
        <f t="shared" si="26"/>
        <v>2046</v>
      </c>
      <c r="Y57" s="301">
        <f t="shared" si="26"/>
        <v>2047</v>
      </c>
      <c r="Z57" s="301">
        <f t="shared" si="26"/>
        <v>2048</v>
      </c>
      <c r="AA57" s="301">
        <f t="shared" si="26"/>
        <v>2049</v>
      </c>
      <c r="AB57" s="301">
        <f t="shared" si="26"/>
        <v>2050</v>
      </c>
      <c r="AC57" s="301">
        <f t="shared" si="26"/>
        <v>2051</v>
      </c>
      <c r="AD57" s="301">
        <f t="shared" si="26"/>
        <v>2052</v>
      </c>
      <c r="AE57" s="301">
        <f t="shared" si="26"/>
        <v>2053</v>
      </c>
      <c r="AF57" s="301">
        <f t="shared" si="26"/>
        <v>2054</v>
      </c>
      <c r="AG57" s="301">
        <f t="shared" si="26"/>
        <v>2055</v>
      </c>
      <c r="AH57" s="301">
        <f t="shared" si="26"/>
        <v>2056</v>
      </c>
      <c r="AI57" s="301">
        <f t="shared" si="26"/>
        <v>2057</v>
      </c>
      <c r="AJ57" s="301">
        <f t="shared" si="26"/>
        <v>2058</v>
      </c>
      <c r="AK57" s="301">
        <f t="shared" si="26"/>
        <v>2059</v>
      </c>
      <c r="AL57" s="301">
        <f t="shared" si="26"/>
        <v>2060</v>
      </c>
      <c r="AM57" s="301">
        <f t="shared" si="26"/>
        <v>2061</v>
      </c>
      <c r="AN57" s="301">
        <f t="shared" si="26"/>
        <v>2062</v>
      </c>
      <c r="AO57" s="301">
        <f t="shared" ref="AO57:AQ57" si="27">AO4</f>
        <v>2063</v>
      </c>
      <c r="AP57" s="301">
        <f t="shared" si="27"/>
        <v>2064</v>
      </c>
      <c r="AQ57" s="301">
        <f t="shared" si="27"/>
        <v>2065</v>
      </c>
    </row>
    <row r="58" spans="2:43" x14ac:dyDescent="0.2">
      <c r="B58" s="230" t="s">
        <v>390</v>
      </c>
      <c r="C58" s="235">
        <f t="shared" ref="C58:C61" si="28">SUM(D58:AQ58)</f>
        <v>14853098.591284538</v>
      </c>
      <c r="D58" s="235">
        <f t="shared" ref="D58:AN61" si="29">D40-D49</f>
        <v>0</v>
      </c>
      <c r="E58" s="235">
        <f t="shared" si="29"/>
        <v>0</v>
      </c>
      <c r="F58" s="235">
        <f t="shared" si="29"/>
        <v>0</v>
      </c>
      <c r="G58" s="235">
        <f t="shared" si="29"/>
        <v>343352.04796014883</v>
      </c>
      <c r="H58" s="235">
        <f t="shared" si="29"/>
        <v>648313.58695292252</v>
      </c>
      <c r="I58" s="235">
        <f t="shared" si="29"/>
        <v>757990.54419208004</v>
      </c>
      <c r="J58" s="235">
        <f t="shared" si="29"/>
        <v>749426.89884824003</v>
      </c>
      <c r="K58" s="235">
        <f t="shared" si="29"/>
        <v>736918.14341465512</v>
      </c>
      <c r="L58" s="235">
        <f t="shared" si="29"/>
        <v>721452.77986883733</v>
      </c>
      <c r="M58" s="235">
        <f t="shared" si="29"/>
        <v>698745.56506534095</v>
      </c>
      <c r="N58" s="235">
        <f t="shared" si="29"/>
        <v>681660.16430384154</v>
      </c>
      <c r="O58" s="235">
        <f t="shared" si="29"/>
        <v>664075.72203184187</v>
      </c>
      <c r="P58" s="235">
        <f t="shared" si="29"/>
        <v>646159.75842612318</v>
      </c>
      <c r="Q58" s="235">
        <f t="shared" si="29"/>
        <v>627729.85111265408</v>
      </c>
      <c r="R58" s="235">
        <f t="shared" si="29"/>
        <v>608956.83870914008</v>
      </c>
      <c r="S58" s="235">
        <f t="shared" si="29"/>
        <v>582648.78592490754</v>
      </c>
      <c r="T58" s="235">
        <f t="shared" si="29"/>
        <v>556533.278480832</v>
      </c>
      <c r="U58" s="235">
        <f t="shared" si="29"/>
        <v>530430.33301292709</v>
      </c>
      <c r="V58" s="235">
        <f t="shared" si="29"/>
        <v>504518.96351332491</v>
      </c>
      <c r="W58" s="235">
        <f t="shared" si="29"/>
        <v>478619.90623148304</v>
      </c>
      <c r="X58" s="235">
        <f t="shared" si="29"/>
        <v>452911.46021874278</v>
      </c>
      <c r="Y58" s="235">
        <f t="shared" si="29"/>
        <v>427215.07846083184</v>
      </c>
      <c r="Z58" s="235">
        <f t="shared" si="29"/>
        <v>401708.34792360925</v>
      </c>
      <c r="AA58" s="235">
        <f t="shared" si="29"/>
        <v>376213.43546340318</v>
      </c>
      <c r="AB58" s="235">
        <f t="shared" si="29"/>
        <v>350907.21880449506</v>
      </c>
      <c r="AC58" s="235">
        <f t="shared" si="29"/>
        <v>325700.72215848078</v>
      </c>
      <c r="AD58" s="235">
        <f t="shared" si="29"/>
        <v>300505.67782397388</v>
      </c>
      <c r="AE58" s="235">
        <f t="shared" si="29"/>
        <v>275497.90497002535</v>
      </c>
      <c r="AF58" s="235">
        <f t="shared" si="29"/>
        <v>250501.34266688465</v>
      </c>
      <c r="AG58" s="235">
        <f t="shared" si="29"/>
        <v>225691.10790219749</v>
      </c>
      <c r="AH58" s="235">
        <f t="shared" si="29"/>
        <v>200891.84367689924</v>
      </c>
      <c r="AI58" s="235">
        <f t="shared" si="29"/>
        <v>176277.96760158124</v>
      </c>
      <c r="AJ58" s="235">
        <f t="shared" si="29"/>
        <v>151674.82379339414</v>
      </c>
      <c r="AK58" s="235">
        <f t="shared" si="29"/>
        <v>127256.13327902551</v>
      </c>
      <c r="AL58" s="235">
        <f t="shared" si="29"/>
        <v>102847.93848862388</v>
      </c>
      <c r="AM58" s="235">
        <f t="shared" si="29"/>
        <v>78623.266646968375</v>
      </c>
      <c r="AN58" s="235">
        <f t="shared" si="29"/>
        <v>54408.855705196293</v>
      </c>
      <c r="AO58" s="235">
        <f t="shared" ref="AO58:AQ58" si="30">AO40-AO49</f>
        <v>30377.04185706245</v>
      </c>
      <c r="AP58" s="235">
        <f t="shared" si="30"/>
        <v>6355.2557938463606</v>
      </c>
      <c r="AQ58" s="235">
        <f t="shared" si="30"/>
        <v>0</v>
      </c>
    </row>
    <row r="59" spans="2:43" x14ac:dyDescent="0.2">
      <c r="B59" s="230" t="s">
        <v>391</v>
      </c>
      <c r="C59" s="235">
        <f t="shared" si="28"/>
        <v>12152535.211050987</v>
      </c>
      <c r="D59" s="235">
        <f t="shared" si="29"/>
        <v>0</v>
      </c>
      <c r="E59" s="235">
        <f t="shared" si="29"/>
        <v>0</v>
      </c>
      <c r="F59" s="235">
        <f t="shared" si="29"/>
        <v>0</v>
      </c>
      <c r="G59" s="235">
        <f t="shared" si="29"/>
        <v>280924.40287648537</v>
      </c>
      <c r="H59" s="235">
        <f t="shared" si="29"/>
        <v>530438.38932511827</v>
      </c>
      <c r="I59" s="235">
        <f t="shared" si="29"/>
        <v>620174.08161170175</v>
      </c>
      <c r="J59" s="235">
        <f t="shared" si="29"/>
        <v>613167.46269401454</v>
      </c>
      <c r="K59" s="235">
        <f t="shared" si="29"/>
        <v>602933.02643017226</v>
      </c>
      <c r="L59" s="235">
        <f t="shared" si="29"/>
        <v>590279.54716541222</v>
      </c>
      <c r="M59" s="235">
        <f t="shared" si="29"/>
        <v>571700.91687164258</v>
      </c>
      <c r="N59" s="235">
        <f t="shared" si="29"/>
        <v>557721.95261223393</v>
      </c>
      <c r="O59" s="235">
        <f t="shared" si="29"/>
        <v>543334.68166241609</v>
      </c>
      <c r="P59" s="235">
        <f t="shared" si="29"/>
        <v>528676.16598500998</v>
      </c>
      <c r="Q59" s="235">
        <f t="shared" si="29"/>
        <v>513597.15091035335</v>
      </c>
      <c r="R59" s="235">
        <f t="shared" si="29"/>
        <v>498237.41348929639</v>
      </c>
      <c r="S59" s="235">
        <f t="shared" si="29"/>
        <v>476712.64302946976</v>
      </c>
      <c r="T59" s="235">
        <f t="shared" si="29"/>
        <v>455345.40966613527</v>
      </c>
      <c r="U59" s="235">
        <f t="shared" si="29"/>
        <v>433988.45428330405</v>
      </c>
      <c r="V59" s="235">
        <f t="shared" si="29"/>
        <v>412788.24287453858</v>
      </c>
      <c r="W59" s="235">
        <f t="shared" si="29"/>
        <v>391598.10509848606</v>
      </c>
      <c r="X59" s="235">
        <f t="shared" si="29"/>
        <v>370563.92199715314</v>
      </c>
      <c r="Y59" s="235">
        <f t="shared" si="29"/>
        <v>349539.60964977153</v>
      </c>
      <c r="Z59" s="235">
        <f t="shared" si="29"/>
        <v>328670.46648295294</v>
      </c>
      <c r="AA59" s="235">
        <f t="shared" si="29"/>
        <v>307810.99265187531</v>
      </c>
      <c r="AB59" s="235">
        <f t="shared" si="29"/>
        <v>287105.90629458684</v>
      </c>
      <c r="AC59" s="235">
        <f t="shared" si="29"/>
        <v>266482.40903875703</v>
      </c>
      <c r="AD59" s="235">
        <f t="shared" si="29"/>
        <v>245868.28185597865</v>
      </c>
      <c r="AE59" s="235">
        <f t="shared" si="29"/>
        <v>225407.37679365714</v>
      </c>
      <c r="AF59" s="235">
        <f t="shared" si="29"/>
        <v>204955.64400017835</v>
      </c>
      <c r="AG59" s="235">
        <f t="shared" si="29"/>
        <v>184656.36101088885</v>
      </c>
      <c r="AH59" s="235">
        <f t="shared" si="29"/>
        <v>164366.053917463</v>
      </c>
      <c r="AI59" s="235">
        <f t="shared" si="29"/>
        <v>144227.42803765737</v>
      </c>
      <c r="AJ59" s="235">
        <f t="shared" si="29"/>
        <v>124097.58310368611</v>
      </c>
      <c r="AK59" s="235">
        <f t="shared" si="29"/>
        <v>104118.65450102088</v>
      </c>
      <c r="AL59" s="235">
        <f t="shared" si="29"/>
        <v>84148.313308874087</v>
      </c>
      <c r="AM59" s="235">
        <f t="shared" si="29"/>
        <v>64328.127256610482</v>
      </c>
      <c r="AN59" s="235">
        <f t="shared" si="29"/>
        <v>44516.336486069697</v>
      </c>
      <c r="AO59" s="235">
        <f t="shared" ref="AO59:AQ59" si="31">AO41-AO50</f>
        <v>24853.943337596549</v>
      </c>
      <c r="AP59" s="235">
        <f t="shared" si="31"/>
        <v>5199.7547404197485</v>
      </c>
      <c r="AQ59" s="235">
        <f t="shared" si="31"/>
        <v>0</v>
      </c>
    </row>
    <row r="60" spans="2:43" x14ac:dyDescent="0.2">
      <c r="B60" s="230" t="s">
        <v>392</v>
      </c>
      <c r="C60" s="235">
        <f t="shared" si="28"/>
        <v>30498900.854611631</v>
      </c>
      <c r="D60" s="235">
        <f t="shared" si="29"/>
        <v>0</v>
      </c>
      <c r="E60" s="235">
        <f t="shared" si="29"/>
        <v>0</v>
      </c>
      <c r="F60" s="235">
        <f t="shared" si="29"/>
        <v>0</v>
      </c>
      <c r="G60" s="235">
        <f t="shared" si="29"/>
        <v>36543.33410740539</v>
      </c>
      <c r="H60" s="235">
        <f t="shared" si="29"/>
        <v>81945.324554088395</v>
      </c>
      <c r="I60" s="235">
        <f t="shared" si="29"/>
        <v>119840.4022438071</v>
      </c>
      <c r="J60" s="235">
        <f t="shared" si="29"/>
        <v>150390.71678580958</v>
      </c>
      <c r="K60" s="235">
        <f t="shared" si="29"/>
        <v>188263.75926651771</v>
      </c>
      <c r="L60" s="235">
        <f t="shared" si="29"/>
        <v>231663.75136820902</v>
      </c>
      <c r="M60" s="235">
        <f t="shared" si="29"/>
        <v>288383.55724949937</v>
      </c>
      <c r="N60" s="235">
        <f t="shared" si="29"/>
        <v>335036.2226622724</v>
      </c>
      <c r="O60" s="235">
        <f t="shared" si="29"/>
        <v>382752.11927987344</v>
      </c>
      <c r="P60" s="235">
        <f t="shared" si="29"/>
        <v>431228.22379273991</v>
      </c>
      <c r="Q60" s="235">
        <f t="shared" si="29"/>
        <v>480797.78766290419</v>
      </c>
      <c r="R60" s="235">
        <f t="shared" si="29"/>
        <v>531151.78538433427</v>
      </c>
      <c r="S60" s="235">
        <f t="shared" si="29"/>
        <v>575707.91655322781</v>
      </c>
      <c r="T60" s="235">
        <f t="shared" si="29"/>
        <v>619920.51866962248</v>
      </c>
      <c r="U60" s="235">
        <f t="shared" si="29"/>
        <v>664116.82110672572</v>
      </c>
      <c r="V60" s="235">
        <f t="shared" si="29"/>
        <v>707971.33079828718</v>
      </c>
      <c r="W60" s="235">
        <f t="shared" si="29"/>
        <v>751809.96878180921</v>
      </c>
      <c r="X60" s="235">
        <f t="shared" si="29"/>
        <v>795308.54193565901</v>
      </c>
      <c r="Y60" s="235">
        <f t="shared" si="29"/>
        <v>838791.66819264821</v>
      </c>
      <c r="Z60" s="235">
        <f t="shared" si="29"/>
        <v>881936.44918408291</v>
      </c>
      <c r="AA60" s="235">
        <f t="shared" si="29"/>
        <v>925066.20494818524</v>
      </c>
      <c r="AB60" s="235">
        <f t="shared" si="29"/>
        <v>967859.32669825491</v>
      </c>
      <c r="AC60" s="235">
        <f t="shared" si="29"/>
        <v>1010477.5756965043</v>
      </c>
      <c r="AD60" s="235">
        <f t="shared" si="29"/>
        <v>1053081.4258000019</v>
      </c>
      <c r="AE60" s="235">
        <f t="shared" si="29"/>
        <v>1095351.1929453122</v>
      </c>
      <c r="AF60" s="235">
        <f t="shared" si="29"/>
        <v>1137606.9750925135</v>
      </c>
      <c r="AG60" s="235">
        <f t="shared" si="29"/>
        <v>1179530.3649229708</v>
      </c>
      <c r="AH60" s="235">
        <f t="shared" si="29"/>
        <v>1221440.1805740229</v>
      </c>
      <c r="AI60" s="235">
        <f t="shared" si="29"/>
        <v>1263019.2863728097</v>
      </c>
      <c r="AJ60" s="235">
        <f t="shared" si="29"/>
        <v>1304585.2257509441</v>
      </c>
      <c r="AK60" s="235">
        <f t="shared" si="29"/>
        <v>1345822.1296026821</v>
      </c>
      <c r="AL60" s="235">
        <f t="shared" si="29"/>
        <v>1387046.2717504646</v>
      </c>
      <c r="AM60" s="235">
        <f t="shared" si="29"/>
        <v>1427943.0445972881</v>
      </c>
      <c r="AN60" s="235">
        <f t="shared" si="29"/>
        <v>1468827.4574325995</v>
      </c>
      <c r="AO60" s="235">
        <f t="shared" ref="AO60:AQ60" si="32">AO42-AO51</f>
        <v>1509386.1591299584</v>
      </c>
      <c r="AP60" s="235">
        <f t="shared" si="32"/>
        <v>1549932.8995017025</v>
      </c>
      <c r="AQ60" s="235">
        <f t="shared" si="32"/>
        <v>1558364.9342158963</v>
      </c>
    </row>
    <row r="61" spans="2:43" x14ac:dyDescent="0.2">
      <c r="B61" s="230" t="s">
        <v>138</v>
      </c>
      <c r="C61" s="235">
        <f t="shared" si="28"/>
        <v>0</v>
      </c>
      <c r="D61" s="235">
        <f t="shared" si="29"/>
        <v>0</v>
      </c>
      <c r="E61" s="235">
        <f t="shared" si="29"/>
        <v>0</v>
      </c>
      <c r="F61" s="235">
        <f t="shared" si="29"/>
        <v>0</v>
      </c>
      <c r="G61" s="235">
        <f t="shared" si="29"/>
        <v>0</v>
      </c>
      <c r="H61" s="235">
        <f t="shared" si="29"/>
        <v>0</v>
      </c>
      <c r="I61" s="235">
        <f t="shared" si="29"/>
        <v>0</v>
      </c>
      <c r="J61" s="235">
        <f t="shared" si="29"/>
        <v>0</v>
      </c>
      <c r="K61" s="235">
        <f t="shared" si="29"/>
        <v>0</v>
      </c>
      <c r="L61" s="235">
        <f t="shared" si="29"/>
        <v>0</v>
      </c>
      <c r="M61" s="235">
        <f t="shared" si="29"/>
        <v>0</v>
      </c>
      <c r="N61" s="235">
        <f t="shared" si="29"/>
        <v>0</v>
      </c>
      <c r="O61" s="235">
        <f t="shared" si="29"/>
        <v>0</v>
      </c>
      <c r="P61" s="235">
        <f t="shared" si="29"/>
        <v>0</v>
      </c>
      <c r="Q61" s="235">
        <f t="shared" si="29"/>
        <v>0</v>
      </c>
      <c r="R61" s="235">
        <f t="shared" si="29"/>
        <v>0</v>
      </c>
      <c r="S61" s="235">
        <f t="shared" si="29"/>
        <v>0</v>
      </c>
      <c r="T61" s="235">
        <f t="shared" si="29"/>
        <v>0</v>
      </c>
      <c r="U61" s="235">
        <f t="shared" si="29"/>
        <v>0</v>
      </c>
      <c r="V61" s="235">
        <f t="shared" si="29"/>
        <v>0</v>
      </c>
      <c r="W61" s="235">
        <f t="shared" si="29"/>
        <v>0</v>
      </c>
      <c r="X61" s="235">
        <f t="shared" si="29"/>
        <v>0</v>
      </c>
      <c r="Y61" s="235">
        <f t="shared" si="29"/>
        <v>0</v>
      </c>
      <c r="Z61" s="235">
        <f t="shared" si="29"/>
        <v>0</v>
      </c>
      <c r="AA61" s="235">
        <f t="shared" si="29"/>
        <v>0</v>
      </c>
      <c r="AB61" s="235">
        <f t="shared" si="29"/>
        <v>0</v>
      </c>
      <c r="AC61" s="235">
        <f t="shared" si="29"/>
        <v>0</v>
      </c>
      <c r="AD61" s="235">
        <f t="shared" si="29"/>
        <v>0</v>
      </c>
      <c r="AE61" s="235">
        <f t="shared" si="29"/>
        <v>0</v>
      </c>
      <c r="AF61" s="235">
        <f t="shared" si="29"/>
        <v>0</v>
      </c>
      <c r="AG61" s="235">
        <f t="shared" si="29"/>
        <v>0</v>
      </c>
      <c r="AH61" s="235">
        <f t="shared" si="29"/>
        <v>0</v>
      </c>
      <c r="AI61" s="235">
        <f t="shared" si="29"/>
        <v>0</v>
      </c>
      <c r="AJ61" s="235">
        <f t="shared" si="29"/>
        <v>0</v>
      </c>
      <c r="AK61" s="235">
        <f t="shared" si="29"/>
        <v>0</v>
      </c>
      <c r="AL61" s="235">
        <f t="shared" si="29"/>
        <v>0</v>
      </c>
      <c r="AM61" s="235">
        <f t="shared" si="29"/>
        <v>0</v>
      </c>
      <c r="AN61" s="235">
        <f t="shared" si="29"/>
        <v>0</v>
      </c>
      <c r="AO61" s="235">
        <f t="shared" ref="AO61:AQ61" si="33">AO43-AO52</f>
        <v>0</v>
      </c>
      <c r="AP61" s="235">
        <f t="shared" si="33"/>
        <v>0</v>
      </c>
      <c r="AQ61" s="235">
        <f t="shared" si="33"/>
        <v>0</v>
      </c>
    </row>
    <row r="62" spans="2:43" x14ac:dyDescent="0.2"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</row>
    <row r="64" spans="2:43" ht="22.5" x14ac:dyDescent="0.2">
      <c r="B64" s="254" t="s">
        <v>403</v>
      </c>
      <c r="C64" s="249" t="s">
        <v>9</v>
      </c>
    </row>
    <row r="65" spans="2:43" x14ac:dyDescent="0.2">
      <c r="B65" s="245" t="s">
        <v>390</v>
      </c>
      <c r="C65" s="235">
        <f t="shared" ref="C65:C69" si="34">SUM(D65:AQ65)</f>
        <v>816920.42252064985</v>
      </c>
      <c r="D65" s="235">
        <f>D58*Parametre!$C$187</f>
        <v>0</v>
      </c>
      <c r="E65" s="235">
        <f>E58*Parametre!$C$187</f>
        <v>0</v>
      </c>
      <c r="F65" s="235">
        <f>F58*Parametre!$C$187</f>
        <v>0</v>
      </c>
      <c r="G65" s="235">
        <f>G58*Parametre!$C$187</f>
        <v>18884.362637808186</v>
      </c>
      <c r="H65" s="235">
        <f>H58*Parametre!$C$187</f>
        <v>35657.247282410739</v>
      </c>
      <c r="I65" s="235">
        <f>I58*Parametre!$C$187</f>
        <v>41689.479930564405</v>
      </c>
      <c r="J65" s="235">
        <f>J58*Parametre!$C$187</f>
        <v>41218.479436653201</v>
      </c>
      <c r="K65" s="235">
        <f>K58*Parametre!$C$187</f>
        <v>40530.497887806028</v>
      </c>
      <c r="L65" s="235">
        <f>L58*Parametre!$C$187</f>
        <v>39679.902892786056</v>
      </c>
      <c r="M65" s="235">
        <f>M58*Parametre!$C$187</f>
        <v>38431.006078593753</v>
      </c>
      <c r="N65" s="235">
        <f>N58*Parametre!$C$187</f>
        <v>37491.309036711282</v>
      </c>
      <c r="O65" s="235">
        <f>O58*Parametre!$C$187</f>
        <v>36524.164711751306</v>
      </c>
      <c r="P65" s="235">
        <f>P58*Parametre!$C$187</f>
        <v>35538.786713436777</v>
      </c>
      <c r="Q65" s="235">
        <f>Q58*Parametre!$C$187</f>
        <v>34525.141811195972</v>
      </c>
      <c r="R65" s="235">
        <f>R58*Parametre!$C$187</f>
        <v>33492.626129002703</v>
      </c>
      <c r="S65" s="235">
        <f>S58*Parametre!$C$187</f>
        <v>32045.683225869914</v>
      </c>
      <c r="T65" s="235">
        <f>T58*Parametre!$C$187</f>
        <v>30609.330316445761</v>
      </c>
      <c r="U65" s="235">
        <f>U58*Parametre!$C$187</f>
        <v>29173.668315710991</v>
      </c>
      <c r="V65" s="235">
        <f>V58*Parametre!$C$187</f>
        <v>27748.54299323287</v>
      </c>
      <c r="W65" s="235">
        <f>W58*Parametre!$C$187</f>
        <v>26324.094842731567</v>
      </c>
      <c r="X65" s="235">
        <f>X58*Parametre!$C$187</f>
        <v>24910.130312030855</v>
      </c>
      <c r="Y65" s="235">
        <f>Y58*Parametre!$C$187</f>
        <v>23496.829315345753</v>
      </c>
      <c r="Z65" s="235">
        <f>Z58*Parametre!$C$187</f>
        <v>22093.959135798508</v>
      </c>
      <c r="AA65" s="235">
        <f>AA58*Parametre!$C$187</f>
        <v>20691.738950487175</v>
      </c>
      <c r="AB65" s="235">
        <f>AB58*Parametre!$C$187</f>
        <v>19299.897034247228</v>
      </c>
      <c r="AC65" s="235">
        <f>AC58*Parametre!$C$187</f>
        <v>17913.539718716442</v>
      </c>
      <c r="AD65" s="235">
        <f>AD58*Parametre!$C$187</f>
        <v>16527.812280318565</v>
      </c>
      <c r="AE65" s="235">
        <f>AE58*Parametre!$C$187</f>
        <v>15152.384773351394</v>
      </c>
      <c r="AF65" s="235">
        <f>AF58*Parametre!$C$187</f>
        <v>13777.573846678655</v>
      </c>
      <c r="AG65" s="235">
        <f>AG58*Parametre!$C$187</f>
        <v>12413.010934620861</v>
      </c>
      <c r="AH65" s="235">
        <f>AH58*Parametre!$C$187</f>
        <v>11049.051402229457</v>
      </c>
      <c r="AI65" s="235">
        <f>AI58*Parametre!$C$187</f>
        <v>9695.2882180869692</v>
      </c>
      <c r="AJ65" s="235">
        <f>AJ58*Parametre!$C$187</f>
        <v>8342.1153086366776</v>
      </c>
      <c r="AK65" s="235">
        <f>AK58*Parametre!$C$187</f>
        <v>6999.0873303464032</v>
      </c>
      <c r="AL65" s="235">
        <f>AL58*Parametre!$C$187</f>
        <v>5656.6366168743134</v>
      </c>
      <c r="AM65" s="235">
        <f>AM58*Parametre!$C$187</f>
        <v>4324.2796655832608</v>
      </c>
      <c r="AN65" s="235">
        <f>AN58*Parametre!$C$187</f>
        <v>2992.4870637857962</v>
      </c>
      <c r="AO65" s="235">
        <f>AO58*Parametre!$C$187</f>
        <v>1670.7373021384346</v>
      </c>
      <c r="AP65" s="235">
        <f>AP58*Parametre!$C$187</f>
        <v>349.53906866154983</v>
      </c>
      <c r="AQ65" s="235">
        <f>AQ58*Parametre!$C$187</f>
        <v>0</v>
      </c>
    </row>
    <row r="66" spans="2:43" x14ac:dyDescent="0.2">
      <c r="B66" s="245" t="s">
        <v>391</v>
      </c>
      <c r="C66" s="235">
        <f t="shared" si="34"/>
        <v>546864.08449729427</v>
      </c>
      <c r="D66" s="235">
        <f>D59*Parametre!$C$188</f>
        <v>0</v>
      </c>
      <c r="E66" s="235">
        <f>E59*Parametre!$C$188</f>
        <v>0</v>
      </c>
      <c r="F66" s="235">
        <f>F59*Parametre!$C$188</f>
        <v>0</v>
      </c>
      <c r="G66" s="235">
        <f>G59*Parametre!$C$188</f>
        <v>12641.598129441842</v>
      </c>
      <c r="H66" s="235">
        <f>H59*Parametre!$C$188</f>
        <v>23869.72751963032</v>
      </c>
      <c r="I66" s="235">
        <f>I59*Parametre!$C$188</f>
        <v>27907.833672526576</v>
      </c>
      <c r="J66" s="235">
        <f>J59*Parametre!$C$188</f>
        <v>27592.535821230653</v>
      </c>
      <c r="K66" s="235">
        <f>K59*Parametre!$C$188</f>
        <v>27131.986189357751</v>
      </c>
      <c r="L66" s="235">
        <f>L59*Parametre!$C$188</f>
        <v>26562.579622443551</v>
      </c>
      <c r="M66" s="235">
        <f>M59*Parametre!$C$188</f>
        <v>25726.541259223915</v>
      </c>
      <c r="N66" s="235">
        <f>N59*Parametre!$C$188</f>
        <v>25097.487867550524</v>
      </c>
      <c r="O66" s="235">
        <f>O59*Parametre!$C$188</f>
        <v>24450.060674808723</v>
      </c>
      <c r="P66" s="235">
        <f>P59*Parametre!$C$188</f>
        <v>23790.427469325448</v>
      </c>
      <c r="Q66" s="235">
        <f>Q59*Parametre!$C$188</f>
        <v>23111.871790965899</v>
      </c>
      <c r="R66" s="235">
        <f>R59*Parametre!$C$188</f>
        <v>22420.683607018338</v>
      </c>
      <c r="S66" s="235">
        <f>S59*Parametre!$C$188</f>
        <v>21452.068936326137</v>
      </c>
      <c r="T66" s="235">
        <f>T59*Parametre!$C$188</f>
        <v>20490.543434976087</v>
      </c>
      <c r="U66" s="235">
        <f>U59*Parametre!$C$188</f>
        <v>19529.480442748682</v>
      </c>
      <c r="V66" s="235">
        <f>V59*Parametre!$C$188</f>
        <v>18575.470929354236</v>
      </c>
      <c r="W66" s="235">
        <f>W59*Parametre!$C$188</f>
        <v>17621.914729431872</v>
      </c>
      <c r="X66" s="235">
        <f>X59*Parametre!$C$188</f>
        <v>16675.376489871891</v>
      </c>
      <c r="Y66" s="235">
        <f>Y59*Parametre!$C$188</f>
        <v>15729.282434239718</v>
      </c>
      <c r="Z66" s="235">
        <f>Z59*Parametre!$C$188</f>
        <v>14790.170991732881</v>
      </c>
      <c r="AA66" s="235">
        <f>AA59*Parametre!$C$188</f>
        <v>13851.494669334388</v>
      </c>
      <c r="AB66" s="235">
        <f>AB59*Parametre!$C$188</f>
        <v>12919.765783256407</v>
      </c>
      <c r="AC66" s="235">
        <f>AC59*Parametre!$C$188</f>
        <v>11991.708406744066</v>
      </c>
      <c r="AD66" s="235">
        <f>AD59*Parametre!$C$188</f>
        <v>11064.07268351904</v>
      </c>
      <c r="AE66" s="235">
        <f>AE59*Parametre!$C$188</f>
        <v>10143.331955714571</v>
      </c>
      <c r="AF66" s="235">
        <f>AF59*Parametre!$C$188</f>
        <v>9223.0039800080249</v>
      </c>
      <c r="AG66" s="235">
        <f>AG59*Parametre!$C$188</f>
        <v>8309.5362454899987</v>
      </c>
      <c r="AH66" s="235">
        <f>AH59*Parametre!$C$188</f>
        <v>7396.4724262858344</v>
      </c>
      <c r="AI66" s="235">
        <f>AI59*Parametre!$C$188</f>
        <v>6490.2342616945816</v>
      </c>
      <c r="AJ66" s="235">
        <f>AJ59*Parametre!$C$188</f>
        <v>5584.3912396658743</v>
      </c>
      <c r="AK66" s="235">
        <f>AK59*Parametre!$C$188</f>
        <v>4685.3394525459398</v>
      </c>
      <c r="AL66" s="235">
        <f>AL59*Parametre!$C$188</f>
        <v>3786.6740988993338</v>
      </c>
      <c r="AM66" s="235">
        <f>AM59*Parametre!$C$188</f>
        <v>2894.7657265474718</v>
      </c>
      <c r="AN66" s="235">
        <f>AN59*Parametre!$C$188</f>
        <v>2003.2351418731362</v>
      </c>
      <c r="AO66" s="235">
        <f>AO59*Parametre!$C$188</f>
        <v>1118.4274501918446</v>
      </c>
      <c r="AP66" s="235">
        <f>AP59*Parametre!$C$188</f>
        <v>233.98896331888866</v>
      </c>
      <c r="AQ66" s="235">
        <f>AQ59*Parametre!$C$188</f>
        <v>0</v>
      </c>
    </row>
    <row r="67" spans="2:43" x14ac:dyDescent="0.2">
      <c r="B67" s="230" t="s">
        <v>392</v>
      </c>
      <c r="C67" s="235">
        <f t="shared" si="34"/>
        <v>1280953.8358936887</v>
      </c>
      <c r="D67" s="235">
        <f>D60*Parametre!$C$189</f>
        <v>0</v>
      </c>
      <c r="E67" s="235">
        <f>E60*Parametre!$C$189</f>
        <v>0</v>
      </c>
      <c r="F67" s="235">
        <f>F60*Parametre!$C$189</f>
        <v>0</v>
      </c>
      <c r="G67" s="235">
        <f>G60*Parametre!$C$189</f>
        <v>1534.8200325110265</v>
      </c>
      <c r="H67" s="235">
        <f>H60*Parametre!$C$189</f>
        <v>3441.7036312717128</v>
      </c>
      <c r="I67" s="235">
        <f>I60*Parametre!$C$189</f>
        <v>5033.2968942398984</v>
      </c>
      <c r="J67" s="235">
        <f>J60*Parametre!$C$189</f>
        <v>6316.4101050040026</v>
      </c>
      <c r="K67" s="235">
        <f>K60*Parametre!$C$189</f>
        <v>7907.0778891937443</v>
      </c>
      <c r="L67" s="235">
        <f>L60*Parametre!$C$189</f>
        <v>9729.8775574647789</v>
      </c>
      <c r="M67" s="235">
        <f>M60*Parametre!$C$189</f>
        <v>12112.109404478973</v>
      </c>
      <c r="N67" s="235">
        <f>N60*Parametre!$C$189</f>
        <v>14071.521351815441</v>
      </c>
      <c r="O67" s="235">
        <f>O60*Parametre!$C$189</f>
        <v>16075.589009754685</v>
      </c>
      <c r="P67" s="235">
        <f>P60*Parametre!$C$189</f>
        <v>18111.585399295076</v>
      </c>
      <c r="Q67" s="235">
        <f>Q60*Parametre!$C$189</f>
        <v>20193.507081841977</v>
      </c>
      <c r="R67" s="235">
        <f>R60*Parametre!$C$189</f>
        <v>22308.37498614204</v>
      </c>
      <c r="S67" s="235">
        <f>S60*Parametre!$C$189</f>
        <v>24179.73249523557</v>
      </c>
      <c r="T67" s="235">
        <f>T60*Parametre!$C$189</f>
        <v>26036.661784124146</v>
      </c>
      <c r="U67" s="235">
        <f>U60*Parametre!$C$189</f>
        <v>27892.906486482483</v>
      </c>
      <c r="V67" s="235">
        <f>V60*Parametre!$C$189</f>
        <v>29734.795893528062</v>
      </c>
      <c r="W67" s="235">
        <f>W60*Parametre!$C$189</f>
        <v>31576.018688835989</v>
      </c>
      <c r="X67" s="235">
        <f>X60*Parametre!$C$189</f>
        <v>33402.958761297683</v>
      </c>
      <c r="Y67" s="235">
        <f>Y60*Parametre!$C$189</f>
        <v>35229.250064091226</v>
      </c>
      <c r="Z67" s="235">
        <f>Z60*Parametre!$C$189</f>
        <v>37041.330865731485</v>
      </c>
      <c r="AA67" s="235">
        <f>AA60*Parametre!$C$189</f>
        <v>38852.780607823785</v>
      </c>
      <c r="AB67" s="235">
        <f>AB60*Parametre!$C$189</f>
        <v>40650.091721326709</v>
      </c>
      <c r="AC67" s="235">
        <f>AC60*Parametre!$C$189</f>
        <v>42440.058179253181</v>
      </c>
      <c r="AD67" s="235">
        <f>AD60*Parametre!$C$189</f>
        <v>44229.419883600087</v>
      </c>
      <c r="AE67" s="235">
        <f>AE60*Parametre!$C$189</f>
        <v>46004.750103703118</v>
      </c>
      <c r="AF67" s="235">
        <f>AF60*Parametre!$C$189</f>
        <v>47779.492953885572</v>
      </c>
      <c r="AG67" s="235">
        <f>AG60*Parametre!$C$189</f>
        <v>49540.275326764779</v>
      </c>
      <c r="AH67" s="235">
        <f>AH60*Parametre!$C$189</f>
        <v>51300.487584108967</v>
      </c>
      <c r="AI67" s="235">
        <f>AI60*Parametre!$C$189</f>
        <v>53046.810027658008</v>
      </c>
      <c r="AJ67" s="235">
        <f>AJ60*Parametre!$C$189</f>
        <v>54792.579481539658</v>
      </c>
      <c r="AK67" s="235">
        <f>AK60*Parametre!$C$189</f>
        <v>56524.529443312647</v>
      </c>
      <c r="AL67" s="235">
        <f>AL60*Parametre!$C$189</f>
        <v>58255.943413519519</v>
      </c>
      <c r="AM67" s="235">
        <f>AM60*Parametre!$C$189</f>
        <v>59973.607873086105</v>
      </c>
      <c r="AN67" s="235">
        <f>AN60*Parametre!$C$189</f>
        <v>61690.753212169184</v>
      </c>
      <c r="AO67" s="235">
        <f>AO60*Parametre!$C$189</f>
        <v>63394.218683458254</v>
      </c>
      <c r="AP67" s="235">
        <f>AP60*Parametre!$C$189</f>
        <v>65097.181779071507</v>
      </c>
      <c r="AQ67" s="235">
        <f>AQ60*Parametre!$C$189</f>
        <v>65451.32723706765</v>
      </c>
    </row>
    <row r="68" spans="2:43" x14ac:dyDescent="0.2">
      <c r="B68" s="245" t="s">
        <v>138</v>
      </c>
      <c r="C68" s="235">
        <f t="shared" si="34"/>
        <v>0</v>
      </c>
      <c r="D68" s="235">
        <f>D61*Parametre!$C$190</f>
        <v>0</v>
      </c>
      <c r="E68" s="235">
        <f>E61*Parametre!$C$190</f>
        <v>0</v>
      </c>
      <c r="F68" s="235">
        <f>F61*Parametre!$C$190</f>
        <v>0</v>
      </c>
      <c r="G68" s="235">
        <f>G61*Parametre!$C$190</f>
        <v>0</v>
      </c>
      <c r="H68" s="235">
        <f>H61*Parametre!$C$190</f>
        <v>0</v>
      </c>
      <c r="I68" s="235">
        <f>I61*Parametre!$C$190</f>
        <v>0</v>
      </c>
      <c r="J68" s="235">
        <f>J61*Parametre!$C$190</f>
        <v>0</v>
      </c>
      <c r="K68" s="235">
        <f>K61*Parametre!$C$190</f>
        <v>0</v>
      </c>
      <c r="L68" s="235">
        <f>L61*Parametre!$C$190</f>
        <v>0</v>
      </c>
      <c r="M68" s="235">
        <f>M61*Parametre!$C$190</f>
        <v>0</v>
      </c>
      <c r="N68" s="235">
        <f>N61*Parametre!$C$190</f>
        <v>0</v>
      </c>
      <c r="O68" s="235">
        <f>O61*Parametre!$C$190</f>
        <v>0</v>
      </c>
      <c r="P68" s="235">
        <f>P61*Parametre!$C$190</f>
        <v>0</v>
      </c>
      <c r="Q68" s="235">
        <f>Q61*Parametre!$C$190</f>
        <v>0</v>
      </c>
      <c r="R68" s="235">
        <f>R61*Parametre!$C$190</f>
        <v>0</v>
      </c>
      <c r="S68" s="235">
        <f>S61*Parametre!$C$190</f>
        <v>0</v>
      </c>
      <c r="T68" s="235">
        <f>T61*Parametre!$C$190</f>
        <v>0</v>
      </c>
      <c r="U68" s="235">
        <f>U61*Parametre!$C$190</f>
        <v>0</v>
      </c>
      <c r="V68" s="235">
        <f>V61*Parametre!$C$190</f>
        <v>0</v>
      </c>
      <c r="W68" s="235">
        <f>W61*Parametre!$C$190</f>
        <v>0</v>
      </c>
      <c r="X68" s="235">
        <f>X61*Parametre!$C$190</f>
        <v>0</v>
      </c>
      <c r="Y68" s="235">
        <f>Y61*Parametre!$C$190</f>
        <v>0</v>
      </c>
      <c r="Z68" s="235">
        <f>Z61*Parametre!$C$190</f>
        <v>0</v>
      </c>
      <c r="AA68" s="235">
        <f>AA61*Parametre!$C$190</f>
        <v>0</v>
      </c>
      <c r="AB68" s="235">
        <f>AB61*Parametre!$C$190</f>
        <v>0</v>
      </c>
      <c r="AC68" s="235">
        <f>AC61*Parametre!$C$190</f>
        <v>0</v>
      </c>
      <c r="AD68" s="235">
        <f>AD61*Parametre!$C$190</f>
        <v>0</v>
      </c>
      <c r="AE68" s="235">
        <f>AE61*Parametre!$C$190</f>
        <v>0</v>
      </c>
      <c r="AF68" s="235">
        <f>AF61*Parametre!$C$190</f>
        <v>0</v>
      </c>
      <c r="AG68" s="235">
        <f>AG61*Parametre!$C$190</f>
        <v>0</v>
      </c>
      <c r="AH68" s="235">
        <f>AH61*Parametre!$C$190</f>
        <v>0</v>
      </c>
      <c r="AI68" s="235">
        <f>AI61*Parametre!$C$190</f>
        <v>0</v>
      </c>
      <c r="AJ68" s="235">
        <f>AJ61*Parametre!$C$190</f>
        <v>0</v>
      </c>
      <c r="AK68" s="235">
        <f>AK61*Parametre!$C$190</f>
        <v>0</v>
      </c>
      <c r="AL68" s="235">
        <f>AL61*Parametre!$C$190</f>
        <v>0</v>
      </c>
      <c r="AM68" s="235">
        <f>AM61*Parametre!$C$190</f>
        <v>0</v>
      </c>
      <c r="AN68" s="235">
        <f>AN61*Parametre!$C$190</f>
        <v>0</v>
      </c>
      <c r="AO68" s="235">
        <f>AO61*Parametre!$C$190</f>
        <v>0</v>
      </c>
      <c r="AP68" s="235">
        <f>AP61*Parametre!$C$190</f>
        <v>0</v>
      </c>
      <c r="AQ68" s="235">
        <f>AQ61*Parametre!$C$190</f>
        <v>0</v>
      </c>
    </row>
    <row r="69" spans="2:43" x14ac:dyDescent="0.2">
      <c r="B69" s="246" t="s">
        <v>9</v>
      </c>
      <c r="C69" s="247">
        <f t="shared" si="34"/>
        <v>2644738.3429116327</v>
      </c>
      <c r="D69" s="248">
        <f t="shared" ref="D69" si="35">SUM(D65:D68)</f>
        <v>0</v>
      </c>
      <c r="E69" s="248">
        <f t="shared" ref="E69:AN69" si="36">SUM(E65:E68)</f>
        <v>0</v>
      </c>
      <c r="F69" s="248">
        <f t="shared" si="36"/>
        <v>0</v>
      </c>
      <c r="G69" s="248">
        <f t="shared" si="36"/>
        <v>33060.780799761051</v>
      </c>
      <c r="H69" s="248">
        <f t="shared" si="36"/>
        <v>62968.678433312773</v>
      </c>
      <c r="I69" s="248">
        <f t="shared" si="36"/>
        <v>74630.610497330883</v>
      </c>
      <c r="J69" s="248">
        <f t="shared" si="36"/>
        <v>75127.42536288785</v>
      </c>
      <c r="K69" s="248">
        <f t="shared" si="36"/>
        <v>75569.56196635752</v>
      </c>
      <c r="L69" s="248">
        <f t="shared" si="36"/>
        <v>75972.360072694384</v>
      </c>
      <c r="M69" s="248">
        <f t="shared" si="36"/>
        <v>76269.656742296647</v>
      </c>
      <c r="N69" s="248">
        <f t="shared" si="36"/>
        <v>76660.31825607724</v>
      </c>
      <c r="O69" s="248">
        <f t="shared" si="36"/>
        <v>77049.814396314716</v>
      </c>
      <c r="P69" s="248">
        <f t="shared" si="36"/>
        <v>77440.799582057298</v>
      </c>
      <c r="Q69" s="248">
        <f t="shared" si="36"/>
        <v>77830.520684003845</v>
      </c>
      <c r="R69" s="248">
        <f t="shared" si="36"/>
        <v>78221.684722163074</v>
      </c>
      <c r="S69" s="248">
        <f t="shared" si="36"/>
        <v>77677.484657431618</v>
      </c>
      <c r="T69" s="248">
        <f t="shared" si="36"/>
        <v>77136.535535545991</v>
      </c>
      <c r="U69" s="248">
        <f t="shared" si="36"/>
        <v>76596.055244942167</v>
      </c>
      <c r="V69" s="248">
        <f t="shared" si="36"/>
        <v>76058.809816115172</v>
      </c>
      <c r="W69" s="248">
        <f t="shared" si="36"/>
        <v>75522.028260999432</v>
      </c>
      <c r="X69" s="248">
        <f t="shared" si="36"/>
        <v>74988.465563200429</v>
      </c>
      <c r="Y69" s="248">
        <f t="shared" si="36"/>
        <v>74455.361813676689</v>
      </c>
      <c r="Z69" s="248">
        <f t="shared" si="36"/>
        <v>73925.460993262881</v>
      </c>
      <c r="AA69" s="248">
        <f t="shared" si="36"/>
        <v>73396.014227645355</v>
      </c>
      <c r="AB69" s="248">
        <f t="shared" si="36"/>
        <v>72869.754538830341</v>
      </c>
      <c r="AC69" s="248">
        <f t="shared" si="36"/>
        <v>72345.306304713682</v>
      </c>
      <c r="AD69" s="248">
        <f t="shared" si="36"/>
        <v>71821.304847437685</v>
      </c>
      <c r="AE69" s="248">
        <f t="shared" si="36"/>
        <v>71300.466832769074</v>
      </c>
      <c r="AF69" s="248">
        <f t="shared" si="36"/>
        <v>70780.070780572249</v>
      </c>
      <c r="AG69" s="248">
        <f t="shared" si="36"/>
        <v>70262.822506875644</v>
      </c>
      <c r="AH69" s="248">
        <f t="shared" si="36"/>
        <v>69746.011412624255</v>
      </c>
      <c r="AI69" s="248">
        <f t="shared" si="36"/>
        <v>69232.332507439554</v>
      </c>
      <c r="AJ69" s="248">
        <f t="shared" si="36"/>
        <v>68719.086029842205</v>
      </c>
      <c r="AK69" s="248">
        <f t="shared" si="36"/>
        <v>68208.956226204988</v>
      </c>
      <c r="AL69" s="248">
        <f t="shared" si="36"/>
        <v>67699.254129293171</v>
      </c>
      <c r="AM69" s="248">
        <f t="shared" si="36"/>
        <v>67192.653265216839</v>
      </c>
      <c r="AN69" s="248">
        <f t="shared" si="36"/>
        <v>66686.475417828115</v>
      </c>
      <c r="AO69" s="248">
        <f t="shared" ref="AO69:AQ69" si="37">SUM(AO65:AO68)</f>
        <v>66183.383435788535</v>
      </c>
      <c r="AP69" s="248">
        <f t="shared" si="37"/>
        <v>65680.709811051944</v>
      </c>
      <c r="AQ69" s="248">
        <f t="shared" si="37"/>
        <v>65451.32723706765</v>
      </c>
    </row>
    <row r="72" spans="2:43" ht="33.75" x14ac:dyDescent="0.2">
      <c r="B72" s="254" t="s">
        <v>404</v>
      </c>
      <c r="C72" s="249" t="s">
        <v>9</v>
      </c>
    </row>
    <row r="73" spans="2:43" x14ac:dyDescent="0.2">
      <c r="B73" s="250" t="s">
        <v>9</v>
      </c>
      <c r="C73" s="251">
        <f>SUM(D73:AQ73)</f>
        <v>5366085.2736643255</v>
      </c>
      <c r="D73" s="252">
        <f t="shared" ref="D73:AN73" si="38">D69+D34</f>
        <v>0</v>
      </c>
      <c r="E73" s="252">
        <f t="shared" si="38"/>
        <v>0</v>
      </c>
      <c r="F73" s="252">
        <f t="shared" si="38"/>
        <v>0</v>
      </c>
      <c r="G73" s="252">
        <f t="shared" si="38"/>
        <v>62911.28322598325</v>
      </c>
      <c r="H73" s="252">
        <f t="shared" si="38"/>
        <v>119972.2006916294</v>
      </c>
      <c r="I73" s="252">
        <f t="shared" si="38"/>
        <v>142465.99839749612</v>
      </c>
      <c r="J73" s="252">
        <f t="shared" si="38"/>
        <v>143774.13315442417</v>
      </c>
      <c r="K73" s="252">
        <f t="shared" si="38"/>
        <v>145067.49132062047</v>
      </c>
      <c r="L73" s="252">
        <f t="shared" si="38"/>
        <v>146353.34496410645</v>
      </c>
      <c r="M73" s="252">
        <f t="shared" si="38"/>
        <v>147600.90127856663</v>
      </c>
      <c r="N73" s="252">
        <f t="shared" si="38"/>
        <v>148903.15080706548</v>
      </c>
      <c r="O73" s="252">
        <f t="shared" si="38"/>
        <v>150216.0539515492</v>
      </c>
      <c r="P73" s="252">
        <f t="shared" si="38"/>
        <v>151540.96244114375</v>
      </c>
      <c r="Q73" s="252">
        <f t="shared" si="38"/>
        <v>152876.70352186012</v>
      </c>
      <c r="R73" s="252">
        <f t="shared" si="38"/>
        <v>154224.65574095433</v>
      </c>
      <c r="S73" s="252">
        <f t="shared" si="38"/>
        <v>153735.10413079866</v>
      </c>
      <c r="T73" s="252">
        <f t="shared" si="38"/>
        <v>153247.5416424179</v>
      </c>
      <c r="U73" s="252">
        <f t="shared" si="38"/>
        <v>152760.66794524487</v>
      </c>
      <c r="V73" s="252">
        <f t="shared" si="38"/>
        <v>152275.77397798654</v>
      </c>
      <c r="W73" s="252">
        <f t="shared" si="38"/>
        <v>151791.56460908341</v>
      </c>
      <c r="X73" s="252">
        <f t="shared" si="38"/>
        <v>151309.32562153242</v>
      </c>
      <c r="Y73" s="252">
        <f t="shared" si="38"/>
        <v>150827.76706199467</v>
      </c>
      <c r="Z73" s="252">
        <f t="shared" si="38"/>
        <v>150348.16957834776</v>
      </c>
      <c r="AA73" s="252">
        <f t="shared" si="38"/>
        <v>149869.24837476993</v>
      </c>
      <c r="AB73" s="252">
        <f t="shared" si="38"/>
        <v>149392.27898452774</v>
      </c>
      <c r="AC73" s="252">
        <f t="shared" si="38"/>
        <v>148916.617994853</v>
      </c>
      <c r="AD73" s="252">
        <f t="shared" si="38"/>
        <v>148441.62710635614</v>
      </c>
      <c r="AE73" s="252">
        <f t="shared" si="38"/>
        <v>147968.57421865888</v>
      </c>
      <c r="AF73" s="252">
        <f t="shared" si="38"/>
        <v>147496.18733969383</v>
      </c>
      <c r="AG73" s="252">
        <f t="shared" si="38"/>
        <v>147025.72930538526</v>
      </c>
      <c r="AH73" s="252">
        <f t="shared" si="38"/>
        <v>146555.93320936995</v>
      </c>
      <c r="AI73" s="252">
        <f t="shared" si="38"/>
        <v>146088.05684409791</v>
      </c>
      <c r="AJ73" s="252">
        <f t="shared" si="38"/>
        <v>145620.83836857625</v>
      </c>
      <c r="AK73" s="252">
        <f t="shared" si="38"/>
        <v>145155.53055192321</v>
      </c>
      <c r="AL73" s="252">
        <f t="shared" si="38"/>
        <v>144690.87659826377</v>
      </c>
      <c r="AM73" s="252">
        <f t="shared" si="38"/>
        <v>144228.1242734465</v>
      </c>
      <c r="AN73" s="252">
        <f t="shared" si="38"/>
        <v>143766.0218065427</v>
      </c>
      <c r="AO73" s="252">
        <f t="shared" ref="AO73:AQ73" si="39">AO69+AO34</f>
        <v>143305.81198011301</v>
      </c>
      <c r="AP73" s="252">
        <f t="shared" si="39"/>
        <v>142846.24802808443</v>
      </c>
      <c r="AQ73" s="252">
        <f t="shared" si="39"/>
        <v>142514.77461685796</v>
      </c>
    </row>
    <row r="76" spans="2:43" x14ac:dyDescent="0.2">
      <c r="B76" s="253"/>
    </row>
    <row r="77" spans="2:43" x14ac:dyDescent="0.2">
      <c r="B77" s="253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DDFC-A132-43AF-9D48-7D7EBA55E600}">
  <sheetPr>
    <tabColor theme="7" tint="0.59999389629810485"/>
  </sheetPr>
  <dimension ref="B2:AQ37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27.5703125" style="231" bestFit="1" customWidth="1"/>
    <col min="3" max="3" width="9.140625" style="231" bestFit="1" customWidth="1"/>
    <col min="4" max="6" width="4.42578125" style="231" bestFit="1" customWidth="1"/>
    <col min="7" max="7" width="7" style="231" bestFit="1" customWidth="1"/>
    <col min="8" max="43" width="8.42578125" style="231" bestFit="1" customWidth="1"/>
    <col min="44" max="16384" width="9.140625" style="231"/>
  </cols>
  <sheetData>
    <row r="2" spans="2:43" ht="17.45" customHeight="1" x14ac:dyDescent="0.2">
      <c r="B2" s="723" t="s">
        <v>629</v>
      </c>
      <c r="C2" s="723"/>
      <c r="D2" s="723"/>
      <c r="E2" s="723"/>
      <c r="F2" s="723"/>
      <c r="G2" s="723"/>
      <c r="H2" s="723"/>
      <c r="I2" s="723"/>
      <c r="J2" s="723"/>
      <c r="K2" s="723"/>
    </row>
    <row r="4" spans="2:43" x14ac:dyDescent="0.2">
      <c r="B4" s="358" t="s">
        <v>611</v>
      </c>
      <c r="C4" s="359"/>
      <c r="D4" s="256" t="s">
        <v>10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</row>
    <row r="5" spans="2:43" x14ac:dyDescent="0.2">
      <c r="B5" s="360" t="s">
        <v>612</v>
      </c>
      <c r="C5" s="361"/>
      <c r="D5" s="256">
        <v>1</v>
      </c>
      <c r="E5" s="256">
        <v>2</v>
      </c>
      <c r="F5" s="256">
        <v>3</v>
      </c>
      <c r="G5" s="256">
        <v>4</v>
      </c>
      <c r="H5" s="256">
        <v>5</v>
      </c>
      <c r="I5" s="256">
        <v>6</v>
      </c>
      <c r="J5" s="256">
        <v>7</v>
      </c>
      <c r="K5" s="256">
        <v>8</v>
      </c>
      <c r="L5" s="256">
        <v>9</v>
      </c>
      <c r="M5" s="256">
        <v>10</v>
      </c>
      <c r="N5" s="256">
        <v>11</v>
      </c>
      <c r="O5" s="256">
        <v>12</v>
      </c>
      <c r="P5" s="256">
        <v>13</v>
      </c>
      <c r="Q5" s="256">
        <v>14</v>
      </c>
      <c r="R5" s="256">
        <v>15</v>
      </c>
      <c r="S5" s="256">
        <v>16</v>
      </c>
      <c r="T5" s="256">
        <v>17</v>
      </c>
      <c r="U5" s="256">
        <v>18</v>
      </c>
      <c r="V5" s="256">
        <v>19</v>
      </c>
      <c r="W5" s="256">
        <v>20</v>
      </c>
      <c r="X5" s="256">
        <v>21</v>
      </c>
      <c r="Y5" s="256">
        <v>22</v>
      </c>
      <c r="Z5" s="256">
        <v>23</v>
      </c>
      <c r="AA5" s="256">
        <v>24</v>
      </c>
      <c r="AB5" s="256">
        <v>25</v>
      </c>
      <c r="AC5" s="256">
        <v>26</v>
      </c>
      <c r="AD5" s="256">
        <v>27</v>
      </c>
      <c r="AE5" s="256">
        <v>28</v>
      </c>
      <c r="AF5" s="256">
        <v>29</v>
      </c>
      <c r="AG5" s="256">
        <v>30</v>
      </c>
      <c r="AH5" s="256">
        <v>31</v>
      </c>
      <c r="AI5" s="256">
        <v>32</v>
      </c>
      <c r="AJ5" s="256">
        <v>33</v>
      </c>
      <c r="AK5" s="256">
        <v>34</v>
      </c>
      <c r="AL5" s="256">
        <v>35</v>
      </c>
      <c r="AM5" s="256">
        <v>36</v>
      </c>
      <c r="AN5" s="256">
        <v>37</v>
      </c>
      <c r="AO5" s="256">
        <v>38</v>
      </c>
      <c r="AP5" s="256">
        <v>39</v>
      </c>
      <c r="AQ5" s="256">
        <v>40</v>
      </c>
    </row>
    <row r="6" spans="2:43" x14ac:dyDescent="0.2">
      <c r="B6" s="259" t="s">
        <v>33</v>
      </c>
      <c r="C6" s="259" t="s">
        <v>9</v>
      </c>
      <c r="D6" s="304">
        <v>2026</v>
      </c>
      <c r="E6" s="304">
        <f>$D$6+D5</f>
        <v>2027</v>
      </c>
      <c r="F6" s="304">
        <f t="shared" ref="F6:AN6" si="0">$D$6+E5</f>
        <v>2028</v>
      </c>
      <c r="G6" s="304">
        <f t="shared" si="0"/>
        <v>2029</v>
      </c>
      <c r="H6" s="304">
        <f t="shared" si="0"/>
        <v>2030</v>
      </c>
      <c r="I6" s="304">
        <f t="shared" si="0"/>
        <v>2031</v>
      </c>
      <c r="J6" s="304">
        <f t="shared" si="0"/>
        <v>2032</v>
      </c>
      <c r="K6" s="304">
        <f t="shared" si="0"/>
        <v>2033</v>
      </c>
      <c r="L6" s="304">
        <f t="shared" si="0"/>
        <v>2034</v>
      </c>
      <c r="M6" s="304">
        <f t="shared" si="0"/>
        <v>2035</v>
      </c>
      <c r="N6" s="304">
        <f t="shared" si="0"/>
        <v>2036</v>
      </c>
      <c r="O6" s="304">
        <f t="shared" si="0"/>
        <v>2037</v>
      </c>
      <c r="P6" s="304">
        <f t="shared" si="0"/>
        <v>2038</v>
      </c>
      <c r="Q6" s="304">
        <f t="shared" si="0"/>
        <v>2039</v>
      </c>
      <c r="R6" s="304">
        <f t="shared" si="0"/>
        <v>2040</v>
      </c>
      <c r="S6" s="304">
        <f t="shared" si="0"/>
        <v>2041</v>
      </c>
      <c r="T6" s="304">
        <f t="shared" si="0"/>
        <v>2042</v>
      </c>
      <c r="U6" s="304">
        <f t="shared" si="0"/>
        <v>2043</v>
      </c>
      <c r="V6" s="304">
        <f t="shared" si="0"/>
        <v>2044</v>
      </c>
      <c r="W6" s="304">
        <f t="shared" si="0"/>
        <v>2045</v>
      </c>
      <c r="X6" s="304">
        <f t="shared" si="0"/>
        <v>2046</v>
      </c>
      <c r="Y6" s="304">
        <f t="shared" si="0"/>
        <v>2047</v>
      </c>
      <c r="Z6" s="304">
        <f t="shared" si="0"/>
        <v>2048</v>
      </c>
      <c r="AA6" s="304">
        <f t="shared" si="0"/>
        <v>2049</v>
      </c>
      <c r="AB6" s="304">
        <f t="shared" si="0"/>
        <v>2050</v>
      </c>
      <c r="AC6" s="304">
        <f t="shared" si="0"/>
        <v>2051</v>
      </c>
      <c r="AD6" s="304">
        <f t="shared" si="0"/>
        <v>2052</v>
      </c>
      <c r="AE6" s="304">
        <f t="shared" si="0"/>
        <v>2053</v>
      </c>
      <c r="AF6" s="304">
        <f t="shared" si="0"/>
        <v>2054</v>
      </c>
      <c r="AG6" s="304">
        <f t="shared" si="0"/>
        <v>2055</v>
      </c>
      <c r="AH6" s="304">
        <f t="shared" si="0"/>
        <v>2056</v>
      </c>
      <c r="AI6" s="304">
        <f t="shared" si="0"/>
        <v>2057</v>
      </c>
      <c r="AJ6" s="304">
        <f t="shared" si="0"/>
        <v>2058</v>
      </c>
      <c r="AK6" s="304">
        <f t="shared" si="0"/>
        <v>2059</v>
      </c>
      <c r="AL6" s="304">
        <f t="shared" si="0"/>
        <v>2060</v>
      </c>
      <c r="AM6" s="304">
        <f t="shared" si="0"/>
        <v>2061</v>
      </c>
      <c r="AN6" s="304">
        <f t="shared" si="0"/>
        <v>2062</v>
      </c>
      <c r="AO6" s="304">
        <f t="shared" ref="AO6" si="1">$D$6+AN5</f>
        <v>2063</v>
      </c>
      <c r="AP6" s="304">
        <f t="shared" ref="AP6" si="2">$D$6+AO5</f>
        <v>2064</v>
      </c>
      <c r="AQ6" s="304">
        <f t="shared" ref="AQ6" si="3">$D$6+AP5</f>
        <v>2065</v>
      </c>
    </row>
    <row r="7" spans="2:43" x14ac:dyDescent="0.2">
      <c r="B7" s="362" t="s">
        <v>685</v>
      </c>
      <c r="C7" s="363">
        <f>SUM(D7:AQ7)</f>
        <v>156678.25518232645</v>
      </c>
      <c r="D7" s="235">
        <f>'04A Prevádzkové príjmy NOV200'!E72/Parametre!$C$152*Parametre!E165</f>
        <v>0</v>
      </c>
      <c r="E7" s="235">
        <f>'04A Prevádzkové príjmy NOV200'!F72/Parametre!$C$152*Parametre!F165</f>
        <v>0</v>
      </c>
      <c r="F7" s="235">
        <f>'04A Prevádzkové príjmy NOV200'!G72/Parametre!$C$152*Parametre!G165</f>
        <v>0</v>
      </c>
      <c r="G7" s="235">
        <f>'04A Prevádzkové príjmy NOV200'!H72/Parametre!$C$152*Parametre!H165</f>
        <v>3621.8570459931311</v>
      </c>
      <c r="H7" s="235">
        <f>'04A Prevádzkové príjmy NOV200'!I72/Parametre!$C$152*Parametre!I165</f>
        <v>6838.7509172249211</v>
      </c>
      <c r="I7" s="235">
        <f>'04A Prevádzkové príjmy NOV200'!J72/Parametre!$C$152*Parametre!J165</f>
        <v>7995.6808459080175</v>
      </c>
      <c r="J7" s="235">
        <f>'04A Prevádzkové príjmy NOV200'!K72/Parametre!$C$152*Parametre!K165</f>
        <v>7905.3470342641358</v>
      </c>
      <c r="K7" s="235">
        <f>'04A Prevádzkové príjmy NOV200'!L72/Parametre!$C$152*Parametre!L165</f>
        <v>7773.3981372853923</v>
      </c>
      <c r="L7" s="235">
        <f>'04A Prevádzkové príjmy NOV200'!M72/Parametre!$C$152*Parametre!M165</f>
        <v>7610.2613910214895</v>
      </c>
      <c r="M7" s="235">
        <f>'04A Prevádzkové príjmy NOV200'!N72/Parametre!$C$152*Parametre!N165</f>
        <v>7370.7338087061298</v>
      </c>
      <c r="N7" s="235">
        <f>'04A Prevádzkové príjmy NOV200'!O72/Parametre!$C$152*Parametre!O165</f>
        <v>7190.5080622768101</v>
      </c>
      <c r="O7" s="235">
        <f>'04A Prevádzkové príjmy NOV200'!P72/Parametre!$C$152*Parametre!P165</f>
        <v>7005.0181648928474</v>
      </c>
      <c r="P7" s="235">
        <f>'04A Prevádzkové príjmy NOV200'!Q72/Parametre!$C$152*Parametre!Q165</f>
        <v>6816.0312070266164</v>
      </c>
      <c r="Q7" s="235">
        <f>'04A Prevádzkové príjmy NOV200'!R72/Parametre!$C$152*Parametre!R165</f>
        <v>6621.6229020322162</v>
      </c>
      <c r="R7" s="235">
        <f>'04A Prevádzkové príjmy NOV200'!S72/Parametre!$C$152*Parametre!S165</f>
        <v>6423.5953450331235</v>
      </c>
      <c r="S7" s="235">
        <f>'04A Prevádzkové príjmy NOV200'!T72/Parametre!$C$152*Parametre!T165</f>
        <v>6146.0842397142151</v>
      </c>
      <c r="T7" s="235">
        <f>'04A Prevádzkové príjmy NOV200'!U72/Parametre!$C$152*Parametre!U165</f>
        <v>5870.6042033843032</v>
      </c>
      <c r="U7" s="235">
        <f>'04A Prevádzkové príjmy NOV200'!V72/Parametre!$C$152*Parametre!V165</f>
        <v>5595.2566773515518</v>
      </c>
      <c r="V7" s="235">
        <f>'04A Prevádzkové príjmy NOV200'!W72/Parametre!$C$152*Parametre!W165</f>
        <v>5321.9299948662965</v>
      </c>
      <c r="W7" s="235">
        <f>'04A Prevádzkové príjmy NOV200'!X72/Parametre!$C$152*Parametre!X165</f>
        <v>5048.7331880958127</v>
      </c>
      <c r="X7" s="235">
        <f>'04A Prevádzkové príjmy NOV200'!Y72/Parametre!$C$152*Parametre!Y165</f>
        <v>4777.5470487209159</v>
      </c>
      <c r="Y7" s="235">
        <f>'04A Prevádzkové príjmy NOV200'!Z72/Parametre!$C$152*Parametre!Z165</f>
        <v>4506.4881694180576</v>
      </c>
      <c r="Z7" s="235">
        <f>'04A Prevádzkové príjmy NOV200'!AA72/Parametre!$C$152*Parametre!AA165</f>
        <v>4237.4298304178192</v>
      </c>
      <c r="AA7" s="235">
        <f>'04A Prevádzkové príjmy NOV200'!AB72/Parametre!$C$152*Parametre!AB165</f>
        <v>3968.4961546772488</v>
      </c>
      <c r="AB7" s="235">
        <f>'04A Prevádzkové príjmy NOV200'!AC72/Parametre!$C$152*Parametre!AC165</f>
        <v>3701.5529409756864</v>
      </c>
      <c r="AC7" s="235">
        <f>'04A Prevádzkové príjmy NOV200'!AD72/Parametre!$C$152*Parametre!AD165</f>
        <v>3435.6616261443123</v>
      </c>
      <c r="AD7" s="235">
        <f>'04A Prevádzkové príjmy NOV200'!AE72/Parametre!$C$152*Parametre!AE165</f>
        <v>3169.8911162866443</v>
      </c>
      <c r="AE7" s="235">
        <f>'04A Prevádzkové príjmy NOV200'!AF72/Parametre!$C$152*Parametre!AF165</f>
        <v>2906.0960439876094</v>
      </c>
      <c r="AF7" s="235">
        <f>'04A Prevádzkové príjmy NOV200'!AG72/Parametre!$C$152*Parametre!AG165</f>
        <v>2642.4192264439312</v>
      </c>
      <c r="AG7" s="235">
        <f>'04A Prevádzkové príjmy NOV200'!AH72/Parametre!$C$152*Parametre!AH165</f>
        <v>2380.7078892636869</v>
      </c>
      <c r="AH7" s="235">
        <f>'04A Prevádzkové príjmy NOV200'!AI72/Parametre!$C$152*Parametre!AI165</f>
        <v>2119.1122750727773</v>
      </c>
      <c r="AI7" s="235">
        <f>'04A Prevádzkové príjmy NOV200'!AJ72/Parametre!$C$152*Parametre!AJ165</f>
        <v>1859.4722320841904</v>
      </c>
      <c r="AJ7" s="235">
        <f>'04A Prevádzkové príjmy NOV200'!AK72/Parametre!$C$152*Parametre!AK165</f>
        <v>1599.9453986644953</v>
      </c>
      <c r="AK7" s="235">
        <f>'04A Prevádzkové príjmy NOV200'!AL72/Parametre!$C$152*Parametre!AL165</f>
        <v>1342.3642750952056</v>
      </c>
      <c r="AL7" s="235">
        <f>'04A Prevádzkové príjmy NOV200'!AM72/Parametre!$C$152*Parametre!AM165</f>
        <v>1084.8938659137541</v>
      </c>
      <c r="AM7" s="235">
        <f>'04A Prevádzkové príjmy NOV200'!AN72/Parametre!$C$152*Parametre!AN165</f>
        <v>829.35935281612217</v>
      </c>
      <c r="AN7" s="235">
        <f>'04A Prevádzkové príjmy NOV200'!AO72/Parametre!$C$152*Parametre!AO165</f>
        <v>573.9330770590326</v>
      </c>
      <c r="AO7" s="235">
        <f>'04A Prevádzkové príjmy NOV200'!AP72/Parametre!$C$152*Parametre!AP165</f>
        <v>320.43293098167146</v>
      </c>
      <c r="AP7" s="235">
        <f>'04A Prevádzkové príjmy NOV200'!AQ72/Parametre!$C$152*Parametre!AQ165</f>
        <v>67.038563226227438</v>
      </c>
      <c r="AQ7" s="235">
        <f>'04A Prevádzkové príjmy NOV200'!AR72/Parametre!$C$152*Parametre!AR165</f>
        <v>0</v>
      </c>
    </row>
    <row r="9" spans="2:43" x14ac:dyDescent="0.2">
      <c r="B9" s="305"/>
      <c r="C9" s="305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</row>
    <row r="10" spans="2:43" x14ac:dyDescent="0.2">
      <c r="B10" s="358" t="s">
        <v>613</v>
      </c>
      <c r="C10" s="359"/>
      <c r="D10" s="256" t="s">
        <v>10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</row>
    <row r="11" spans="2:43" x14ac:dyDescent="0.2">
      <c r="B11" s="360" t="s">
        <v>614</v>
      </c>
      <c r="C11" s="361"/>
      <c r="D11" s="256">
        <v>1</v>
      </c>
      <c r="E11" s="256">
        <v>2</v>
      </c>
      <c r="F11" s="256">
        <v>3</v>
      </c>
      <c r="G11" s="256">
        <v>4</v>
      </c>
      <c r="H11" s="256">
        <v>5</v>
      </c>
      <c r="I11" s="256">
        <v>6</v>
      </c>
      <c r="J11" s="256">
        <v>7</v>
      </c>
      <c r="K11" s="256">
        <v>8</v>
      </c>
      <c r="L11" s="256">
        <v>9</v>
      </c>
      <c r="M11" s="256">
        <v>10</v>
      </c>
      <c r="N11" s="256">
        <v>11</v>
      </c>
      <c r="O11" s="256">
        <v>12</v>
      </c>
      <c r="P11" s="256">
        <v>13</v>
      </c>
      <c r="Q11" s="256">
        <v>14</v>
      </c>
      <c r="R11" s="256">
        <v>15</v>
      </c>
      <c r="S11" s="256">
        <v>16</v>
      </c>
      <c r="T11" s="256">
        <v>17</v>
      </c>
      <c r="U11" s="256">
        <v>18</v>
      </c>
      <c r="V11" s="256">
        <v>19</v>
      </c>
      <c r="W11" s="256">
        <v>20</v>
      </c>
      <c r="X11" s="256">
        <v>21</v>
      </c>
      <c r="Y11" s="256">
        <v>22</v>
      </c>
      <c r="Z11" s="256">
        <v>23</v>
      </c>
      <c r="AA11" s="256">
        <v>24</v>
      </c>
      <c r="AB11" s="256">
        <v>25</v>
      </c>
      <c r="AC11" s="256">
        <v>26</v>
      </c>
      <c r="AD11" s="256">
        <v>27</v>
      </c>
      <c r="AE11" s="256">
        <v>28</v>
      </c>
      <c r="AF11" s="256">
        <v>29</v>
      </c>
      <c r="AG11" s="256">
        <v>30</v>
      </c>
      <c r="AH11" s="256">
        <v>31</v>
      </c>
      <c r="AI11" s="256">
        <v>32</v>
      </c>
      <c r="AJ11" s="256">
        <v>33</v>
      </c>
      <c r="AK11" s="256">
        <v>34</v>
      </c>
      <c r="AL11" s="256">
        <v>35</v>
      </c>
      <c r="AM11" s="256">
        <v>36</v>
      </c>
      <c r="AN11" s="256">
        <v>37</v>
      </c>
      <c r="AO11" s="256">
        <v>38</v>
      </c>
      <c r="AP11" s="256">
        <v>39</v>
      </c>
      <c r="AQ11" s="256">
        <v>40</v>
      </c>
    </row>
    <row r="12" spans="2:43" x14ac:dyDescent="0.2">
      <c r="B12" s="259" t="s">
        <v>33</v>
      </c>
      <c r="C12" s="259" t="s">
        <v>9</v>
      </c>
      <c r="D12" s="304">
        <v>2026</v>
      </c>
      <c r="E12" s="304">
        <f>$D$6+D11</f>
        <v>2027</v>
      </c>
      <c r="F12" s="304">
        <f t="shared" ref="F12:AN12" si="4">$D$6+E11</f>
        <v>2028</v>
      </c>
      <c r="G12" s="304">
        <f t="shared" si="4"/>
        <v>2029</v>
      </c>
      <c r="H12" s="304">
        <f t="shared" si="4"/>
        <v>2030</v>
      </c>
      <c r="I12" s="304">
        <f t="shared" si="4"/>
        <v>2031</v>
      </c>
      <c r="J12" s="304">
        <f t="shared" si="4"/>
        <v>2032</v>
      </c>
      <c r="K12" s="304">
        <f t="shared" si="4"/>
        <v>2033</v>
      </c>
      <c r="L12" s="304">
        <f t="shared" si="4"/>
        <v>2034</v>
      </c>
      <c r="M12" s="304">
        <f t="shared" si="4"/>
        <v>2035</v>
      </c>
      <c r="N12" s="304">
        <f t="shared" si="4"/>
        <v>2036</v>
      </c>
      <c r="O12" s="304">
        <f t="shared" si="4"/>
        <v>2037</v>
      </c>
      <c r="P12" s="304">
        <f t="shared" si="4"/>
        <v>2038</v>
      </c>
      <c r="Q12" s="304">
        <f t="shared" si="4"/>
        <v>2039</v>
      </c>
      <c r="R12" s="304">
        <f t="shared" si="4"/>
        <v>2040</v>
      </c>
      <c r="S12" s="304">
        <f t="shared" si="4"/>
        <v>2041</v>
      </c>
      <c r="T12" s="304">
        <f t="shared" si="4"/>
        <v>2042</v>
      </c>
      <c r="U12" s="304">
        <f t="shared" si="4"/>
        <v>2043</v>
      </c>
      <c r="V12" s="304">
        <f t="shared" si="4"/>
        <v>2044</v>
      </c>
      <c r="W12" s="304">
        <f t="shared" si="4"/>
        <v>2045</v>
      </c>
      <c r="X12" s="304">
        <f t="shared" si="4"/>
        <v>2046</v>
      </c>
      <c r="Y12" s="304">
        <f t="shared" si="4"/>
        <v>2047</v>
      </c>
      <c r="Z12" s="304">
        <f t="shared" si="4"/>
        <v>2048</v>
      </c>
      <c r="AA12" s="304">
        <f t="shared" si="4"/>
        <v>2049</v>
      </c>
      <c r="AB12" s="304">
        <f t="shared" si="4"/>
        <v>2050</v>
      </c>
      <c r="AC12" s="304">
        <f t="shared" si="4"/>
        <v>2051</v>
      </c>
      <c r="AD12" s="304">
        <f t="shared" si="4"/>
        <v>2052</v>
      </c>
      <c r="AE12" s="304">
        <f t="shared" si="4"/>
        <v>2053</v>
      </c>
      <c r="AF12" s="304">
        <f t="shared" si="4"/>
        <v>2054</v>
      </c>
      <c r="AG12" s="304">
        <f t="shared" si="4"/>
        <v>2055</v>
      </c>
      <c r="AH12" s="304">
        <f t="shared" si="4"/>
        <v>2056</v>
      </c>
      <c r="AI12" s="304">
        <f t="shared" si="4"/>
        <v>2057</v>
      </c>
      <c r="AJ12" s="304">
        <f t="shared" si="4"/>
        <v>2058</v>
      </c>
      <c r="AK12" s="304">
        <f t="shared" si="4"/>
        <v>2059</v>
      </c>
      <c r="AL12" s="304">
        <f t="shared" si="4"/>
        <v>2060</v>
      </c>
      <c r="AM12" s="304">
        <f t="shared" si="4"/>
        <v>2061</v>
      </c>
      <c r="AN12" s="304">
        <f t="shared" si="4"/>
        <v>2062</v>
      </c>
      <c r="AO12" s="304">
        <f t="shared" ref="AO12" si="5">$D$6+AN11</f>
        <v>2063</v>
      </c>
      <c r="AP12" s="304">
        <f t="shared" ref="AP12" si="6">$D$6+AO11</f>
        <v>2064</v>
      </c>
      <c r="AQ12" s="304">
        <f t="shared" ref="AQ12" si="7">$D$6+AP11</f>
        <v>2065</v>
      </c>
    </row>
    <row r="13" spans="2:43" x14ac:dyDescent="0.2">
      <c r="B13" s="362" t="s">
        <v>685</v>
      </c>
      <c r="C13" s="363">
        <f>SUM(D13:AQ13)</f>
        <v>128191.29969463067</v>
      </c>
      <c r="D13" s="235">
        <f>'04A Prevádzkové príjmy NOV200'!E72/Parametre!$C$152*Parametre!E166</f>
        <v>0</v>
      </c>
      <c r="E13" s="235">
        <f>'04A Prevádzkové príjmy NOV200'!F72/Parametre!$C$152*Parametre!F166</f>
        <v>0</v>
      </c>
      <c r="F13" s="235">
        <f>'04A Prevádzkové príjmy NOV200'!G72/Parametre!$C$152*Parametre!G166</f>
        <v>0</v>
      </c>
      <c r="G13" s="235">
        <f>'04A Prevádzkové príjmy NOV200'!H72/Parametre!$C$152*Parametre!H166</f>
        <v>2963.3375830852888</v>
      </c>
      <c r="H13" s="235">
        <f>'04A Prevádzkové príjmy NOV200'!I72/Parametre!$C$152*Parametre!I166</f>
        <v>5595.341659547661</v>
      </c>
      <c r="I13" s="235">
        <f>'04A Prevádzkové príjmy NOV200'!J72/Parametre!$C$152*Parametre!J166</f>
        <v>6541.9206921065588</v>
      </c>
      <c r="J13" s="235">
        <f>'04A Prevádzkové príjmy NOV200'!K72/Parametre!$C$152*Parametre!K166</f>
        <v>6468.0112098524742</v>
      </c>
      <c r="K13" s="235">
        <f>'04A Prevádzkové príjmy NOV200'!L72/Parametre!$C$152*Parametre!L166</f>
        <v>6360.0530214153205</v>
      </c>
      <c r="L13" s="235">
        <f>'04A Prevádzkové príjmy NOV200'!M72/Parametre!$C$152*Parametre!M166</f>
        <v>6226.5775017448541</v>
      </c>
      <c r="M13" s="235">
        <f>'04A Prevádzkové príjmy NOV200'!N72/Parametre!$C$152*Parametre!N166</f>
        <v>6030.6003889413787</v>
      </c>
      <c r="N13" s="235">
        <f>'04A Prevádzkové príjmy NOV200'!O72/Parametre!$C$152*Parametre!O166</f>
        <v>5883.1429600446618</v>
      </c>
      <c r="O13" s="235">
        <f>'04A Prevádzkové príjmy NOV200'!P72/Parametre!$C$152*Parametre!P166</f>
        <v>5731.3784985486936</v>
      </c>
      <c r="P13" s="235">
        <f>'04A Prevádzkové príjmy NOV200'!Q72/Parametre!$C$152*Parametre!Q166</f>
        <v>5576.7528057490499</v>
      </c>
      <c r="Q13" s="235">
        <f>'04A Prevádzkové príjmy NOV200'!R72/Parametre!$C$152*Parametre!R166</f>
        <v>5417.6914652990854</v>
      </c>
      <c r="R13" s="235">
        <f>'04A Prevádzkové príjmy NOV200'!S72/Parametre!$C$152*Parametre!S166</f>
        <v>5255.668918663464</v>
      </c>
      <c r="S13" s="235">
        <f>'04A Prevádzkové príjmy NOV200'!T72/Parametre!$C$152*Parametre!T166</f>
        <v>5028.6143779479935</v>
      </c>
      <c r="T13" s="235">
        <f>'04A Prevádzkové príjmy NOV200'!U72/Parametre!$C$152*Parametre!U166</f>
        <v>4803.2216209507933</v>
      </c>
      <c r="U13" s="235">
        <f>'04A Prevádzkové príjmy NOV200'!V72/Parametre!$C$152*Parametre!V166</f>
        <v>4577.9372814694516</v>
      </c>
      <c r="V13" s="235">
        <f>'04A Prevádzkové príjmy NOV200'!W72/Parametre!$C$152*Parametre!W166</f>
        <v>4354.306359436061</v>
      </c>
      <c r="W13" s="235">
        <f>'04A Prevádzkové príjmy NOV200'!X72/Parametre!$C$152*Parametre!X166</f>
        <v>4130.7816993511187</v>
      </c>
      <c r="X13" s="235">
        <f>'04A Prevádzkové príjmy NOV200'!Y72/Parametre!$C$152*Parametre!Y166</f>
        <v>3908.902130771658</v>
      </c>
      <c r="Y13" s="235">
        <f>'04A Prevádzkové príjmy NOV200'!Z72/Parametre!$C$152*Parametre!Z166</f>
        <v>3687.1266840693197</v>
      </c>
      <c r="Z13" s="235">
        <f>'04A Prevádzkové príjmy NOV200'!AA72/Parametre!$C$152*Parametre!AA166</f>
        <v>3466.9880430691242</v>
      </c>
      <c r="AA13" s="235">
        <f>'04A Prevádzkové príjmy NOV200'!AB72/Parametre!$C$152*Parametre!AB166</f>
        <v>3246.951399281385</v>
      </c>
      <c r="AB13" s="235">
        <f>'04A Prevádzkové príjmy NOV200'!AC72/Parametre!$C$152*Parametre!AC166</f>
        <v>3028.5433153437434</v>
      </c>
      <c r="AC13" s="235">
        <f>'04A Prevádzkové príjmy NOV200'!AD72/Parametre!$C$152*Parametre!AD166</f>
        <v>2810.9958759362553</v>
      </c>
      <c r="AD13" s="235">
        <f>'04A Prevádzkové príjmy NOV200'!AE72/Parametre!$C$152*Parametre!AE166</f>
        <v>2593.5472769618</v>
      </c>
      <c r="AE13" s="235">
        <f>'04A Prevádzkové príjmy NOV200'!AF72/Parametre!$C$152*Parametre!AF166</f>
        <v>2377.7149450807715</v>
      </c>
      <c r="AF13" s="235">
        <f>'04A Prevádzkové príjmy NOV200'!AG72/Parametre!$C$152*Parametre!AG166</f>
        <v>2161.9793670904892</v>
      </c>
      <c r="AG13" s="235">
        <f>'04A Prevádzkové príjmy NOV200'!AH72/Parametre!$C$152*Parametre!AH166</f>
        <v>1947.8519093975619</v>
      </c>
      <c r="AH13" s="235">
        <f>'04A Prevádzkové príjmy NOV200'!AI72/Parametre!$C$152*Parametre!AI166</f>
        <v>1733.8191341504537</v>
      </c>
      <c r="AI13" s="235">
        <f>'04A Prevádzkové príjmy NOV200'!AJ72/Parametre!$C$152*Parametre!AJ166</f>
        <v>1521.3863717052466</v>
      </c>
      <c r="AJ13" s="235">
        <f>'04A Prevádzkové príjmy NOV200'!AK72/Parametre!$C$152*Parametre!AK166</f>
        <v>1309.0462352709505</v>
      </c>
      <c r="AK13" s="235">
        <f>'04A Prevádzkové príjmy NOV200'!AL72/Parametre!$C$152*Parametre!AL166</f>
        <v>1098.2980432597137</v>
      </c>
      <c r="AL13" s="235">
        <f>'04A Prevádzkové príjmy NOV200'!AM72/Parametre!$C$152*Parametre!AM166</f>
        <v>887.64043574761706</v>
      </c>
      <c r="AM13" s="235">
        <f>'04A Prevádzkové príjmy NOV200'!AN72/Parametre!$C$152*Parametre!AN166</f>
        <v>678.56674321319076</v>
      </c>
      <c r="AN13" s="235">
        <f>'04A Prevádzkové príjmy NOV200'!AO72/Parametre!$C$152*Parametre!AO166</f>
        <v>469.58160850284486</v>
      </c>
      <c r="AO13" s="235">
        <f>'04A Prevádzkové príjmy NOV200'!AP72/Parametre!$C$152*Parametre!AP166</f>
        <v>262.17239807591295</v>
      </c>
      <c r="AP13" s="235">
        <f>'04A Prevádzkové príjmy NOV200'!AQ72/Parametre!$C$152*Parametre!AQ166</f>
        <v>54.849733548731535</v>
      </c>
      <c r="AQ13" s="235">
        <f>'04A Prevádzkové príjmy NOV200'!AR72/Parametre!$C$152*Parametre!AR166</f>
        <v>0</v>
      </c>
    </row>
    <row r="14" spans="2:43" x14ac:dyDescent="0.2">
      <c r="B14" s="305"/>
      <c r="C14" s="305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305"/>
      <c r="C15" s="306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</row>
    <row r="16" spans="2:43" x14ac:dyDescent="0.2">
      <c r="B16" s="358" t="s">
        <v>616</v>
      </c>
      <c r="C16" s="359"/>
      <c r="D16" s="256" t="s">
        <v>10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</row>
    <row r="17" spans="2:43" x14ac:dyDescent="0.2">
      <c r="B17" s="360" t="s">
        <v>615</v>
      </c>
      <c r="C17" s="361"/>
      <c r="D17" s="256">
        <v>1</v>
      </c>
      <c r="E17" s="256">
        <v>2</v>
      </c>
      <c r="F17" s="256">
        <v>3</v>
      </c>
      <c r="G17" s="256">
        <v>4</v>
      </c>
      <c r="H17" s="256">
        <v>5</v>
      </c>
      <c r="I17" s="256">
        <v>6</v>
      </c>
      <c r="J17" s="256">
        <v>7</v>
      </c>
      <c r="K17" s="256">
        <v>8</v>
      </c>
      <c r="L17" s="256">
        <v>9</v>
      </c>
      <c r="M17" s="256">
        <v>10</v>
      </c>
      <c r="N17" s="256">
        <v>11</v>
      </c>
      <c r="O17" s="256">
        <v>12</v>
      </c>
      <c r="P17" s="256">
        <v>13</v>
      </c>
      <c r="Q17" s="256">
        <v>14</v>
      </c>
      <c r="R17" s="256">
        <v>15</v>
      </c>
      <c r="S17" s="256">
        <v>16</v>
      </c>
      <c r="T17" s="256">
        <v>17</v>
      </c>
      <c r="U17" s="256">
        <v>18</v>
      </c>
      <c r="V17" s="256">
        <v>19</v>
      </c>
      <c r="W17" s="256">
        <v>20</v>
      </c>
      <c r="X17" s="256">
        <v>21</v>
      </c>
      <c r="Y17" s="256">
        <v>22</v>
      </c>
      <c r="Z17" s="256">
        <v>23</v>
      </c>
      <c r="AA17" s="256">
        <v>24</v>
      </c>
      <c r="AB17" s="256">
        <v>25</v>
      </c>
      <c r="AC17" s="256">
        <v>26</v>
      </c>
      <c r="AD17" s="256">
        <v>27</v>
      </c>
      <c r="AE17" s="256">
        <v>28</v>
      </c>
      <c r="AF17" s="256">
        <v>29</v>
      </c>
      <c r="AG17" s="256">
        <v>30</v>
      </c>
      <c r="AH17" s="256">
        <v>31</v>
      </c>
      <c r="AI17" s="256">
        <v>32</v>
      </c>
      <c r="AJ17" s="256">
        <v>33</v>
      </c>
      <c r="AK17" s="256">
        <v>34</v>
      </c>
      <c r="AL17" s="256">
        <v>35</v>
      </c>
      <c r="AM17" s="256">
        <v>36</v>
      </c>
      <c r="AN17" s="256">
        <v>37</v>
      </c>
      <c r="AO17" s="256">
        <v>38</v>
      </c>
      <c r="AP17" s="256">
        <v>39</v>
      </c>
      <c r="AQ17" s="256">
        <v>40</v>
      </c>
    </row>
    <row r="18" spans="2:43" x14ac:dyDescent="0.2">
      <c r="B18" s="259" t="s">
        <v>33</v>
      </c>
      <c r="C18" s="259" t="s">
        <v>9</v>
      </c>
      <c r="D18" s="304">
        <v>2026</v>
      </c>
      <c r="E18" s="304">
        <f>$D$6+D17</f>
        <v>2027</v>
      </c>
      <c r="F18" s="304">
        <f t="shared" ref="F18:AN18" si="8">$D$6+E17</f>
        <v>2028</v>
      </c>
      <c r="G18" s="304">
        <f t="shared" si="8"/>
        <v>2029</v>
      </c>
      <c r="H18" s="304">
        <f t="shared" si="8"/>
        <v>2030</v>
      </c>
      <c r="I18" s="304">
        <f t="shared" si="8"/>
        <v>2031</v>
      </c>
      <c r="J18" s="304">
        <f t="shared" si="8"/>
        <v>2032</v>
      </c>
      <c r="K18" s="304">
        <f t="shared" si="8"/>
        <v>2033</v>
      </c>
      <c r="L18" s="304">
        <f t="shared" si="8"/>
        <v>2034</v>
      </c>
      <c r="M18" s="304">
        <f t="shared" si="8"/>
        <v>2035</v>
      </c>
      <c r="N18" s="304">
        <f t="shared" si="8"/>
        <v>2036</v>
      </c>
      <c r="O18" s="304">
        <f t="shared" si="8"/>
        <v>2037</v>
      </c>
      <c r="P18" s="304">
        <f t="shared" si="8"/>
        <v>2038</v>
      </c>
      <c r="Q18" s="304">
        <f t="shared" si="8"/>
        <v>2039</v>
      </c>
      <c r="R18" s="304">
        <f t="shared" si="8"/>
        <v>2040</v>
      </c>
      <c r="S18" s="304">
        <f t="shared" si="8"/>
        <v>2041</v>
      </c>
      <c r="T18" s="304">
        <f t="shared" si="8"/>
        <v>2042</v>
      </c>
      <c r="U18" s="304">
        <f t="shared" si="8"/>
        <v>2043</v>
      </c>
      <c r="V18" s="304">
        <f t="shared" si="8"/>
        <v>2044</v>
      </c>
      <c r="W18" s="304">
        <f t="shared" si="8"/>
        <v>2045</v>
      </c>
      <c r="X18" s="304">
        <f t="shared" si="8"/>
        <v>2046</v>
      </c>
      <c r="Y18" s="304">
        <f t="shared" si="8"/>
        <v>2047</v>
      </c>
      <c r="Z18" s="304">
        <f t="shared" si="8"/>
        <v>2048</v>
      </c>
      <c r="AA18" s="304">
        <f t="shared" si="8"/>
        <v>2049</v>
      </c>
      <c r="AB18" s="304">
        <f t="shared" si="8"/>
        <v>2050</v>
      </c>
      <c r="AC18" s="304">
        <f t="shared" si="8"/>
        <v>2051</v>
      </c>
      <c r="AD18" s="304">
        <f t="shared" si="8"/>
        <v>2052</v>
      </c>
      <c r="AE18" s="304">
        <f t="shared" si="8"/>
        <v>2053</v>
      </c>
      <c r="AF18" s="304">
        <f t="shared" si="8"/>
        <v>2054</v>
      </c>
      <c r="AG18" s="304">
        <f t="shared" si="8"/>
        <v>2055</v>
      </c>
      <c r="AH18" s="304">
        <f t="shared" si="8"/>
        <v>2056</v>
      </c>
      <c r="AI18" s="304">
        <f t="shared" si="8"/>
        <v>2057</v>
      </c>
      <c r="AJ18" s="304">
        <f t="shared" si="8"/>
        <v>2058</v>
      </c>
      <c r="AK18" s="304">
        <f t="shared" si="8"/>
        <v>2059</v>
      </c>
      <c r="AL18" s="304">
        <f t="shared" si="8"/>
        <v>2060</v>
      </c>
      <c r="AM18" s="304">
        <f t="shared" si="8"/>
        <v>2061</v>
      </c>
      <c r="AN18" s="304">
        <f t="shared" si="8"/>
        <v>2062</v>
      </c>
      <c r="AO18" s="304">
        <f t="shared" ref="AO18" si="9">$D$6+AN17</f>
        <v>2063</v>
      </c>
      <c r="AP18" s="304">
        <f t="shared" ref="AP18" si="10">$D$6+AO17</f>
        <v>2064</v>
      </c>
      <c r="AQ18" s="304">
        <f t="shared" ref="AQ18" si="11">$D$6+AP17</f>
        <v>2065</v>
      </c>
    </row>
    <row r="19" spans="2:43" x14ac:dyDescent="0.2">
      <c r="B19" s="362" t="s">
        <v>685</v>
      </c>
      <c r="C19" s="363">
        <f>SUM(D19:AQ19)</f>
        <v>321718.36344527046</v>
      </c>
      <c r="D19" s="235">
        <f>'04A Prevádzkové príjmy NOV200'!E72/Parametre!$C$152*Parametre!E167</f>
        <v>0</v>
      </c>
      <c r="E19" s="235">
        <f>'04A Prevádzkové príjmy NOV200'!F72/Parametre!$C$152*Parametre!F167</f>
        <v>0</v>
      </c>
      <c r="F19" s="235">
        <f>'04A Prevádzkové príjmy NOV200'!G72/Parametre!$C$152*Parametre!G167</f>
        <v>0</v>
      </c>
      <c r="G19" s="235">
        <f>'04A Prevádzkové príjmy NOV200'!H72/Parametre!$C$152*Parametre!H167</f>
        <v>385.47820788402311</v>
      </c>
      <c r="H19" s="235">
        <f>'04A Prevádzkové príjmy NOV200'!I72/Parametre!$C$152*Parametre!I167</f>
        <v>864.4021577435484</v>
      </c>
      <c r="I19" s="235">
        <f>'04A Prevádzkové príjmy NOV200'!J72/Parametre!$C$152*Parametre!J167</f>
        <v>1264.1392641751804</v>
      </c>
      <c r="J19" s="235">
        <f>'04A Prevádzkové príjmy NOV200'!K72/Parametre!$C$152*Parametre!K167</f>
        <v>1586.3999660950378</v>
      </c>
      <c r="K19" s="235">
        <f>'04A Prevádzkové príjmy NOV200'!L72/Parametre!$C$152*Parametre!L167</f>
        <v>1985.9046336130561</v>
      </c>
      <c r="L19" s="235">
        <f>'04A Prevádzkové príjmy NOV200'!M72/Parametre!$C$152*Parametre!M167</f>
        <v>2443.710457470559</v>
      </c>
      <c r="M19" s="235">
        <f>'04A Prevádzkové príjmy NOV200'!N72/Parametre!$C$152*Parametre!N167</f>
        <v>3042.0206460917657</v>
      </c>
      <c r="N19" s="235">
        <f>'04A Prevádzkové príjmy NOV200'!O72/Parametre!$C$152*Parametre!O167</f>
        <v>3534.1373698551943</v>
      </c>
      <c r="O19" s="235">
        <f>'04A Prevádzkové príjmy NOV200'!P72/Parametre!$C$152*Parametre!P167</f>
        <v>4037.4696126568929</v>
      </c>
      <c r="P19" s="235">
        <f>'04A Prevádzkové príjmy NOV200'!Q72/Parametre!$C$152*Parametre!Q167</f>
        <v>4548.8209260837539</v>
      </c>
      <c r="Q19" s="235">
        <f>'04A Prevádzkové príjmy NOV200'!R72/Parametre!$C$152*Parametre!R167</f>
        <v>5071.7066209167106</v>
      </c>
      <c r="R19" s="235">
        <f>'04A Prevádzkové príjmy NOV200'!S72/Parametre!$C$152*Parametre!S167</f>
        <v>5602.866934433906</v>
      </c>
      <c r="S19" s="235">
        <f>'04A Prevádzkové príjmy NOV200'!T72/Parametre!$C$152*Parametre!T167</f>
        <v>6072.8683180720245</v>
      </c>
      <c r="T19" s="235">
        <f>'04A Prevádzkové príjmy NOV200'!U72/Parametre!$C$152*Parametre!U167</f>
        <v>6539.2459775276629</v>
      </c>
      <c r="U19" s="235">
        <f>'04A Prevádzkové príjmy NOV200'!V72/Parametre!$C$152*Parametre!V167</f>
        <v>7005.4516994380347</v>
      </c>
      <c r="V19" s="235">
        <f>'04A Prevádzkové príjmy NOV200'!W72/Parametre!$C$152*Parametre!W167</f>
        <v>7468.0520126401607</v>
      </c>
      <c r="W19" s="235">
        <f>'04A Prevádzkové príjmy NOV200'!X72/Parametre!$C$152*Parametre!X167</f>
        <v>7930.484902761702</v>
      </c>
      <c r="X19" s="235">
        <f>'04A Prevádzkové príjmy NOV200'!Y72/Parametre!$C$152*Parametre!Y167</f>
        <v>8389.3306111356433</v>
      </c>
      <c r="Y19" s="235">
        <f>'04A Prevádzkové príjmy NOV200'!Z72/Parametre!$C$152*Parametre!Z167</f>
        <v>8848.0133775595805</v>
      </c>
      <c r="Z19" s="235">
        <f>'04A Prevádzkové príjmy NOV200'!AA72/Parametre!$C$152*Parametre!AA167</f>
        <v>9303.1271010979217</v>
      </c>
      <c r="AA19" s="235">
        <f>'04A Prevádzkové príjmy NOV200'!AB72/Parametre!$C$152*Parametre!AB167</f>
        <v>9758.0823306770599</v>
      </c>
      <c r="AB19" s="235">
        <f>'04A Prevádzkové príjmy NOV200'!AC72/Parametre!$C$152*Parametre!AC167</f>
        <v>10209.486568546992</v>
      </c>
      <c r="AC19" s="235">
        <f>'04A Prevádzkové príjmy NOV200'!AD72/Parametre!$C$152*Parametre!AD167</f>
        <v>10659.046157136121</v>
      </c>
      <c r="AD19" s="235">
        <f>'04A Prevádzkové príjmy NOV200'!AE72/Parametre!$C$152*Parametre!AE167</f>
        <v>11108.453858649811</v>
      </c>
      <c r="AE19" s="235">
        <f>'04A Prevádzkové príjmy NOV200'!AF72/Parametre!$C$152*Parametre!AF167</f>
        <v>11554.337478326077</v>
      </c>
      <c r="AF19" s="235">
        <f>'04A Prevádzkové príjmy NOV200'!AG72/Parametre!$C$152*Parametre!AG167</f>
        <v>12000.07357692525</v>
      </c>
      <c r="AG19" s="235">
        <f>'04A Prevádzkové príjmy NOV200'!AH72/Parametre!$C$152*Parametre!AH167</f>
        <v>12442.3034274575</v>
      </c>
      <c r="AH19" s="235">
        <f>'04A Prevádzkové príjmy NOV200'!AI72/Parametre!$C$152*Parametre!AI167</f>
        <v>12884.390090443281</v>
      </c>
      <c r="AI19" s="235">
        <f>'04A Prevádzkové príjmy NOV200'!AJ72/Parametre!$C$152*Parametre!AJ167</f>
        <v>13322.98825287774</v>
      </c>
      <c r="AJ19" s="235">
        <f>'04A Prevádzkové príjmy NOV200'!AK72/Parametre!$C$152*Parametre!AK167</f>
        <v>13761.447529018398</v>
      </c>
      <c r="AK19" s="235">
        <f>'04A Prevádzkové príjmy NOV200'!AL72/Parametre!$C$152*Parametre!AL167</f>
        <v>14196.435966273017</v>
      </c>
      <c r="AL19" s="235">
        <f>'04A Prevádzkové príjmy NOV200'!AM72/Parametre!$C$152*Parametre!AM167</f>
        <v>14631.289786397307</v>
      </c>
      <c r="AM19" s="235">
        <f>'04A Prevádzkové príjmy NOV200'!AN72/Parametre!$C$152*Parametre!AN167</f>
        <v>15062.690343853252</v>
      </c>
      <c r="AN19" s="235">
        <f>'04A Prevádzkové príjmy NOV200'!AO72/Parametre!$C$152*Parametre!AO167</f>
        <v>15493.960521440924</v>
      </c>
      <c r="AO19" s="235">
        <f>'04A Prevádzkové príjmy NOV200'!AP72/Parametre!$C$152*Parametre!AP167</f>
        <v>15921.794927531209</v>
      </c>
      <c r="AP19" s="235">
        <f>'04A Prevádzkové príjmy NOV200'!AQ72/Parametre!$C$152*Parametre!AQ167</f>
        <v>16349.503159300661</v>
      </c>
      <c r="AQ19" s="235">
        <f>'04A Prevádzkové príjmy NOV200'!AR72/Parametre!$C$152*Parametre!AR167</f>
        <v>16438.448673163464</v>
      </c>
    </row>
    <row r="20" spans="2:43" x14ac:dyDescent="0.2"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</row>
    <row r="21" spans="2:43" x14ac:dyDescent="0.2"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</row>
    <row r="22" spans="2:43" x14ac:dyDescent="0.2">
      <c r="B22" s="358" t="s">
        <v>617</v>
      </c>
      <c r="C22" s="359"/>
      <c r="D22" s="256" t="s">
        <v>10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</row>
    <row r="23" spans="2:43" x14ac:dyDescent="0.2">
      <c r="B23" s="360" t="s">
        <v>612</v>
      </c>
      <c r="C23" s="361"/>
      <c r="D23" s="256">
        <v>1</v>
      </c>
      <c r="E23" s="256">
        <v>2</v>
      </c>
      <c r="F23" s="256">
        <v>3</v>
      </c>
      <c r="G23" s="256">
        <v>4</v>
      </c>
      <c r="H23" s="256">
        <v>5</v>
      </c>
      <c r="I23" s="256">
        <v>6</v>
      </c>
      <c r="J23" s="256">
        <v>7</v>
      </c>
      <c r="K23" s="256">
        <v>8</v>
      </c>
      <c r="L23" s="256">
        <v>9</v>
      </c>
      <c r="M23" s="256">
        <v>10</v>
      </c>
      <c r="N23" s="256">
        <v>11</v>
      </c>
      <c r="O23" s="256">
        <v>12</v>
      </c>
      <c r="P23" s="256">
        <v>13</v>
      </c>
      <c r="Q23" s="256">
        <v>14</v>
      </c>
      <c r="R23" s="256">
        <v>15</v>
      </c>
      <c r="S23" s="256">
        <v>16</v>
      </c>
      <c r="T23" s="256">
        <v>17</v>
      </c>
      <c r="U23" s="256">
        <v>18</v>
      </c>
      <c r="V23" s="256">
        <v>19</v>
      </c>
      <c r="W23" s="256">
        <v>20</v>
      </c>
      <c r="X23" s="256">
        <v>21</v>
      </c>
      <c r="Y23" s="256">
        <v>22</v>
      </c>
      <c r="Z23" s="256">
        <v>23</v>
      </c>
      <c r="AA23" s="256">
        <v>24</v>
      </c>
      <c r="AB23" s="256">
        <v>25</v>
      </c>
      <c r="AC23" s="256">
        <v>26</v>
      </c>
      <c r="AD23" s="256">
        <v>27</v>
      </c>
      <c r="AE23" s="256">
        <v>28</v>
      </c>
      <c r="AF23" s="256">
        <v>29</v>
      </c>
      <c r="AG23" s="256">
        <v>30</v>
      </c>
      <c r="AH23" s="256">
        <v>31</v>
      </c>
      <c r="AI23" s="256">
        <v>32</v>
      </c>
      <c r="AJ23" s="256">
        <v>33</v>
      </c>
      <c r="AK23" s="256">
        <v>34</v>
      </c>
      <c r="AL23" s="256">
        <v>35</v>
      </c>
      <c r="AM23" s="256">
        <v>36</v>
      </c>
      <c r="AN23" s="256">
        <v>37</v>
      </c>
      <c r="AO23" s="256">
        <v>38</v>
      </c>
      <c r="AP23" s="256">
        <v>39</v>
      </c>
      <c r="AQ23" s="256">
        <v>40</v>
      </c>
    </row>
    <row r="24" spans="2:43" x14ac:dyDescent="0.2">
      <c r="B24" s="259" t="s">
        <v>33</v>
      </c>
      <c r="C24" s="259" t="s">
        <v>9</v>
      </c>
      <c r="D24" s="304">
        <v>2026</v>
      </c>
      <c r="E24" s="304">
        <f>$D$6+D23</f>
        <v>2027</v>
      </c>
      <c r="F24" s="304">
        <f t="shared" ref="F24:AN24" si="12">$D$6+E23</f>
        <v>2028</v>
      </c>
      <c r="G24" s="304">
        <f t="shared" si="12"/>
        <v>2029</v>
      </c>
      <c r="H24" s="304">
        <f t="shared" si="12"/>
        <v>2030</v>
      </c>
      <c r="I24" s="304">
        <f t="shared" si="12"/>
        <v>2031</v>
      </c>
      <c r="J24" s="304">
        <f t="shared" si="12"/>
        <v>2032</v>
      </c>
      <c r="K24" s="304">
        <f t="shared" si="12"/>
        <v>2033</v>
      </c>
      <c r="L24" s="304">
        <f t="shared" si="12"/>
        <v>2034</v>
      </c>
      <c r="M24" s="304">
        <f t="shared" si="12"/>
        <v>2035</v>
      </c>
      <c r="N24" s="304">
        <f t="shared" si="12"/>
        <v>2036</v>
      </c>
      <c r="O24" s="304">
        <f t="shared" si="12"/>
        <v>2037</v>
      </c>
      <c r="P24" s="304">
        <f t="shared" si="12"/>
        <v>2038</v>
      </c>
      <c r="Q24" s="304">
        <f t="shared" si="12"/>
        <v>2039</v>
      </c>
      <c r="R24" s="304">
        <f t="shared" si="12"/>
        <v>2040</v>
      </c>
      <c r="S24" s="304">
        <f t="shared" si="12"/>
        <v>2041</v>
      </c>
      <c r="T24" s="304">
        <f t="shared" si="12"/>
        <v>2042</v>
      </c>
      <c r="U24" s="304">
        <f t="shared" si="12"/>
        <v>2043</v>
      </c>
      <c r="V24" s="304">
        <f t="shared" si="12"/>
        <v>2044</v>
      </c>
      <c r="W24" s="304">
        <f t="shared" si="12"/>
        <v>2045</v>
      </c>
      <c r="X24" s="304">
        <f t="shared" si="12"/>
        <v>2046</v>
      </c>
      <c r="Y24" s="304">
        <f t="shared" si="12"/>
        <v>2047</v>
      </c>
      <c r="Z24" s="304">
        <f t="shared" si="12"/>
        <v>2048</v>
      </c>
      <c r="AA24" s="304">
        <f t="shared" si="12"/>
        <v>2049</v>
      </c>
      <c r="AB24" s="304">
        <f t="shared" si="12"/>
        <v>2050</v>
      </c>
      <c r="AC24" s="304">
        <f t="shared" si="12"/>
        <v>2051</v>
      </c>
      <c r="AD24" s="304">
        <f t="shared" si="12"/>
        <v>2052</v>
      </c>
      <c r="AE24" s="304">
        <f t="shared" si="12"/>
        <v>2053</v>
      </c>
      <c r="AF24" s="304">
        <f t="shared" si="12"/>
        <v>2054</v>
      </c>
      <c r="AG24" s="304">
        <f t="shared" si="12"/>
        <v>2055</v>
      </c>
      <c r="AH24" s="304">
        <f t="shared" si="12"/>
        <v>2056</v>
      </c>
      <c r="AI24" s="304">
        <f t="shared" si="12"/>
        <v>2057</v>
      </c>
      <c r="AJ24" s="304">
        <f t="shared" si="12"/>
        <v>2058</v>
      </c>
      <c r="AK24" s="304">
        <f t="shared" si="12"/>
        <v>2059</v>
      </c>
      <c r="AL24" s="304">
        <f t="shared" si="12"/>
        <v>2060</v>
      </c>
      <c r="AM24" s="304">
        <f t="shared" si="12"/>
        <v>2061</v>
      </c>
      <c r="AN24" s="304">
        <f t="shared" si="12"/>
        <v>2062</v>
      </c>
      <c r="AO24" s="304">
        <f t="shared" ref="AO24" si="13">$D$6+AN23</f>
        <v>2063</v>
      </c>
      <c r="AP24" s="304">
        <f t="shared" ref="AP24" si="14">$D$6+AO23</f>
        <v>2064</v>
      </c>
      <c r="AQ24" s="304">
        <f t="shared" ref="AQ24" si="15">$D$6+AP23</f>
        <v>2065</v>
      </c>
    </row>
    <row r="25" spans="2:43" x14ac:dyDescent="0.2">
      <c r="B25" s="362" t="s">
        <v>685</v>
      </c>
      <c r="C25" s="363">
        <f>SUM(D25:AQ25)</f>
        <v>14853098.591284538</v>
      </c>
      <c r="D25" s="235">
        <f>'04A Prevádzkové príjmy NOV200'!E78/Parametre!$C$152*Parametre!E165</f>
        <v>0</v>
      </c>
      <c r="E25" s="235">
        <f>'04A Prevádzkové príjmy NOV200'!F78/Parametre!$C$152*Parametre!F165</f>
        <v>0</v>
      </c>
      <c r="F25" s="235">
        <f>'04A Prevádzkové príjmy NOV200'!G78/Parametre!$C$152*Parametre!G165</f>
        <v>0</v>
      </c>
      <c r="G25" s="235">
        <f>'04A Prevádzkové príjmy NOV200'!H78/Parametre!$C$152*Parametre!H165</f>
        <v>343352.04796014883</v>
      </c>
      <c r="H25" s="235">
        <f>'04A Prevádzkové príjmy NOV200'!I78/Parametre!$C$152*Parametre!I165</f>
        <v>648313.58695292252</v>
      </c>
      <c r="I25" s="235">
        <f>'04A Prevádzkové príjmy NOV200'!J78/Parametre!$C$152*Parametre!J165</f>
        <v>757990.54419208004</v>
      </c>
      <c r="J25" s="235">
        <f>'04A Prevádzkové príjmy NOV200'!K78/Parametre!$C$152*Parametre!K165</f>
        <v>749426.89884824003</v>
      </c>
      <c r="K25" s="235">
        <f>'04A Prevádzkové príjmy NOV200'!L78/Parametre!$C$152*Parametre!L165</f>
        <v>736918.14341465512</v>
      </c>
      <c r="L25" s="235">
        <f>'04A Prevádzkové príjmy NOV200'!M78/Parametre!$C$152*Parametre!M165</f>
        <v>721452.77986883733</v>
      </c>
      <c r="M25" s="235">
        <f>'04A Prevádzkové príjmy NOV200'!N78/Parametre!$C$152*Parametre!N165</f>
        <v>698745.56506534095</v>
      </c>
      <c r="N25" s="235">
        <f>'04A Prevádzkové príjmy NOV200'!O78/Parametre!$C$152*Parametre!O165</f>
        <v>681660.16430384154</v>
      </c>
      <c r="O25" s="235">
        <f>'04A Prevádzkové príjmy NOV200'!P78/Parametre!$C$152*Parametre!P165</f>
        <v>664075.72203184187</v>
      </c>
      <c r="P25" s="235">
        <f>'04A Prevádzkové príjmy NOV200'!Q78/Parametre!$C$152*Parametre!Q165</f>
        <v>646159.75842612318</v>
      </c>
      <c r="Q25" s="235">
        <f>'04A Prevádzkové príjmy NOV200'!R78/Parametre!$C$152*Parametre!R165</f>
        <v>627729.85111265408</v>
      </c>
      <c r="R25" s="235">
        <f>'04A Prevádzkové príjmy NOV200'!S78/Parametre!$C$152*Parametre!S165</f>
        <v>608956.83870914008</v>
      </c>
      <c r="S25" s="235">
        <f>'04A Prevádzkové príjmy NOV200'!T78/Parametre!$C$152*Parametre!T165</f>
        <v>582648.78592490754</v>
      </c>
      <c r="T25" s="235">
        <f>'04A Prevádzkové príjmy NOV200'!U78/Parametre!$C$152*Parametre!U165</f>
        <v>556533.278480832</v>
      </c>
      <c r="U25" s="235">
        <f>'04A Prevádzkové príjmy NOV200'!V78/Parametre!$C$152*Parametre!V165</f>
        <v>530430.33301292709</v>
      </c>
      <c r="V25" s="235">
        <f>'04A Prevádzkové príjmy NOV200'!W78/Parametre!$C$152*Parametre!W165</f>
        <v>504518.96351332491</v>
      </c>
      <c r="W25" s="235">
        <f>'04A Prevádzkové príjmy NOV200'!X78/Parametre!$C$152*Parametre!X165</f>
        <v>478619.90623148304</v>
      </c>
      <c r="X25" s="235">
        <f>'04A Prevádzkové príjmy NOV200'!Y78/Parametre!$C$152*Parametre!Y165</f>
        <v>452911.46021874278</v>
      </c>
      <c r="Y25" s="235">
        <f>'04A Prevádzkové príjmy NOV200'!Z78/Parametre!$C$152*Parametre!Z165</f>
        <v>427215.07846083184</v>
      </c>
      <c r="Z25" s="235">
        <f>'04A Prevádzkové príjmy NOV200'!AA78/Parametre!$C$152*Parametre!AA165</f>
        <v>401708.34792360925</v>
      </c>
      <c r="AA25" s="235">
        <f>'04A Prevádzkové príjmy NOV200'!AB78/Parametre!$C$152*Parametre!AB165</f>
        <v>376213.43546340318</v>
      </c>
      <c r="AB25" s="235">
        <f>'04A Prevádzkové príjmy NOV200'!AC78/Parametre!$C$152*Parametre!AC165</f>
        <v>350907.21880449506</v>
      </c>
      <c r="AC25" s="235">
        <f>'04A Prevádzkové príjmy NOV200'!AD78/Parametre!$C$152*Parametre!AD165</f>
        <v>325700.72215848078</v>
      </c>
      <c r="AD25" s="235">
        <f>'04A Prevádzkové príjmy NOV200'!AE78/Parametre!$C$152*Parametre!AE165</f>
        <v>300505.67782397388</v>
      </c>
      <c r="AE25" s="235">
        <f>'04A Prevádzkové príjmy NOV200'!AF78/Parametre!$C$152*Parametre!AF165</f>
        <v>275497.90497002535</v>
      </c>
      <c r="AF25" s="235">
        <f>'04A Prevádzkové príjmy NOV200'!AG78/Parametre!$C$152*Parametre!AG165</f>
        <v>250501.34266688465</v>
      </c>
      <c r="AG25" s="235">
        <f>'04A Prevádzkové príjmy NOV200'!AH78/Parametre!$C$152*Parametre!AH165</f>
        <v>225691.10790219749</v>
      </c>
      <c r="AH25" s="235">
        <f>'04A Prevádzkové príjmy NOV200'!AI78/Parametre!$C$152*Parametre!AI165</f>
        <v>200891.84367689924</v>
      </c>
      <c r="AI25" s="235">
        <f>'04A Prevádzkové príjmy NOV200'!AJ78/Parametre!$C$152*Parametre!AJ165</f>
        <v>176277.96760158124</v>
      </c>
      <c r="AJ25" s="235">
        <f>'04A Prevádzkové príjmy NOV200'!AK78/Parametre!$C$152*Parametre!AK165</f>
        <v>151674.82379339414</v>
      </c>
      <c r="AK25" s="235">
        <f>'04A Prevádzkové príjmy NOV200'!AL78/Parametre!$C$152*Parametre!AL165</f>
        <v>127256.13327902551</v>
      </c>
      <c r="AL25" s="235">
        <f>'04A Prevádzkové príjmy NOV200'!AM78/Parametre!$C$152*Parametre!AM165</f>
        <v>102847.93848862388</v>
      </c>
      <c r="AM25" s="235">
        <f>'04A Prevádzkové príjmy NOV200'!AN78/Parametre!$C$152*Parametre!AN165</f>
        <v>78623.266646968375</v>
      </c>
      <c r="AN25" s="235">
        <f>'04A Prevádzkové príjmy NOV200'!AO78/Parametre!$C$152*Parametre!AO165</f>
        <v>54408.855705196293</v>
      </c>
      <c r="AO25" s="235">
        <f>'04A Prevádzkové príjmy NOV200'!AP78/Parametre!$C$152*Parametre!AP165</f>
        <v>30377.04185706245</v>
      </c>
      <c r="AP25" s="235">
        <f>'04A Prevádzkové príjmy NOV200'!AQ78/Parametre!$C$152*Parametre!AQ165</f>
        <v>6355.2557938463606</v>
      </c>
      <c r="AQ25" s="235">
        <f>'04A Prevádzkové príjmy NOV200'!AR78/Parametre!$C$152*Parametre!AR165</f>
        <v>0</v>
      </c>
    </row>
    <row r="27" spans="2:43" x14ac:dyDescent="0.2">
      <c r="B27" s="305"/>
      <c r="C27" s="305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</row>
    <row r="28" spans="2:43" x14ac:dyDescent="0.2">
      <c r="B28" s="358" t="s">
        <v>618</v>
      </c>
      <c r="C28" s="359"/>
      <c r="D28" s="256" t="s">
        <v>10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</row>
    <row r="29" spans="2:43" x14ac:dyDescent="0.2">
      <c r="B29" s="360" t="s">
        <v>614</v>
      </c>
      <c r="C29" s="361"/>
      <c r="D29" s="256">
        <v>1</v>
      </c>
      <c r="E29" s="256">
        <v>2</v>
      </c>
      <c r="F29" s="256">
        <v>3</v>
      </c>
      <c r="G29" s="256">
        <v>4</v>
      </c>
      <c r="H29" s="256">
        <v>5</v>
      </c>
      <c r="I29" s="256">
        <v>6</v>
      </c>
      <c r="J29" s="256">
        <v>7</v>
      </c>
      <c r="K29" s="256">
        <v>8</v>
      </c>
      <c r="L29" s="256">
        <v>9</v>
      </c>
      <c r="M29" s="256">
        <v>10</v>
      </c>
      <c r="N29" s="256">
        <v>11</v>
      </c>
      <c r="O29" s="256">
        <v>12</v>
      </c>
      <c r="P29" s="256">
        <v>13</v>
      </c>
      <c r="Q29" s="256">
        <v>14</v>
      </c>
      <c r="R29" s="256">
        <v>15</v>
      </c>
      <c r="S29" s="256">
        <v>16</v>
      </c>
      <c r="T29" s="256">
        <v>17</v>
      </c>
      <c r="U29" s="256">
        <v>18</v>
      </c>
      <c r="V29" s="256">
        <v>19</v>
      </c>
      <c r="W29" s="256">
        <v>20</v>
      </c>
      <c r="X29" s="256">
        <v>21</v>
      </c>
      <c r="Y29" s="256">
        <v>22</v>
      </c>
      <c r="Z29" s="256">
        <v>23</v>
      </c>
      <c r="AA29" s="256">
        <v>24</v>
      </c>
      <c r="AB29" s="256">
        <v>25</v>
      </c>
      <c r="AC29" s="256">
        <v>26</v>
      </c>
      <c r="AD29" s="256">
        <v>27</v>
      </c>
      <c r="AE29" s="256">
        <v>28</v>
      </c>
      <c r="AF29" s="256">
        <v>29</v>
      </c>
      <c r="AG29" s="256">
        <v>30</v>
      </c>
      <c r="AH29" s="256">
        <v>31</v>
      </c>
      <c r="AI29" s="256">
        <v>32</v>
      </c>
      <c r="AJ29" s="256">
        <v>33</v>
      </c>
      <c r="AK29" s="256">
        <v>34</v>
      </c>
      <c r="AL29" s="256">
        <v>35</v>
      </c>
      <c r="AM29" s="256">
        <v>36</v>
      </c>
      <c r="AN29" s="256">
        <v>37</v>
      </c>
      <c r="AO29" s="256">
        <v>38</v>
      </c>
      <c r="AP29" s="256">
        <v>39</v>
      </c>
      <c r="AQ29" s="256">
        <v>40</v>
      </c>
    </row>
    <row r="30" spans="2:43" x14ac:dyDescent="0.2">
      <c r="B30" s="259" t="s">
        <v>33</v>
      </c>
      <c r="C30" s="259" t="s">
        <v>9</v>
      </c>
      <c r="D30" s="304">
        <v>2026</v>
      </c>
      <c r="E30" s="304">
        <f>$D$6+D29</f>
        <v>2027</v>
      </c>
      <c r="F30" s="304">
        <f t="shared" ref="F30:AN30" si="16">$D$6+E29</f>
        <v>2028</v>
      </c>
      <c r="G30" s="304">
        <f t="shared" si="16"/>
        <v>2029</v>
      </c>
      <c r="H30" s="304">
        <f t="shared" si="16"/>
        <v>2030</v>
      </c>
      <c r="I30" s="304">
        <f t="shared" si="16"/>
        <v>2031</v>
      </c>
      <c r="J30" s="304">
        <f t="shared" si="16"/>
        <v>2032</v>
      </c>
      <c r="K30" s="304">
        <f t="shared" si="16"/>
        <v>2033</v>
      </c>
      <c r="L30" s="304">
        <f t="shared" si="16"/>
        <v>2034</v>
      </c>
      <c r="M30" s="304">
        <f t="shared" si="16"/>
        <v>2035</v>
      </c>
      <c r="N30" s="304">
        <f t="shared" si="16"/>
        <v>2036</v>
      </c>
      <c r="O30" s="304">
        <f t="shared" si="16"/>
        <v>2037</v>
      </c>
      <c r="P30" s="304">
        <f t="shared" si="16"/>
        <v>2038</v>
      </c>
      <c r="Q30" s="304">
        <f t="shared" si="16"/>
        <v>2039</v>
      </c>
      <c r="R30" s="304">
        <f t="shared" si="16"/>
        <v>2040</v>
      </c>
      <c r="S30" s="304">
        <f t="shared" si="16"/>
        <v>2041</v>
      </c>
      <c r="T30" s="304">
        <f t="shared" si="16"/>
        <v>2042</v>
      </c>
      <c r="U30" s="304">
        <f t="shared" si="16"/>
        <v>2043</v>
      </c>
      <c r="V30" s="304">
        <f t="shared" si="16"/>
        <v>2044</v>
      </c>
      <c r="W30" s="304">
        <f t="shared" si="16"/>
        <v>2045</v>
      </c>
      <c r="X30" s="304">
        <f t="shared" si="16"/>
        <v>2046</v>
      </c>
      <c r="Y30" s="304">
        <f t="shared" si="16"/>
        <v>2047</v>
      </c>
      <c r="Z30" s="304">
        <f t="shared" si="16"/>
        <v>2048</v>
      </c>
      <c r="AA30" s="304">
        <f t="shared" si="16"/>
        <v>2049</v>
      </c>
      <c r="AB30" s="304">
        <f t="shared" si="16"/>
        <v>2050</v>
      </c>
      <c r="AC30" s="304">
        <f t="shared" si="16"/>
        <v>2051</v>
      </c>
      <c r="AD30" s="304">
        <f t="shared" si="16"/>
        <v>2052</v>
      </c>
      <c r="AE30" s="304">
        <f t="shared" si="16"/>
        <v>2053</v>
      </c>
      <c r="AF30" s="304">
        <f t="shared" si="16"/>
        <v>2054</v>
      </c>
      <c r="AG30" s="304">
        <f t="shared" si="16"/>
        <v>2055</v>
      </c>
      <c r="AH30" s="304">
        <f t="shared" si="16"/>
        <v>2056</v>
      </c>
      <c r="AI30" s="304">
        <f t="shared" si="16"/>
        <v>2057</v>
      </c>
      <c r="AJ30" s="304">
        <f t="shared" si="16"/>
        <v>2058</v>
      </c>
      <c r="AK30" s="304">
        <f t="shared" si="16"/>
        <v>2059</v>
      </c>
      <c r="AL30" s="304">
        <f t="shared" si="16"/>
        <v>2060</v>
      </c>
      <c r="AM30" s="304">
        <f t="shared" si="16"/>
        <v>2061</v>
      </c>
      <c r="AN30" s="304">
        <f t="shared" si="16"/>
        <v>2062</v>
      </c>
      <c r="AO30" s="304">
        <f t="shared" ref="AO30" si="17">$D$6+AN29</f>
        <v>2063</v>
      </c>
      <c r="AP30" s="304">
        <f t="shared" ref="AP30" si="18">$D$6+AO29</f>
        <v>2064</v>
      </c>
      <c r="AQ30" s="304">
        <f t="shared" ref="AQ30" si="19">$D$6+AP29</f>
        <v>2065</v>
      </c>
    </row>
    <row r="31" spans="2:43" x14ac:dyDescent="0.2">
      <c r="B31" s="362" t="s">
        <v>685</v>
      </c>
      <c r="C31" s="363">
        <f>SUM(D31:AQ31)</f>
        <v>12152535.211050987</v>
      </c>
      <c r="D31" s="235">
        <f>'04A Prevádzkové príjmy NOV200'!E78/Parametre!$C$152*Parametre!E166</f>
        <v>0</v>
      </c>
      <c r="E31" s="235">
        <f>'04A Prevádzkové príjmy NOV200'!F78/Parametre!$C$152*Parametre!F166</f>
        <v>0</v>
      </c>
      <c r="F31" s="235">
        <f>'04A Prevádzkové príjmy NOV200'!G78/Parametre!$C$152*Parametre!G166</f>
        <v>0</v>
      </c>
      <c r="G31" s="235">
        <f>'04A Prevádzkové príjmy NOV200'!H78/Parametre!$C$152*Parametre!H166</f>
        <v>280924.40287648537</v>
      </c>
      <c r="H31" s="235">
        <f>'04A Prevádzkové príjmy NOV200'!I78/Parametre!$C$152*Parametre!I166</f>
        <v>530438.38932511827</v>
      </c>
      <c r="I31" s="235">
        <f>'04A Prevádzkové príjmy NOV200'!J78/Parametre!$C$152*Parametre!J166</f>
        <v>620174.08161170175</v>
      </c>
      <c r="J31" s="235">
        <f>'04A Prevádzkové príjmy NOV200'!K78/Parametre!$C$152*Parametre!K166</f>
        <v>613167.46269401454</v>
      </c>
      <c r="K31" s="235">
        <f>'04A Prevádzkové príjmy NOV200'!L78/Parametre!$C$152*Parametre!L166</f>
        <v>602933.02643017226</v>
      </c>
      <c r="L31" s="235">
        <f>'04A Prevádzkové príjmy NOV200'!M78/Parametre!$C$152*Parametre!M166</f>
        <v>590279.54716541222</v>
      </c>
      <c r="M31" s="235">
        <f>'04A Prevádzkové príjmy NOV200'!N78/Parametre!$C$152*Parametre!N166</f>
        <v>571700.91687164258</v>
      </c>
      <c r="N31" s="235">
        <f>'04A Prevádzkové príjmy NOV200'!O78/Parametre!$C$152*Parametre!O166</f>
        <v>557721.95261223393</v>
      </c>
      <c r="O31" s="235">
        <f>'04A Prevádzkové príjmy NOV200'!P78/Parametre!$C$152*Parametre!P166</f>
        <v>543334.68166241609</v>
      </c>
      <c r="P31" s="235">
        <f>'04A Prevádzkové príjmy NOV200'!Q78/Parametre!$C$152*Parametre!Q166</f>
        <v>528676.16598500998</v>
      </c>
      <c r="Q31" s="235">
        <f>'04A Prevádzkové príjmy NOV200'!R78/Parametre!$C$152*Parametre!R166</f>
        <v>513597.15091035335</v>
      </c>
      <c r="R31" s="235">
        <f>'04A Prevádzkové príjmy NOV200'!S78/Parametre!$C$152*Parametre!S166</f>
        <v>498237.41348929639</v>
      </c>
      <c r="S31" s="235">
        <f>'04A Prevádzkové príjmy NOV200'!T78/Parametre!$C$152*Parametre!T166</f>
        <v>476712.64302946976</v>
      </c>
      <c r="T31" s="235">
        <f>'04A Prevádzkové príjmy NOV200'!U78/Parametre!$C$152*Parametre!U166</f>
        <v>455345.40966613527</v>
      </c>
      <c r="U31" s="235">
        <f>'04A Prevádzkové príjmy NOV200'!V78/Parametre!$C$152*Parametre!V166</f>
        <v>433988.45428330405</v>
      </c>
      <c r="V31" s="235">
        <f>'04A Prevádzkové príjmy NOV200'!W78/Parametre!$C$152*Parametre!W166</f>
        <v>412788.24287453858</v>
      </c>
      <c r="W31" s="235">
        <f>'04A Prevádzkové príjmy NOV200'!X78/Parametre!$C$152*Parametre!X166</f>
        <v>391598.10509848606</v>
      </c>
      <c r="X31" s="235">
        <f>'04A Prevádzkové príjmy NOV200'!Y78/Parametre!$C$152*Parametre!Y166</f>
        <v>370563.92199715314</v>
      </c>
      <c r="Y31" s="235">
        <f>'04A Prevádzkové príjmy NOV200'!Z78/Parametre!$C$152*Parametre!Z166</f>
        <v>349539.60964977153</v>
      </c>
      <c r="Z31" s="235">
        <f>'04A Prevádzkové príjmy NOV200'!AA78/Parametre!$C$152*Parametre!AA166</f>
        <v>328670.46648295294</v>
      </c>
      <c r="AA31" s="235">
        <f>'04A Prevádzkové príjmy NOV200'!AB78/Parametre!$C$152*Parametre!AB166</f>
        <v>307810.99265187531</v>
      </c>
      <c r="AB31" s="235">
        <f>'04A Prevádzkové príjmy NOV200'!AC78/Parametre!$C$152*Parametre!AC166</f>
        <v>287105.90629458684</v>
      </c>
      <c r="AC31" s="235">
        <f>'04A Prevádzkové príjmy NOV200'!AD78/Parametre!$C$152*Parametre!AD166</f>
        <v>266482.40903875703</v>
      </c>
      <c r="AD31" s="235">
        <f>'04A Prevádzkové príjmy NOV200'!AE78/Parametre!$C$152*Parametre!AE166</f>
        <v>245868.28185597865</v>
      </c>
      <c r="AE31" s="235">
        <f>'04A Prevádzkové príjmy NOV200'!AF78/Parametre!$C$152*Parametre!AF166</f>
        <v>225407.37679365714</v>
      </c>
      <c r="AF31" s="235">
        <f>'04A Prevádzkové príjmy NOV200'!AG78/Parametre!$C$152*Parametre!AG166</f>
        <v>204955.64400017835</v>
      </c>
      <c r="AG31" s="235">
        <f>'04A Prevádzkové príjmy NOV200'!AH78/Parametre!$C$152*Parametre!AH166</f>
        <v>184656.36101088885</v>
      </c>
      <c r="AH31" s="235">
        <f>'04A Prevádzkové príjmy NOV200'!AI78/Parametre!$C$152*Parametre!AI166</f>
        <v>164366.053917463</v>
      </c>
      <c r="AI31" s="235">
        <f>'04A Prevádzkové príjmy NOV200'!AJ78/Parametre!$C$152*Parametre!AJ166</f>
        <v>144227.42803765737</v>
      </c>
      <c r="AJ31" s="235">
        <f>'04A Prevádzkové príjmy NOV200'!AK78/Parametre!$C$152*Parametre!AK166</f>
        <v>124097.58310368611</v>
      </c>
      <c r="AK31" s="235">
        <f>'04A Prevádzkové príjmy NOV200'!AL78/Parametre!$C$152*Parametre!AL166</f>
        <v>104118.65450102088</v>
      </c>
      <c r="AL31" s="235">
        <f>'04A Prevádzkové príjmy NOV200'!AM78/Parametre!$C$152*Parametre!AM166</f>
        <v>84148.313308874087</v>
      </c>
      <c r="AM31" s="235">
        <f>'04A Prevádzkové príjmy NOV200'!AN78/Parametre!$C$152*Parametre!AN166</f>
        <v>64328.127256610482</v>
      </c>
      <c r="AN31" s="235">
        <f>'04A Prevádzkové príjmy NOV200'!AO78/Parametre!$C$152*Parametre!AO166</f>
        <v>44516.336486069697</v>
      </c>
      <c r="AO31" s="235">
        <f>'04A Prevádzkové príjmy NOV200'!AP78/Parametre!$C$152*Parametre!AP166</f>
        <v>24853.943337596549</v>
      </c>
      <c r="AP31" s="235">
        <f>'04A Prevádzkové príjmy NOV200'!AQ78/Parametre!$C$152*Parametre!AQ166</f>
        <v>5199.7547404197485</v>
      </c>
      <c r="AQ31" s="235">
        <f>'04A Prevádzkové príjmy NOV200'!AR78/Parametre!$C$152*Parametre!AR166</f>
        <v>0</v>
      </c>
    </row>
    <row r="32" spans="2:43" x14ac:dyDescent="0.2">
      <c r="B32" s="305"/>
      <c r="C32" s="305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</row>
    <row r="33" spans="2:43" x14ac:dyDescent="0.2">
      <c r="B33" s="305"/>
      <c r="C33" s="306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</row>
    <row r="34" spans="2:43" x14ac:dyDescent="0.2">
      <c r="B34" s="358" t="s">
        <v>619</v>
      </c>
      <c r="C34" s="359"/>
      <c r="D34" s="256" t="s">
        <v>10</v>
      </c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</row>
    <row r="35" spans="2:43" x14ac:dyDescent="0.2">
      <c r="B35" s="360" t="s">
        <v>615</v>
      </c>
      <c r="C35" s="361"/>
      <c r="D35" s="256">
        <v>1</v>
      </c>
      <c r="E35" s="256">
        <v>2</v>
      </c>
      <c r="F35" s="256">
        <v>3</v>
      </c>
      <c r="G35" s="256">
        <v>4</v>
      </c>
      <c r="H35" s="256">
        <v>5</v>
      </c>
      <c r="I35" s="256">
        <v>6</v>
      </c>
      <c r="J35" s="256">
        <v>7</v>
      </c>
      <c r="K35" s="256">
        <v>8</v>
      </c>
      <c r="L35" s="256">
        <v>9</v>
      </c>
      <c r="M35" s="256">
        <v>10</v>
      </c>
      <c r="N35" s="256">
        <v>11</v>
      </c>
      <c r="O35" s="256">
        <v>12</v>
      </c>
      <c r="P35" s="256">
        <v>13</v>
      </c>
      <c r="Q35" s="256">
        <v>14</v>
      </c>
      <c r="R35" s="256">
        <v>15</v>
      </c>
      <c r="S35" s="256">
        <v>16</v>
      </c>
      <c r="T35" s="256">
        <v>17</v>
      </c>
      <c r="U35" s="256">
        <v>18</v>
      </c>
      <c r="V35" s="256">
        <v>19</v>
      </c>
      <c r="W35" s="256">
        <v>20</v>
      </c>
      <c r="X35" s="256">
        <v>21</v>
      </c>
      <c r="Y35" s="256">
        <v>22</v>
      </c>
      <c r="Z35" s="256">
        <v>23</v>
      </c>
      <c r="AA35" s="256">
        <v>24</v>
      </c>
      <c r="AB35" s="256">
        <v>25</v>
      </c>
      <c r="AC35" s="256">
        <v>26</v>
      </c>
      <c r="AD35" s="256">
        <v>27</v>
      </c>
      <c r="AE35" s="256">
        <v>28</v>
      </c>
      <c r="AF35" s="256">
        <v>29</v>
      </c>
      <c r="AG35" s="256">
        <v>30</v>
      </c>
      <c r="AH35" s="256">
        <v>31</v>
      </c>
      <c r="AI35" s="256">
        <v>32</v>
      </c>
      <c r="AJ35" s="256">
        <v>33</v>
      </c>
      <c r="AK35" s="256">
        <v>34</v>
      </c>
      <c r="AL35" s="256">
        <v>35</v>
      </c>
      <c r="AM35" s="256">
        <v>36</v>
      </c>
      <c r="AN35" s="256">
        <v>37</v>
      </c>
      <c r="AO35" s="256">
        <v>38</v>
      </c>
      <c r="AP35" s="256">
        <v>39</v>
      </c>
      <c r="AQ35" s="256">
        <v>40</v>
      </c>
    </row>
    <row r="36" spans="2:43" x14ac:dyDescent="0.2">
      <c r="B36" s="259" t="s">
        <v>33</v>
      </c>
      <c r="C36" s="259" t="s">
        <v>9</v>
      </c>
      <c r="D36" s="304">
        <v>2026</v>
      </c>
      <c r="E36" s="304">
        <f>$D$6+D35</f>
        <v>2027</v>
      </c>
      <c r="F36" s="304">
        <f t="shared" ref="F36:AN36" si="20">$D$6+E35</f>
        <v>2028</v>
      </c>
      <c r="G36" s="304">
        <f t="shared" si="20"/>
        <v>2029</v>
      </c>
      <c r="H36" s="304">
        <f t="shared" si="20"/>
        <v>2030</v>
      </c>
      <c r="I36" s="304">
        <f t="shared" si="20"/>
        <v>2031</v>
      </c>
      <c r="J36" s="304">
        <f t="shared" si="20"/>
        <v>2032</v>
      </c>
      <c r="K36" s="304">
        <f t="shared" si="20"/>
        <v>2033</v>
      </c>
      <c r="L36" s="304">
        <f t="shared" si="20"/>
        <v>2034</v>
      </c>
      <c r="M36" s="304">
        <f t="shared" si="20"/>
        <v>2035</v>
      </c>
      <c r="N36" s="304">
        <f t="shared" si="20"/>
        <v>2036</v>
      </c>
      <c r="O36" s="304">
        <f t="shared" si="20"/>
        <v>2037</v>
      </c>
      <c r="P36" s="304">
        <f t="shared" si="20"/>
        <v>2038</v>
      </c>
      <c r="Q36" s="304">
        <f t="shared" si="20"/>
        <v>2039</v>
      </c>
      <c r="R36" s="304">
        <f t="shared" si="20"/>
        <v>2040</v>
      </c>
      <c r="S36" s="304">
        <f t="shared" si="20"/>
        <v>2041</v>
      </c>
      <c r="T36" s="304">
        <f t="shared" si="20"/>
        <v>2042</v>
      </c>
      <c r="U36" s="304">
        <f t="shared" si="20"/>
        <v>2043</v>
      </c>
      <c r="V36" s="304">
        <f t="shared" si="20"/>
        <v>2044</v>
      </c>
      <c r="W36" s="304">
        <f t="shared" si="20"/>
        <v>2045</v>
      </c>
      <c r="X36" s="304">
        <f t="shared" si="20"/>
        <v>2046</v>
      </c>
      <c r="Y36" s="304">
        <f t="shared" si="20"/>
        <v>2047</v>
      </c>
      <c r="Z36" s="304">
        <f t="shared" si="20"/>
        <v>2048</v>
      </c>
      <c r="AA36" s="304">
        <f t="shared" si="20"/>
        <v>2049</v>
      </c>
      <c r="AB36" s="304">
        <f t="shared" si="20"/>
        <v>2050</v>
      </c>
      <c r="AC36" s="304">
        <f t="shared" si="20"/>
        <v>2051</v>
      </c>
      <c r="AD36" s="304">
        <f t="shared" si="20"/>
        <v>2052</v>
      </c>
      <c r="AE36" s="304">
        <f t="shared" si="20"/>
        <v>2053</v>
      </c>
      <c r="AF36" s="304">
        <f t="shared" si="20"/>
        <v>2054</v>
      </c>
      <c r="AG36" s="304">
        <f t="shared" si="20"/>
        <v>2055</v>
      </c>
      <c r="AH36" s="304">
        <f t="shared" si="20"/>
        <v>2056</v>
      </c>
      <c r="AI36" s="304">
        <f t="shared" si="20"/>
        <v>2057</v>
      </c>
      <c r="AJ36" s="304">
        <f t="shared" si="20"/>
        <v>2058</v>
      </c>
      <c r="AK36" s="304">
        <f t="shared" si="20"/>
        <v>2059</v>
      </c>
      <c r="AL36" s="304">
        <f t="shared" si="20"/>
        <v>2060</v>
      </c>
      <c r="AM36" s="304">
        <f t="shared" si="20"/>
        <v>2061</v>
      </c>
      <c r="AN36" s="304">
        <f t="shared" si="20"/>
        <v>2062</v>
      </c>
      <c r="AO36" s="304">
        <f t="shared" ref="AO36" si="21">$D$6+AN35</f>
        <v>2063</v>
      </c>
      <c r="AP36" s="304">
        <f t="shared" ref="AP36" si="22">$D$6+AO35</f>
        <v>2064</v>
      </c>
      <c r="AQ36" s="304">
        <f t="shared" ref="AQ36" si="23">$D$6+AP35</f>
        <v>2065</v>
      </c>
    </row>
    <row r="37" spans="2:43" x14ac:dyDescent="0.2">
      <c r="B37" s="362" t="s">
        <v>685</v>
      </c>
      <c r="C37" s="363">
        <f>SUM(D37:AQ37)</f>
        <v>30498900.854611631</v>
      </c>
      <c r="D37" s="235">
        <f>'04A Prevádzkové príjmy NOV200'!E78/Parametre!$C$152*Parametre!E167</f>
        <v>0</v>
      </c>
      <c r="E37" s="235">
        <f>'04A Prevádzkové príjmy NOV200'!F78/Parametre!$C$152*Parametre!F167</f>
        <v>0</v>
      </c>
      <c r="F37" s="235">
        <f>'04A Prevádzkové príjmy NOV200'!G78/Parametre!$C$152*Parametre!G167</f>
        <v>0</v>
      </c>
      <c r="G37" s="235">
        <f>'04A Prevádzkové príjmy NOV200'!H78/Parametre!$C$152*Parametre!H167</f>
        <v>36543.33410740539</v>
      </c>
      <c r="H37" s="235">
        <f>'04A Prevádzkové príjmy NOV200'!I78/Parametre!$C$152*Parametre!I167</f>
        <v>81945.324554088395</v>
      </c>
      <c r="I37" s="235">
        <f>'04A Prevádzkové príjmy NOV200'!J78/Parametre!$C$152*Parametre!J167</f>
        <v>119840.4022438071</v>
      </c>
      <c r="J37" s="235">
        <f>'04A Prevádzkové príjmy NOV200'!K78/Parametre!$C$152*Parametre!K167</f>
        <v>150390.71678580958</v>
      </c>
      <c r="K37" s="235">
        <f>'04A Prevádzkové príjmy NOV200'!L78/Parametre!$C$152*Parametre!L167</f>
        <v>188263.75926651771</v>
      </c>
      <c r="L37" s="235">
        <f>'04A Prevádzkové príjmy NOV200'!M78/Parametre!$C$152*Parametre!M167</f>
        <v>231663.75136820902</v>
      </c>
      <c r="M37" s="235">
        <f>'04A Prevádzkové príjmy NOV200'!N78/Parametre!$C$152*Parametre!N167</f>
        <v>288383.55724949937</v>
      </c>
      <c r="N37" s="235">
        <f>'04A Prevádzkové príjmy NOV200'!O78/Parametre!$C$152*Parametre!O167</f>
        <v>335036.2226622724</v>
      </c>
      <c r="O37" s="235">
        <f>'04A Prevádzkové príjmy NOV200'!P78/Parametre!$C$152*Parametre!P167</f>
        <v>382752.11927987344</v>
      </c>
      <c r="P37" s="235">
        <f>'04A Prevádzkové príjmy NOV200'!Q78/Parametre!$C$152*Parametre!Q167</f>
        <v>431228.22379273991</v>
      </c>
      <c r="Q37" s="235">
        <f>'04A Prevádzkové príjmy NOV200'!R78/Parametre!$C$152*Parametre!R167</f>
        <v>480797.78766290419</v>
      </c>
      <c r="R37" s="235">
        <f>'04A Prevádzkové príjmy NOV200'!S78/Parametre!$C$152*Parametre!S167</f>
        <v>531151.78538433427</v>
      </c>
      <c r="S37" s="235">
        <f>'04A Prevádzkové príjmy NOV200'!T78/Parametre!$C$152*Parametre!T167</f>
        <v>575707.91655322781</v>
      </c>
      <c r="T37" s="235">
        <f>'04A Prevádzkové príjmy NOV200'!U78/Parametre!$C$152*Parametre!U167</f>
        <v>619920.51866962248</v>
      </c>
      <c r="U37" s="235">
        <f>'04A Prevádzkové príjmy NOV200'!V78/Parametre!$C$152*Parametre!V167</f>
        <v>664116.82110672572</v>
      </c>
      <c r="V37" s="235">
        <f>'04A Prevádzkové príjmy NOV200'!W78/Parametre!$C$152*Parametre!W167</f>
        <v>707971.33079828718</v>
      </c>
      <c r="W37" s="235">
        <f>'04A Prevádzkové príjmy NOV200'!X78/Parametre!$C$152*Parametre!X167</f>
        <v>751809.96878180921</v>
      </c>
      <c r="X37" s="235">
        <f>'04A Prevádzkové príjmy NOV200'!Y78/Parametre!$C$152*Parametre!Y167</f>
        <v>795308.54193565901</v>
      </c>
      <c r="Y37" s="235">
        <f>'04A Prevádzkové príjmy NOV200'!Z78/Parametre!$C$152*Parametre!Z167</f>
        <v>838791.66819264821</v>
      </c>
      <c r="Z37" s="235">
        <f>'04A Prevádzkové príjmy NOV200'!AA78/Parametre!$C$152*Parametre!AA167</f>
        <v>881936.44918408291</v>
      </c>
      <c r="AA37" s="235">
        <f>'04A Prevádzkové príjmy NOV200'!AB78/Parametre!$C$152*Parametre!AB167</f>
        <v>925066.20494818524</v>
      </c>
      <c r="AB37" s="235">
        <f>'04A Prevádzkové príjmy NOV200'!AC78/Parametre!$C$152*Parametre!AC167</f>
        <v>967859.32669825491</v>
      </c>
      <c r="AC37" s="235">
        <f>'04A Prevádzkové príjmy NOV200'!AD78/Parametre!$C$152*Parametre!AD167</f>
        <v>1010477.5756965043</v>
      </c>
      <c r="AD37" s="235">
        <f>'04A Prevádzkové príjmy NOV200'!AE78/Parametre!$C$152*Parametre!AE167</f>
        <v>1053081.4258000019</v>
      </c>
      <c r="AE37" s="235">
        <f>'04A Prevádzkové príjmy NOV200'!AF78/Parametre!$C$152*Parametre!AF167</f>
        <v>1095351.1929453122</v>
      </c>
      <c r="AF37" s="235">
        <f>'04A Prevádzkové príjmy NOV200'!AG78/Parametre!$C$152*Parametre!AG167</f>
        <v>1137606.9750925135</v>
      </c>
      <c r="AG37" s="235">
        <f>'04A Prevádzkové príjmy NOV200'!AH78/Parametre!$C$152*Parametre!AH167</f>
        <v>1179530.3649229708</v>
      </c>
      <c r="AH37" s="235">
        <f>'04A Prevádzkové príjmy NOV200'!AI78/Parametre!$C$152*Parametre!AI167</f>
        <v>1221440.1805740229</v>
      </c>
      <c r="AI37" s="235">
        <f>'04A Prevádzkové príjmy NOV200'!AJ78/Parametre!$C$152*Parametre!AJ167</f>
        <v>1263019.2863728097</v>
      </c>
      <c r="AJ37" s="235">
        <f>'04A Prevádzkové príjmy NOV200'!AK78/Parametre!$C$152*Parametre!AK167</f>
        <v>1304585.2257509441</v>
      </c>
      <c r="AK37" s="235">
        <f>'04A Prevádzkové príjmy NOV200'!AL78/Parametre!$C$152*Parametre!AL167</f>
        <v>1345822.1296026821</v>
      </c>
      <c r="AL37" s="235">
        <f>'04A Prevádzkové príjmy NOV200'!AM78/Parametre!$C$152*Parametre!AM167</f>
        <v>1387046.2717504646</v>
      </c>
      <c r="AM37" s="235">
        <f>'04A Prevádzkové príjmy NOV200'!AN78/Parametre!$C$152*Parametre!AN167</f>
        <v>1427943.0445972881</v>
      </c>
      <c r="AN37" s="235">
        <f>'04A Prevádzkové príjmy NOV200'!AO78/Parametre!$C$152*Parametre!AO167</f>
        <v>1468827.4574325995</v>
      </c>
      <c r="AO37" s="235">
        <f>'04A Prevádzkové príjmy NOV200'!AP78/Parametre!$C$152*Parametre!AP167</f>
        <v>1509386.1591299584</v>
      </c>
      <c r="AP37" s="235">
        <f>'04A Prevádzkové príjmy NOV200'!AQ78/Parametre!$C$152*Parametre!AQ167</f>
        <v>1549932.8995017025</v>
      </c>
      <c r="AQ37" s="235">
        <f>'04A Prevádzkové príjmy NOV200'!AR78/Parametre!$C$152*Parametre!AR167</f>
        <v>1558364.9342158963</v>
      </c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99"/>
  </sheetPr>
  <dimension ref="B2:AQ26"/>
  <sheetViews>
    <sheetView zoomScale="90" zoomScaleNormal="90" workbookViewId="0"/>
  </sheetViews>
  <sheetFormatPr defaultColWidth="9.140625" defaultRowHeight="11.25" x14ac:dyDescent="0.2"/>
  <cols>
    <col min="1" max="1" width="2.85546875" style="255" customWidth="1"/>
    <col min="2" max="2" width="30.42578125" style="255" bestFit="1" customWidth="1"/>
    <col min="3" max="3" width="12.5703125" style="255" bestFit="1" customWidth="1"/>
    <col min="4" max="43" width="9.85546875" style="255" bestFit="1" customWidth="1"/>
    <col min="44" max="16384" width="9.140625" style="255"/>
  </cols>
  <sheetData>
    <row r="2" spans="2:43" x14ac:dyDescent="0.2"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</row>
    <row r="3" spans="2:43" x14ac:dyDescent="0.2">
      <c r="B3" s="257" t="s">
        <v>429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  <c r="AQ3" s="258">
        <v>40</v>
      </c>
    </row>
    <row r="4" spans="2:43" x14ac:dyDescent="0.2">
      <c r="B4" s="259" t="s">
        <v>33</v>
      </c>
      <c r="C4" s="260" t="s">
        <v>9</v>
      </c>
      <c r="D4" s="261">
        <f>Parametre!C13</f>
        <v>2026</v>
      </c>
      <c r="E4" s="261">
        <f>$D$4+D3</f>
        <v>2027</v>
      </c>
      <c r="F4" s="261">
        <f>$D$4+E3</f>
        <v>2028</v>
      </c>
      <c r="G4" s="261">
        <f t="shared" ref="G4:AN4" si="0">$D$4+F3</f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ref="AO4" si="1">$D$4+AN3</f>
        <v>2063</v>
      </c>
      <c r="AP4" s="261">
        <f t="shared" ref="AP4" si="2">$D$4+AO3</f>
        <v>2064</v>
      </c>
      <c r="AQ4" s="261">
        <f t="shared" ref="AQ4" si="3">$D$4+AP3</f>
        <v>2065</v>
      </c>
    </row>
    <row r="5" spans="2:43" x14ac:dyDescent="0.2">
      <c r="B5" s="256" t="s">
        <v>60</v>
      </c>
      <c r="C5" s="262">
        <f>SUM(D5:AQ5)</f>
        <v>1655607404.1982005</v>
      </c>
      <c r="D5" s="263">
        <f>'10_A Bezpečnosť (cesty) NOV200'!D35</f>
        <v>22550968.028802261</v>
      </c>
      <c r="E5" s="263">
        <f>'10_A Bezpečnosť (cesty) NOV200'!E35</f>
        <v>23319631.322431955</v>
      </c>
      <c r="F5" s="263">
        <f>'10_A Bezpečnosť (cesty) NOV200'!F35</f>
        <v>24038603.559213076</v>
      </c>
      <c r="G5" s="263">
        <f>'10_A Bezpečnosť (cesty) NOV200'!G35</f>
        <v>24799300.336153273</v>
      </c>
      <c r="H5" s="263">
        <f>'10_A Bezpečnosť (cesty) NOV200'!H35</f>
        <v>25543715.821239535</v>
      </c>
      <c r="I5" s="263">
        <f>'10_A Bezpečnosť (cesty) NOV200'!I35</f>
        <v>26310476.869380057</v>
      </c>
      <c r="J5" s="263">
        <f>'10_A Bezpečnosť (cesty) NOV200'!J35</f>
        <v>27078848.040004615</v>
      </c>
      <c r="K5" s="263">
        <f>'10_A Bezpečnosť (cesty) NOV200'!K35</f>
        <v>27869658.6978212</v>
      </c>
      <c r="L5" s="263">
        <f>'10_A Bezpečnosť (cesty) NOV200'!L35</f>
        <v>28683564.186819304</v>
      </c>
      <c r="M5" s="263">
        <f>'10_A Bezpečnosť (cesty) NOV200'!M35</f>
        <v>29521238.978635382</v>
      </c>
      <c r="N5" s="263">
        <f>'10_A Bezpečnosť (cesty) NOV200'!N35</f>
        <v>30383377.223392244</v>
      </c>
      <c r="O5" s="263">
        <f>'10_A Bezpečnosť (cesty) NOV200'!O35</f>
        <v>31270693.37513591</v>
      </c>
      <c r="P5" s="263">
        <f>'10_A Bezpečnosť (cesty) NOV200'!P35</f>
        <v>32183922.718897756</v>
      </c>
      <c r="Q5" s="263">
        <f>'10_A Bezpečnosť (cesty) NOV200'!Q35</f>
        <v>33123821.969354898</v>
      </c>
      <c r="R5" s="263">
        <f>'10_A Bezpečnosť (cesty) NOV200'!R35</f>
        <v>34091170.072866134</v>
      </c>
      <c r="S5" s="263">
        <f>'10_A Bezpečnosť (cesty) NOV200'!S35</f>
        <v>35086768.602914952</v>
      </c>
      <c r="T5" s="263">
        <f>'10_A Bezpečnosť (cesty) NOV200'!T35</f>
        <v>36054349.408007659</v>
      </c>
      <c r="U5" s="263">
        <f>'10_A Bezpečnosť (cesty) NOV200'!U35</f>
        <v>37048612.96746853</v>
      </c>
      <c r="V5" s="263">
        <f>'10_A Bezpečnosť (cesty) NOV200'!V35</f>
        <v>38070295.180867031</v>
      </c>
      <c r="W5" s="263">
        <f>'10_A Bezpečnosť (cesty) NOV200'!W35</f>
        <v>39120152.076166607</v>
      </c>
      <c r="X5" s="263">
        <f>'10_A Bezpečnosť (cesty) NOV200'!X35</f>
        <v>40198960.694695346</v>
      </c>
      <c r="Y5" s="263">
        <f>'10_A Bezpečnosť (cesty) NOV200'!Y35</f>
        <v>41307519.395436749</v>
      </c>
      <c r="Z5" s="263">
        <f>'10_A Bezpečnosť (cesty) NOV200'!Z35</f>
        <v>42446648.573919833</v>
      </c>
      <c r="AA5" s="263">
        <f>'10_A Bezpečnosť (cesty) NOV200'!AA35</f>
        <v>43617191.338491678</v>
      </c>
      <c r="AB5" s="263">
        <f>'10_A Bezpečnosť (cesty) NOV200'!AB35</f>
        <v>44820013.915732756</v>
      </c>
      <c r="AC5" s="263">
        <f>'10_A Bezpečnosť (cesty) NOV200'!AC35</f>
        <v>46056006.499625072</v>
      </c>
      <c r="AD5" s="263">
        <f>'10_A Bezpečnosť (cesty) NOV200'!AD35</f>
        <v>47288612.646770008</v>
      </c>
      <c r="AE5" s="263">
        <f>'10_A Bezpečnosť (cesty) NOV200'!AE35</f>
        <v>48554207.266319111</v>
      </c>
      <c r="AF5" s="263">
        <f>'10_A Bezpečnosť (cesty) NOV200'!AF35</f>
        <v>49853673.221062213</v>
      </c>
      <c r="AG5" s="263">
        <f>'10_A Bezpečnosť (cesty) NOV200'!AG35</f>
        <v>51187917.063591711</v>
      </c>
      <c r="AH5" s="263">
        <f>'10_A Bezpečnosť (cesty) NOV200'!AH35</f>
        <v>52557869.506909132</v>
      </c>
      <c r="AI5" s="263">
        <f>'10_A Bezpečnosť (cesty) NOV200'!AI35</f>
        <v>53964486.309391685</v>
      </c>
      <c r="AJ5" s="263">
        <f>'10_A Bezpečnosť (cesty) NOV200'!AJ35</f>
        <v>55408748.611774877</v>
      </c>
      <c r="AK5" s="263">
        <f>'10_A Bezpečnosť (cesty) NOV200'!AK35</f>
        <v>56891664.028919734</v>
      </c>
      <c r="AL5" s="263">
        <f>'10_A Bezpečnosť (cesty) NOV200'!AL35</f>
        <v>58414267.017933041</v>
      </c>
      <c r="AM5" s="263">
        <f>'10_A Bezpečnosť (cesty) NOV200'!AM35</f>
        <v>59977619.761744127</v>
      </c>
      <c r="AN5" s="263">
        <f>'10_A Bezpečnosť (cesty) NOV200'!AN35</f>
        <v>61631610.596989579</v>
      </c>
      <c r="AO5" s="263">
        <f>'10_A Bezpečnosť (cesty) NOV200'!AO35</f>
        <v>63331213.211573943</v>
      </c>
      <c r="AP5" s="263">
        <f>'10_A Bezpečnosť (cesty) NOV200'!AP35</f>
        <v>65077685.410351537</v>
      </c>
      <c r="AQ5" s="263">
        <f>'10_A Bezpečnosť (cesty) NOV200'!AQ35</f>
        <v>66872319.691395909</v>
      </c>
    </row>
    <row r="6" spans="2:43" x14ac:dyDescent="0.2">
      <c r="B6" s="256" t="s">
        <v>61</v>
      </c>
      <c r="C6" s="262">
        <f>SUM(D6:AQ6)</f>
        <v>54429177.067076318</v>
      </c>
      <c r="D6" s="263">
        <f>'10_A Bezpečnosť (cesty) NOV200'!D36</f>
        <v>563855.9164172567</v>
      </c>
      <c r="E6" s="263">
        <f>'10_A Bezpečnosť (cesty) NOV200'!E36</f>
        <v>592870.95116907393</v>
      </c>
      <c r="F6" s="263">
        <f>'10_A Bezpečnosť (cesty) NOV200'!F36</f>
        <v>619461.50890790671</v>
      </c>
      <c r="G6" s="263">
        <f>'10_A Bezpečnosť (cesty) NOV200'!G36</f>
        <v>648266.76844584604</v>
      </c>
      <c r="H6" s="263">
        <f>'10_A Bezpečnosť (cesty) NOV200'!H36</f>
        <v>676273.07317153318</v>
      </c>
      <c r="I6" s="263">
        <f>'10_A Bezpečnosť (cesty) NOV200'!I36</f>
        <v>705489.29947645532</v>
      </c>
      <c r="J6" s="263">
        <f>'10_A Bezpečnosť (cesty) NOV200'!J36</f>
        <v>734805.52244075155</v>
      </c>
      <c r="K6" s="263">
        <f>'10_A Bezpečnosť (cesty) NOV200'!K36</f>
        <v>765339.96236109023</v>
      </c>
      <c r="L6" s="263">
        <f>'10_A Bezpečnosť (cesty) NOV200'!L36</f>
        <v>797143.24339617603</v>
      </c>
      <c r="M6" s="263">
        <f>'10_A Bezpečnosť (cesty) NOV200'!M36</f>
        <v>830268.08807441383</v>
      </c>
      <c r="N6" s="263">
        <f>'10_A Bezpečnosť (cesty) NOV200'!N36</f>
        <v>864769.41517112951</v>
      </c>
      <c r="O6" s="263">
        <f>'10_A Bezpečnosť (cesty) NOV200'!O36</f>
        <v>900704.43283114349</v>
      </c>
      <c r="P6" s="263">
        <f>'10_A Bezpečnosť (cesty) NOV200'!P36</f>
        <v>938132.70758502721</v>
      </c>
      <c r="Q6" s="263">
        <f>'10_A Bezpečnosť (cesty) NOV200'!Q36</f>
        <v>977116.29797357169</v>
      </c>
      <c r="R6" s="263">
        <f>'10_A Bezpečnosť (cesty) NOV200'!R36</f>
        <v>1017719.8257841618</v>
      </c>
      <c r="S6" s="263">
        <f>'10_A Bezpečnosť (cesty) NOV200'!S36</f>
        <v>1060010.6131156567</v>
      </c>
      <c r="T6" s="263">
        <f>'10_A Bezpečnosť (cesty) NOV200'!T36</f>
        <v>1100570.4399128901</v>
      </c>
      <c r="U6" s="263">
        <f>'10_A Bezpečnosť (cesty) NOV200'!U36</f>
        <v>1142682.2218483158</v>
      </c>
      <c r="V6" s="263">
        <f>'10_A Bezpečnosť (cesty) NOV200'!V36</f>
        <v>1186405.363826036</v>
      </c>
      <c r="W6" s="263">
        <f>'10_A Bezpečnosť (cesty) NOV200'!W36</f>
        <v>1231801.4962441402</v>
      </c>
      <c r="X6" s="263">
        <f>'10_A Bezpečnosť (cesty) NOV200'!X36</f>
        <v>1278934.6584374325</v>
      </c>
      <c r="Y6" s="263">
        <f>'10_A Bezpečnosť (cesty) NOV200'!Y36</f>
        <v>1327871.3075293335</v>
      </c>
      <c r="Z6" s="263">
        <f>'10_A Bezpečnosť (cesty) NOV200'!Z36</f>
        <v>1378680.4444510064</v>
      </c>
      <c r="AA6" s="263">
        <f>'10_A Bezpečnosť (cesty) NOV200'!AA36</f>
        <v>1431433.713443907</v>
      </c>
      <c r="AB6" s="263">
        <f>'10_A Bezpečnosť (cesty) NOV200'!AB36</f>
        <v>1486205.5130489364</v>
      </c>
      <c r="AC6" s="263">
        <f>'10_A Bezpečnosť (cesty) NOV200'!AC36</f>
        <v>1543073.092314377</v>
      </c>
      <c r="AD6" s="263">
        <f>'10_A Bezpečnosť (cesty) NOV200'!AD36</f>
        <v>1599580.6230328178</v>
      </c>
      <c r="AE6" s="263">
        <f>'10_A Bezpečnosť (cesty) NOV200'!AE36</f>
        <v>1658157.4781148315</v>
      </c>
      <c r="AF6" s="263">
        <f>'10_A Bezpečnosť (cesty) NOV200'!AF36</f>
        <v>1718879.4110544431</v>
      </c>
      <c r="AG6" s="263">
        <f>'10_A Bezpečnosť (cesty) NOV200'!AG36</f>
        <v>1781824.9940982822</v>
      </c>
      <c r="AH6" s="263">
        <f>'10_A Bezpečnosť (cesty) NOV200'!AH36</f>
        <v>1847075.6594488281</v>
      </c>
      <c r="AI6" s="263">
        <f>'10_A Bezpečnosť (cesty) NOV200'!AI36</f>
        <v>1914715.8107589558</v>
      </c>
      <c r="AJ6" s="263">
        <f>'10_A Bezpečnosť (cesty) NOV200'!AJ36</f>
        <v>1984832.9397671053</v>
      </c>
      <c r="AK6" s="263">
        <f>'10_A Bezpečnosť (cesty) NOV200'!AK36</f>
        <v>2057517.7761271077</v>
      </c>
      <c r="AL6" s="263">
        <f>'10_A Bezpečnosť (cesty) NOV200'!AL36</f>
        <v>2132864.329090171</v>
      </c>
      <c r="AM6" s="263">
        <f>'10_A Bezpečnosť (cesty) NOV200'!AM36</f>
        <v>2210970.1015017084</v>
      </c>
      <c r="AN6" s="263">
        <f>'10_A Bezpečnosť (cesty) NOV200'!AN36</f>
        <v>2295569.7831848846</v>
      </c>
      <c r="AO6" s="263">
        <f>'10_A Bezpečnosť (cesty) NOV200'!AO36</f>
        <v>2383406.5374437165</v>
      </c>
      <c r="AP6" s="263">
        <f>'10_A Bezpečnosť (cesty) NOV200'!AP36</f>
        <v>2474604.2453013361</v>
      </c>
      <c r="AQ6" s="263">
        <f>'10_A Bezpečnosť (cesty) NOV200'!AQ36</f>
        <v>2569291.5007745447</v>
      </c>
    </row>
    <row r="7" spans="2:43" x14ac:dyDescent="0.2">
      <c r="B7" s="256" t="s">
        <v>62</v>
      </c>
      <c r="C7" s="262">
        <f>SUM(D7:AQ7)</f>
        <v>515898.25655275327</v>
      </c>
      <c r="D7" s="263">
        <f>'10_A Bezpečnosť (cesty) NOV200'!D37</f>
        <v>4011.8235044316216</v>
      </c>
      <c r="E7" s="263">
        <f>'10_A Bezpečnosť (cesty) NOV200'!E37</f>
        <v>4289.1318203909568</v>
      </c>
      <c r="F7" s="263">
        <f>'10_A Bezpečnosť (cesty) NOV200'!F37</f>
        <v>4542.4495046016</v>
      </c>
      <c r="G7" s="263">
        <f>'10_A Bezpečnosť (cesty) NOV200'!G37</f>
        <v>4822.1287899437348</v>
      </c>
      <c r="H7" s="263">
        <f>'10_A Bezpečnosť (cesty) NOV200'!H37</f>
        <v>5094.843769960381</v>
      </c>
      <c r="I7" s="263">
        <f>'10_A Bezpečnosť (cesty) NOV200'!I37</f>
        <v>5382.9816602414221</v>
      </c>
      <c r="J7" s="263">
        <f>'10_A Bezpečnosť (cesty) NOV200'!J37</f>
        <v>5673.9486858620776</v>
      </c>
      <c r="K7" s="263">
        <f>'10_A Bezpečnosť (cesty) NOV200'!K37</f>
        <v>5980.6427971031471</v>
      </c>
      <c r="L7" s="263">
        <f>'10_A Bezpečnosť (cesty) NOV200'!L37</f>
        <v>6303.914819955342</v>
      </c>
      <c r="M7" s="263">
        <f>'10_A Bezpečnosť (cesty) NOV200'!M37</f>
        <v>6644.6614795628293</v>
      </c>
      <c r="N7" s="263">
        <f>'10_A Bezpečnosť (cesty) NOV200'!N37</f>
        <v>7003.825505971975</v>
      </c>
      <c r="O7" s="263">
        <f>'10_A Bezpečnosť (cesty) NOV200'!O37</f>
        <v>7382.4041089073853</v>
      </c>
      <c r="P7" s="263">
        <f>'10_A Bezpečnosť (cesty) NOV200'!P37</f>
        <v>7781.4456274069025</v>
      </c>
      <c r="Q7" s="263">
        <f>'10_A Bezpečnosť (cesty) NOV200'!Q37</f>
        <v>8202.056308166817</v>
      </c>
      <c r="R7" s="263">
        <f>'10_A Bezpečnosť (cesty) NOV200'!R37</f>
        <v>8645.4033445391033</v>
      </c>
      <c r="S7" s="263">
        <f>'10_A Bezpečnosť (cesty) NOV200'!S37</f>
        <v>9112.7141271555611</v>
      </c>
      <c r="T7" s="263">
        <f>'10_A Bezpečnosť (cesty) NOV200'!T37</f>
        <v>9559.7979486204476</v>
      </c>
      <c r="U7" s="263">
        <f>'10_A Bezpečnosť (cesty) NOV200'!U37</f>
        <v>10028.816308557047</v>
      </c>
      <c r="V7" s="263">
        <f>'10_A Bezpečnosť (cesty) NOV200'!V37</f>
        <v>10520.845801364148</v>
      </c>
      <c r="W7" s="263">
        <f>'10_A Bezpečnosť (cesty) NOV200'!W37</f>
        <v>11037.015324151418</v>
      </c>
      <c r="X7" s="263">
        <f>'10_A Bezpečnosť (cesty) NOV200'!X37</f>
        <v>11578.507690632652</v>
      </c>
      <c r="Y7" s="263">
        <f>'10_A Bezpečnosť (cesty) NOV200'!Y37</f>
        <v>12146.566886570919</v>
      </c>
      <c r="Z7" s="263">
        <f>'10_A Bezpečnosť (cesty) NOV200'!Z37</f>
        <v>12742.496024011898</v>
      </c>
      <c r="AA7" s="263">
        <f>'10_A Bezpečnosť (cesty) NOV200'!AA37</f>
        <v>13367.661998828135</v>
      </c>
      <c r="AB7" s="263">
        <f>'10_A Bezpečnosť (cesty) NOV200'!AB37</f>
        <v>14023.500789554957</v>
      </c>
      <c r="AC7" s="263">
        <f>'10_A Bezpečnosť (cesty) NOV200'!AC37</f>
        <v>14711.514494268156</v>
      </c>
      <c r="AD7" s="263">
        <f>'10_A Bezpečnosť (cesty) NOV200'!AD37</f>
        <v>15396.653809790516</v>
      </c>
      <c r="AE7" s="263">
        <f>'10_A Bezpečnosť (cesty) NOV200'!AE37</f>
        <v>16113.701835003334</v>
      </c>
      <c r="AF7" s="263">
        <f>'10_A Bezpečnosť (cesty) NOV200'!AF37</f>
        <v>16864.144472912176</v>
      </c>
      <c r="AG7" s="263">
        <f>'10_A Bezpečnosť (cesty) NOV200'!AG37</f>
        <v>17649.537127404459</v>
      </c>
      <c r="AH7" s="263">
        <f>'10_A Bezpečnosť (cesty) NOV200'!AH37</f>
        <v>18471.504705922256</v>
      </c>
      <c r="AI7" s="263">
        <f>'10_A Bezpečnosť (cesty) NOV200'!AI37</f>
        <v>19331.752656411674</v>
      </c>
      <c r="AJ7" s="263">
        <f>'10_A Bezpečnosť (cesty) NOV200'!AJ37</f>
        <v>20232.065881311384</v>
      </c>
      <c r="AK7" s="263">
        <f>'10_A Bezpečnosť (cesty) NOV200'!AK37</f>
        <v>21174.306990626952</v>
      </c>
      <c r="AL7" s="263">
        <f>'10_A Bezpečnosť (cesty) NOV200'!AL37</f>
        <v>22160.430386832886</v>
      </c>
      <c r="AM7" s="263">
        <f>'10_A Bezpečnosť (cesty) NOV200'!AM37</f>
        <v>23192.478907207758</v>
      </c>
      <c r="AN7" s="263">
        <f>'10_A Bezpečnosť (cesty) NOV200'!AN37</f>
        <v>24330.337430714666</v>
      </c>
      <c r="AO7" s="263">
        <f>'10_A Bezpečnosť (cesty) NOV200'!AO37</f>
        <v>25524.021271196714</v>
      </c>
      <c r="AP7" s="263">
        <f>'10_A Bezpečnosť (cesty) NOV200'!AP37</f>
        <v>26776.26830890117</v>
      </c>
      <c r="AQ7" s="263">
        <f>'10_A Bezpečnosť (cesty) NOV200'!AQ37</f>
        <v>28089.953647756571</v>
      </c>
    </row>
    <row r="8" spans="2:43" x14ac:dyDescent="0.2">
      <c r="B8" s="257" t="s">
        <v>9</v>
      </c>
      <c r="C8" s="264">
        <f>SUM(D8:AQ8)</f>
        <v>1710552479.5218296</v>
      </c>
      <c r="D8" s="264">
        <f t="shared" ref="D8:AN8" si="4">SUM(D5:D7)</f>
        <v>23118835.76872395</v>
      </c>
      <c r="E8" s="264">
        <f t="shared" si="4"/>
        <v>23916791.405421421</v>
      </c>
      <c r="F8" s="264">
        <f t="shared" si="4"/>
        <v>24662607.517625585</v>
      </c>
      <c r="G8" s="264">
        <f t="shared" si="4"/>
        <v>25452389.233389061</v>
      </c>
      <c r="H8" s="264">
        <f t="shared" si="4"/>
        <v>26225083.738181029</v>
      </c>
      <c r="I8" s="264">
        <f t="shared" si="4"/>
        <v>27021349.150516756</v>
      </c>
      <c r="J8" s="264">
        <f t="shared" si="4"/>
        <v>27819327.511131227</v>
      </c>
      <c r="K8" s="264">
        <f t="shared" si="4"/>
        <v>28640979.302979391</v>
      </c>
      <c r="L8" s="264">
        <f t="shared" si="4"/>
        <v>29487011.345035434</v>
      </c>
      <c r="M8" s="264">
        <f t="shared" si="4"/>
        <v>30358151.728189357</v>
      </c>
      <c r="N8" s="264">
        <f t="shared" si="4"/>
        <v>31255150.464069344</v>
      </c>
      <c r="O8" s="264">
        <f t="shared" si="4"/>
        <v>32178780.21207596</v>
      </c>
      <c r="P8" s="264">
        <f t="shared" si="4"/>
        <v>33129836.872110188</v>
      </c>
      <c r="Q8" s="264">
        <f t="shared" si="4"/>
        <v>34109140.323636636</v>
      </c>
      <c r="R8" s="264">
        <f t="shared" si="4"/>
        <v>35117535.301994838</v>
      </c>
      <c r="S8" s="264">
        <f t="shared" si="4"/>
        <v>36155891.930157758</v>
      </c>
      <c r="T8" s="264">
        <f t="shared" si="4"/>
        <v>37164479.645869173</v>
      </c>
      <c r="U8" s="264">
        <f t="shared" si="4"/>
        <v>38201324.005625404</v>
      </c>
      <c r="V8" s="264">
        <f t="shared" si="4"/>
        <v>39267221.390494429</v>
      </c>
      <c r="W8" s="264">
        <f t="shared" si="4"/>
        <v>40362990.5877349</v>
      </c>
      <c r="X8" s="264">
        <f t="shared" si="4"/>
        <v>41489473.860823408</v>
      </c>
      <c r="Y8" s="264">
        <f t="shared" si="4"/>
        <v>42647537.269852653</v>
      </c>
      <c r="Z8" s="264">
        <f t="shared" si="4"/>
        <v>43838071.51439485</v>
      </c>
      <c r="AA8" s="264">
        <f t="shared" si="4"/>
        <v>45061992.713934414</v>
      </c>
      <c r="AB8" s="264">
        <f t="shared" si="4"/>
        <v>46320242.929571249</v>
      </c>
      <c r="AC8" s="264">
        <f t="shared" si="4"/>
        <v>47613791.106433719</v>
      </c>
      <c r="AD8" s="264">
        <f t="shared" si="4"/>
        <v>48903589.923612617</v>
      </c>
      <c r="AE8" s="264">
        <f t="shared" si="4"/>
        <v>50228478.446268946</v>
      </c>
      <c r="AF8" s="264">
        <f t="shared" si="4"/>
        <v>51589416.776589565</v>
      </c>
      <c r="AG8" s="264">
        <f t="shared" si="4"/>
        <v>52987391.5948174</v>
      </c>
      <c r="AH8" s="264">
        <f t="shared" si="4"/>
        <v>54423416.671063878</v>
      </c>
      <c r="AI8" s="264">
        <f t="shared" si="4"/>
        <v>55898533.872807056</v>
      </c>
      <c r="AJ8" s="264">
        <f t="shared" si="4"/>
        <v>57413813.617423296</v>
      </c>
      <c r="AK8" s="264">
        <f t="shared" si="4"/>
        <v>58970356.112037465</v>
      </c>
      <c r="AL8" s="264">
        <f t="shared" si="4"/>
        <v>60569291.777410045</v>
      </c>
      <c r="AM8" s="264">
        <f t="shared" si="4"/>
        <v>62211782.342153043</v>
      </c>
      <c r="AN8" s="264">
        <f t="shared" si="4"/>
        <v>63951510.717605181</v>
      </c>
      <c r="AO8" s="264">
        <f t="shared" ref="AO8:AQ8" si="5">SUM(AO5:AO7)</f>
        <v>65740143.770288862</v>
      </c>
      <c r="AP8" s="264">
        <f t="shared" si="5"/>
        <v>67579065.923961788</v>
      </c>
      <c r="AQ8" s="264">
        <f t="shared" si="5"/>
        <v>69469701.145818219</v>
      </c>
    </row>
    <row r="11" spans="2:43" x14ac:dyDescent="0.2">
      <c r="C11" s="256"/>
      <c r="D11" s="256" t="s">
        <v>10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</row>
    <row r="12" spans="2:43" x14ac:dyDescent="0.2">
      <c r="B12" s="257" t="s">
        <v>430</v>
      </c>
      <c r="C12" s="257"/>
      <c r="D12" s="258">
        <v>1</v>
      </c>
      <c r="E12" s="258">
        <v>2</v>
      </c>
      <c r="F12" s="258">
        <v>3</v>
      </c>
      <c r="G12" s="258">
        <v>4</v>
      </c>
      <c r="H12" s="258">
        <v>5</v>
      </c>
      <c r="I12" s="258">
        <v>6</v>
      </c>
      <c r="J12" s="258">
        <v>7</v>
      </c>
      <c r="K12" s="258">
        <v>8</v>
      </c>
      <c r="L12" s="258">
        <v>9</v>
      </c>
      <c r="M12" s="258">
        <v>10</v>
      </c>
      <c r="N12" s="258">
        <v>11</v>
      </c>
      <c r="O12" s="258">
        <v>12</v>
      </c>
      <c r="P12" s="258">
        <v>13</v>
      </c>
      <c r="Q12" s="258">
        <v>14</v>
      </c>
      <c r="R12" s="258">
        <v>15</v>
      </c>
      <c r="S12" s="258">
        <v>16</v>
      </c>
      <c r="T12" s="258">
        <v>17</v>
      </c>
      <c r="U12" s="258">
        <v>18</v>
      </c>
      <c r="V12" s="258">
        <v>19</v>
      </c>
      <c r="W12" s="258">
        <v>20</v>
      </c>
      <c r="X12" s="258">
        <v>21</v>
      </c>
      <c r="Y12" s="258">
        <v>22</v>
      </c>
      <c r="Z12" s="258">
        <v>23</v>
      </c>
      <c r="AA12" s="258">
        <v>24</v>
      </c>
      <c r="AB12" s="258">
        <v>25</v>
      </c>
      <c r="AC12" s="258">
        <v>26</v>
      </c>
      <c r="AD12" s="258">
        <v>27</v>
      </c>
      <c r="AE12" s="258">
        <v>28</v>
      </c>
      <c r="AF12" s="258">
        <v>29</v>
      </c>
      <c r="AG12" s="258">
        <v>30</v>
      </c>
      <c r="AH12" s="258">
        <v>31</v>
      </c>
      <c r="AI12" s="258">
        <v>32</v>
      </c>
      <c r="AJ12" s="258">
        <v>33</v>
      </c>
      <c r="AK12" s="258">
        <v>34</v>
      </c>
      <c r="AL12" s="258">
        <v>35</v>
      </c>
      <c r="AM12" s="258">
        <v>36</v>
      </c>
      <c r="AN12" s="258">
        <v>37</v>
      </c>
      <c r="AO12" s="258">
        <v>38</v>
      </c>
      <c r="AP12" s="258">
        <v>39</v>
      </c>
      <c r="AQ12" s="258">
        <v>40</v>
      </c>
    </row>
    <row r="13" spans="2:43" x14ac:dyDescent="0.2">
      <c r="B13" s="259" t="s">
        <v>34</v>
      </c>
      <c r="C13" s="260" t="s">
        <v>9</v>
      </c>
      <c r="D13" s="261">
        <f>D4</f>
        <v>2026</v>
      </c>
      <c r="E13" s="261">
        <f t="shared" ref="E13:AN13" si="6">E4</f>
        <v>2027</v>
      </c>
      <c r="F13" s="261">
        <f t="shared" si="6"/>
        <v>2028</v>
      </c>
      <c r="G13" s="261">
        <f t="shared" si="6"/>
        <v>2029</v>
      </c>
      <c r="H13" s="261">
        <f t="shared" si="6"/>
        <v>2030</v>
      </c>
      <c r="I13" s="261">
        <f t="shared" si="6"/>
        <v>2031</v>
      </c>
      <c r="J13" s="261">
        <f t="shared" si="6"/>
        <v>2032</v>
      </c>
      <c r="K13" s="261">
        <f t="shared" si="6"/>
        <v>2033</v>
      </c>
      <c r="L13" s="261">
        <f t="shared" si="6"/>
        <v>2034</v>
      </c>
      <c r="M13" s="261">
        <f t="shared" si="6"/>
        <v>2035</v>
      </c>
      <c r="N13" s="261">
        <f t="shared" si="6"/>
        <v>2036</v>
      </c>
      <c r="O13" s="261">
        <f t="shared" si="6"/>
        <v>2037</v>
      </c>
      <c r="P13" s="261">
        <f t="shared" si="6"/>
        <v>2038</v>
      </c>
      <c r="Q13" s="261">
        <f t="shared" si="6"/>
        <v>2039</v>
      </c>
      <c r="R13" s="261">
        <f t="shared" si="6"/>
        <v>2040</v>
      </c>
      <c r="S13" s="261">
        <f t="shared" si="6"/>
        <v>2041</v>
      </c>
      <c r="T13" s="261">
        <f t="shared" si="6"/>
        <v>2042</v>
      </c>
      <c r="U13" s="261">
        <f t="shared" si="6"/>
        <v>2043</v>
      </c>
      <c r="V13" s="261">
        <f t="shared" si="6"/>
        <v>2044</v>
      </c>
      <c r="W13" s="261">
        <f t="shared" si="6"/>
        <v>2045</v>
      </c>
      <c r="X13" s="261">
        <f t="shared" si="6"/>
        <v>2046</v>
      </c>
      <c r="Y13" s="261">
        <f t="shared" si="6"/>
        <v>2047</v>
      </c>
      <c r="Z13" s="261">
        <f t="shared" si="6"/>
        <v>2048</v>
      </c>
      <c r="AA13" s="261">
        <f t="shared" si="6"/>
        <v>2049</v>
      </c>
      <c r="AB13" s="261">
        <f t="shared" si="6"/>
        <v>2050</v>
      </c>
      <c r="AC13" s="261">
        <f t="shared" si="6"/>
        <v>2051</v>
      </c>
      <c r="AD13" s="261">
        <f t="shared" si="6"/>
        <v>2052</v>
      </c>
      <c r="AE13" s="261">
        <f t="shared" si="6"/>
        <v>2053</v>
      </c>
      <c r="AF13" s="261">
        <f t="shared" si="6"/>
        <v>2054</v>
      </c>
      <c r="AG13" s="261">
        <f t="shared" si="6"/>
        <v>2055</v>
      </c>
      <c r="AH13" s="261">
        <f t="shared" si="6"/>
        <v>2056</v>
      </c>
      <c r="AI13" s="261">
        <f t="shared" si="6"/>
        <v>2057</v>
      </c>
      <c r="AJ13" s="261">
        <f t="shared" si="6"/>
        <v>2058</v>
      </c>
      <c r="AK13" s="261">
        <f t="shared" si="6"/>
        <v>2059</v>
      </c>
      <c r="AL13" s="261">
        <f t="shared" si="6"/>
        <v>2060</v>
      </c>
      <c r="AM13" s="261">
        <f t="shared" si="6"/>
        <v>2061</v>
      </c>
      <c r="AN13" s="261">
        <f t="shared" si="6"/>
        <v>2062</v>
      </c>
      <c r="AO13" s="261">
        <f t="shared" ref="AO13:AQ13" si="7">AO4</f>
        <v>2063</v>
      </c>
      <c r="AP13" s="261">
        <f t="shared" si="7"/>
        <v>2064</v>
      </c>
      <c r="AQ13" s="261">
        <f t="shared" si="7"/>
        <v>2065</v>
      </c>
    </row>
    <row r="14" spans="2:43" x14ac:dyDescent="0.2">
      <c r="B14" s="256" t="s">
        <v>60</v>
      </c>
      <c r="C14" s="262">
        <f>SUM(D14:AQ14)</f>
        <v>1650973058.3565793</v>
      </c>
      <c r="D14" s="263">
        <f>'10_A Bezpečnosť (cesty) NOV200'!D48</f>
        <v>22550968.028802261</v>
      </c>
      <c r="E14" s="263">
        <f>'10_A Bezpečnosť (cesty) NOV200'!E48</f>
        <v>23319631.322431955</v>
      </c>
      <c r="F14" s="263">
        <f>'10_A Bezpečnosť (cesty) NOV200'!F48</f>
        <v>24038603.559213076</v>
      </c>
      <c r="G14" s="263">
        <f>'10_A Bezpečnosť (cesty) NOV200'!G48</f>
        <v>24756210.924876913</v>
      </c>
      <c r="H14" s="263">
        <f>'10_A Bezpečnosť (cesty) NOV200'!H48</f>
        <v>25460458.575652596</v>
      </c>
      <c r="I14" s="263">
        <f>'10_A Bezpečnosť (cesty) NOV200'!I48</f>
        <v>26210281.377936479</v>
      </c>
      <c r="J14" s="263">
        <f>'10_A Bezpečnosť (cesty) NOV200'!J48</f>
        <v>26976436.22427468</v>
      </c>
      <c r="K14" s="263">
        <f>'10_A Bezpečnosť (cesty) NOV200'!K48</f>
        <v>27764981.532803733</v>
      </c>
      <c r="L14" s="263">
        <f>'10_A Bezpečnosť (cesty) NOV200'!L48</f>
        <v>28576571.562999725</v>
      </c>
      <c r="M14" s="263">
        <f>'10_A Bezpečnosť (cesty) NOV200'!M48</f>
        <v>29411879.678038765</v>
      </c>
      <c r="N14" s="263">
        <f>'10_A Bezpečnosť (cesty) NOV200'!N48</f>
        <v>30271598.895134032</v>
      </c>
      <c r="O14" s="263">
        <f>'10_A Bezpečnosť (cesty) NOV200'!O48</f>
        <v>31156442.510244522</v>
      </c>
      <c r="P14" s="263">
        <f>'10_A Bezpečnosť (cesty) NOV200'!P48</f>
        <v>32067144.624822594</v>
      </c>
      <c r="Q14" s="263">
        <f>'10_A Bezpečnosť (cesty) NOV200'!Q48</f>
        <v>33004460.743941952</v>
      </c>
      <c r="R14" s="263">
        <f>'10_A Bezpečnosť (cesty) NOV200'!R48</f>
        <v>33969168.577123001</v>
      </c>
      <c r="S14" s="263">
        <f>'10_A Bezpečnosť (cesty) NOV200'!S48</f>
        <v>34963550.020252965</v>
      </c>
      <c r="T14" s="263">
        <f>'10_A Bezpečnosť (cesty) NOV200'!T48</f>
        <v>35930098.352181681</v>
      </c>
      <c r="U14" s="263">
        <f>'10_A Bezpečnosť (cesty) NOV200'!U48</f>
        <v>36923320.787274353</v>
      </c>
      <c r="V14" s="263">
        <f>'10_A Bezpečnosť (cesty) NOV200'!V48</f>
        <v>37943953.152359188</v>
      </c>
      <c r="W14" s="263">
        <f>'10_A Bezpečnosť (cesty) NOV200'!W48</f>
        <v>38992751.402601384</v>
      </c>
      <c r="X14" s="263">
        <f>'10_A Bezpečnosť (cesty) NOV200'!X48</f>
        <v>40070492.505378194</v>
      </c>
      <c r="Y14" s="263">
        <f>'10_A Bezpečnosť (cesty) NOV200'!Y48</f>
        <v>41177974.745463103</v>
      </c>
      <c r="Z14" s="263">
        <f>'10_A Bezpečnosť (cesty) NOV200'!Z48</f>
        <v>42316018.443484023</v>
      </c>
      <c r="AA14" s="263">
        <f>'10_A Bezpečnosť (cesty) NOV200'!AA48</f>
        <v>43485466.631987847</v>
      </c>
      <c r="AB14" s="263">
        <f>'10_A Bezpečnosť (cesty) NOV200'!AB48</f>
        <v>44687185.461523324</v>
      </c>
      <c r="AC14" s="263">
        <f>'10_A Bezpečnosť (cesty) NOV200'!AC48</f>
        <v>45922065.049161918</v>
      </c>
      <c r="AD14" s="263">
        <f>'10_A Bezpečnosť (cesty) NOV200'!AD48</f>
        <v>47153655.812862173</v>
      </c>
      <c r="AE14" s="263">
        <f>'10_A Bezpečnosť (cesty) NOV200'!AE48</f>
        <v>48418227.351584405</v>
      </c>
      <c r="AF14" s="263">
        <f>'10_A Bezpečnosť (cesty) NOV200'!AF48</f>
        <v>49716662.469804071</v>
      </c>
      <c r="AG14" s="263">
        <f>'10_A Bezpečnosť (cesty) NOV200'!AG48</f>
        <v>51049867.661188975</v>
      </c>
      <c r="AH14" s="263">
        <f>'10_A Bezpečnosť (cesty) NOV200'!AH48</f>
        <v>52418773.579645991</v>
      </c>
      <c r="AI14" s="263">
        <f>'10_A Bezpečnosť (cesty) NOV200'!AI48</f>
        <v>53824335.923647061</v>
      </c>
      <c r="AJ14" s="263">
        <f>'10_A Bezpečnosť (cesty) NOV200'!AJ48</f>
        <v>55267535.774081849</v>
      </c>
      <c r="AK14" s="263">
        <f>'10_A Bezpečnosť (cesty) NOV200'!AK48</f>
        <v>56749380.684955984</v>
      </c>
      <c r="AL14" s="263">
        <f>'10_A Bezpečnosť (cesty) NOV200'!AL48</f>
        <v>58270905.052379973</v>
      </c>
      <c r="AM14" s="263">
        <f>'10_A Bezpečnosť (cesty) NOV200'!AM48</f>
        <v>59833170.997723706</v>
      </c>
      <c r="AN14" s="263">
        <f>'10_A Bezpečnosť (cesty) NOV200'!AN48</f>
        <v>61485951.467860632</v>
      </c>
      <c r="AO14" s="263">
        <f>'10_A Bezpečnosť (cesty) NOV200'!AO48</f>
        <v>63184333.575434305</v>
      </c>
      <c r="AP14" s="263">
        <f>'10_A Bezpečnosť (cesty) NOV200'!AP48</f>
        <v>64929575.040368661</v>
      </c>
      <c r="AQ14" s="263">
        <f>'10_A Bezpečnosť (cesty) NOV200'!AQ48</f>
        <v>66722968.275076769</v>
      </c>
    </row>
    <row r="15" spans="2:43" x14ac:dyDescent="0.2">
      <c r="B15" s="256" t="s">
        <v>61</v>
      </c>
      <c r="C15" s="262">
        <f>SUM(D15:AQ15)</f>
        <v>54277693.671192542</v>
      </c>
      <c r="D15" s="263">
        <f>'10_A Bezpečnosť (cesty) NOV200'!D49</f>
        <v>563855.9164172567</v>
      </c>
      <c r="E15" s="263">
        <f>'10_A Bezpečnosť (cesty) NOV200'!E49</f>
        <v>592870.95116907393</v>
      </c>
      <c r="F15" s="263">
        <f>'10_A Bezpečnosť (cesty) NOV200'!F49</f>
        <v>619461.50890790671</v>
      </c>
      <c r="G15" s="263">
        <f>'10_A Bezpečnosť (cesty) NOV200'!G49</f>
        <v>647140.38854706974</v>
      </c>
      <c r="H15" s="263">
        <f>'10_A Bezpečnosť (cesty) NOV200'!H49</f>
        <v>674068.82717494795</v>
      </c>
      <c r="I15" s="263">
        <f>'10_A Bezpečnosť (cesty) NOV200'!I49</f>
        <v>702802.65691120818</v>
      </c>
      <c r="J15" s="263">
        <f>'10_A Bezpečnosť (cesty) NOV200'!J49</f>
        <v>732026.49847154994</v>
      </c>
      <c r="K15" s="263">
        <f>'10_A Bezpečnosť (cesty) NOV200'!K49</f>
        <v>762465.38042224525</v>
      </c>
      <c r="L15" s="263">
        <f>'10_A Bezpečnosť (cesty) NOV200'!L49</f>
        <v>794169.81768744928</v>
      </c>
      <c r="M15" s="263">
        <f>'10_A Bezpečnosť (cesty) NOV200'!M49</f>
        <v>827192.41982467612</v>
      </c>
      <c r="N15" s="263">
        <f>'10_A Bezpečnosť (cesty) NOV200'!N49</f>
        <v>861587.98873370758</v>
      </c>
      <c r="O15" s="263">
        <f>'10_A Bezpečnosť (cesty) NOV200'!O49</f>
        <v>897413.61163866275</v>
      </c>
      <c r="P15" s="263">
        <f>'10_A Bezpečnosť (cesty) NOV200'!P49</f>
        <v>934728.73006065236</v>
      </c>
      <c r="Q15" s="263">
        <f>'10_A Bezpečnosť (cesty) NOV200'!Q49</f>
        <v>973595.27317139192</v>
      </c>
      <c r="R15" s="263">
        <f>'10_A Bezpečnosť (cesty) NOV200'!R49</f>
        <v>1014077.7289969961</v>
      </c>
      <c r="S15" s="263">
        <f>'10_A Bezpečnosť (cesty) NOV200'!S49</f>
        <v>1056288.041600652</v>
      </c>
      <c r="T15" s="263">
        <f>'10_A Bezpečnosť (cesty) NOV200'!T49</f>
        <v>1096777.6370634323</v>
      </c>
      <c r="U15" s="263">
        <f>'10_A Bezpečnosť (cesty) NOV200'!U49</f>
        <v>1138817.8626894394</v>
      </c>
      <c r="V15" s="263">
        <f>'10_A Bezpečnosť (cesty) NOV200'!V49</f>
        <v>1182468.0983126941</v>
      </c>
      <c r="W15" s="263">
        <f>'10_A Bezpečnosť (cesty) NOV200'!W49</f>
        <v>1227789.9489471202</v>
      </c>
      <c r="X15" s="263">
        <f>'10_A Bezpečnosť (cesty) NOV200'!X49</f>
        <v>1274847.4278975124</v>
      </c>
      <c r="Y15" s="263">
        <f>'10_A Bezpečnosť (cesty) NOV200'!Y49</f>
        <v>1323706.9658728617</v>
      </c>
      <c r="Z15" s="263">
        <f>'10_A Bezpečnosť (cesty) NOV200'!Z49</f>
        <v>1374437.5368873079</v>
      </c>
      <c r="AA15" s="263">
        <f>'10_A Bezpečnosť (cesty) NOV200'!AA49</f>
        <v>1427110.7577469249</v>
      </c>
      <c r="AB15" s="263">
        <f>'10_A Bezpečnosť (cesty) NOV200'!AB49</f>
        <v>1481800.9990006592</v>
      </c>
      <c r="AC15" s="263">
        <f>'10_A Bezpečnosť (cesty) NOV200'!AC49</f>
        <v>1538585.4811673502</v>
      </c>
      <c r="AD15" s="263">
        <f>'10_A Bezpečnosť (cesty) NOV200'!AD49</f>
        <v>1595015.5845514112</v>
      </c>
      <c r="AE15" s="263">
        <f>'10_A Bezpečnosť (cesty) NOV200'!AE49</f>
        <v>1653513.6763685886</v>
      </c>
      <c r="AF15" s="263">
        <f>'10_A Bezpečnosť (cesty) NOV200'!AF49</f>
        <v>1714155.4871344052</v>
      </c>
      <c r="AG15" s="263">
        <f>'10_A Bezpečnosť (cesty) NOV200'!AG49</f>
        <v>1777019.5655961623</v>
      </c>
      <c r="AH15" s="263">
        <f>'10_A Bezpečnosť (cesty) NOV200'!AH49</f>
        <v>1842187.3201004753</v>
      </c>
      <c r="AI15" s="263">
        <f>'10_A Bezpečnosť (cesty) NOV200'!AI49</f>
        <v>1909743.1300605666</v>
      </c>
      <c r="AJ15" s="263">
        <f>'10_A Bezpečnosť (cesty) NOV200'!AJ49</f>
        <v>1979774.4625628113</v>
      </c>
      <c r="AK15" s="263">
        <f>'10_A Bezpečnosť (cesty) NOV200'!AK49</f>
        <v>2052372.0220970726</v>
      </c>
      <c r="AL15" s="263">
        <f>'10_A Bezpečnosť (cesty) NOV200'!AL49</f>
        <v>2127629.792424967</v>
      </c>
      <c r="AM15" s="263">
        <f>'10_A Bezpečnosť (cesty) NOV200'!AM49</f>
        <v>2205645.2503369455</v>
      </c>
      <c r="AN15" s="263">
        <f>'10_A Bezpečnosť (cesty) NOV200'!AN49</f>
        <v>2290144.4715268803</v>
      </c>
      <c r="AO15" s="263">
        <f>'10_A Bezpečnosť (cesty) NOV200'!AO49</f>
        <v>2377878.8700070758</v>
      </c>
      <c r="AP15" s="263">
        <f>'10_A Bezpečnosť (cesty) NOV200'!AP49</f>
        <v>2468972.2909990018</v>
      </c>
      <c r="AQ15" s="263">
        <f>'10_A Bezpečnosť (cesty) NOV200'!AQ49</f>
        <v>2563553.2921054238</v>
      </c>
    </row>
    <row r="16" spans="2:43" x14ac:dyDescent="0.2">
      <c r="B16" s="256" t="s">
        <v>62</v>
      </c>
      <c r="C16" s="262">
        <f>SUM(D16:AQ16)</f>
        <v>514473.26365856885</v>
      </c>
      <c r="D16" s="263">
        <f>'10_A Bezpečnosť (cesty) NOV200'!D50</f>
        <v>4011.8235044316216</v>
      </c>
      <c r="E16" s="263">
        <f>'10_A Bezpečnosť (cesty) NOV200'!E50</f>
        <v>4289.1318203909568</v>
      </c>
      <c r="F16" s="263">
        <f>'10_A Bezpečnosť (cesty) NOV200'!F50</f>
        <v>4542.4495046016</v>
      </c>
      <c r="G16" s="263">
        <f>'10_A Bezpečnosť (cesty) NOV200'!G50</f>
        <v>4813.7502192646843</v>
      </c>
      <c r="H16" s="263">
        <f>'10_A Bezpečnosť (cesty) NOV200'!H50</f>
        <v>5078.2376245604237</v>
      </c>
      <c r="I16" s="263">
        <f>'10_A Bezpečnosť (cesty) NOV200'!I50</f>
        <v>5362.4822031028343</v>
      </c>
      <c r="J16" s="263">
        <f>'10_A Bezpečnosť (cesty) NOV200'!J50</f>
        <v>5652.4898931387261</v>
      </c>
      <c r="K16" s="263">
        <f>'10_A Bezpečnosť (cesty) NOV200'!K50</f>
        <v>5958.1797759455967</v>
      </c>
      <c r="L16" s="263">
        <f>'10_A Bezpečnosť (cesty) NOV200'!L50</f>
        <v>6280.4005738690048</v>
      </c>
      <c r="M16" s="263">
        <f>'10_A Bezpečnosť (cesty) NOV200'!M50</f>
        <v>6620.0468103535813</v>
      </c>
      <c r="N16" s="263">
        <f>'10_A Bezpečnosť (cesty) NOV200'!N50</f>
        <v>6978.0589198313455</v>
      </c>
      <c r="O16" s="263">
        <f>'10_A Bezpečnosť (cesty) NOV200'!O50</f>
        <v>7355.4316959742255</v>
      </c>
      <c r="P16" s="263">
        <f>'10_A Bezpečnosť (cesty) NOV200'!P50</f>
        <v>7753.2109588907351</v>
      </c>
      <c r="Q16" s="263">
        <f>'10_A Bezpečnosť (cesty) NOV200'!Q50</f>
        <v>8172.5003139112478</v>
      </c>
      <c r="R16" s="263">
        <f>'10_A Bezpečnosť (cesty) NOV200'!R50</f>
        <v>8614.4641853057274</v>
      </c>
      <c r="S16" s="263">
        <f>'10_A Bezpečnosť (cesty) NOV200'!S50</f>
        <v>9080.7118720701874</v>
      </c>
      <c r="T16" s="263">
        <f>'10_A Bezpečnosť (cesty) NOV200'!T50</f>
        <v>9526.8528252691067</v>
      </c>
      <c r="U16" s="263">
        <f>'10_A Bezpečnosť (cesty) NOV200'!U50</f>
        <v>9994.9005379135033</v>
      </c>
      <c r="V16" s="263">
        <f>'10_A Bezpečnosť (cesty) NOV200'!V50</f>
        <v>10485.930784450105</v>
      </c>
      <c r="W16" s="263">
        <f>'10_A Bezpečnosť (cesty) NOV200'!W50</f>
        <v>11001.071619645645</v>
      </c>
      <c r="X16" s="263">
        <f>'10_A Bezpečnosť (cesty) NOV200'!X50</f>
        <v>11541.504994734432</v>
      </c>
      <c r="Y16" s="263">
        <f>'10_A Bezpečnosť (cesty) NOV200'!Y50</f>
        <v>12108.473997461821</v>
      </c>
      <c r="Z16" s="263">
        <f>'10_A Bezpečnosť (cesty) NOV200'!Z50</f>
        <v>12703.280821549077</v>
      </c>
      <c r="AA16" s="263">
        <f>'10_A Bezpečnosť (cesty) NOV200'!AA50</f>
        <v>13327.291417885108</v>
      </c>
      <c r="AB16" s="263">
        <f>'10_A Bezpečnosť (cesty) NOV200'!AB50</f>
        <v>13981.940786115791</v>
      </c>
      <c r="AC16" s="263">
        <f>'10_A Bezpečnosť (cesty) NOV200'!AC50</f>
        <v>14668.730029447306</v>
      </c>
      <c r="AD16" s="263">
        <f>'10_A Bezpečnosť (cesty) NOV200'!AD50</f>
        <v>15352.713344324431</v>
      </c>
      <c r="AE16" s="263">
        <f>'10_A Bezpečnosť (cesty) NOV200'!AE50</f>
        <v>16068.57413289575</v>
      </c>
      <c r="AF16" s="263">
        <f>'10_A Bezpečnosť (cesty) NOV200'!AF50</f>
        <v>16817.797454643052</v>
      </c>
      <c r="AG16" s="263">
        <f>'10_A Bezpečnosť (cesty) NOV200'!AG50</f>
        <v>17601.93784630661</v>
      </c>
      <c r="AH16" s="263">
        <f>'10_A Bezpečnosť (cesty) NOV200'!AH50</f>
        <v>18422.619332540104</v>
      </c>
      <c r="AI16" s="263">
        <f>'10_A Bezpečnosť (cesty) NOV200'!AI50</f>
        <v>19281.546441598803</v>
      </c>
      <c r="AJ16" s="263">
        <f>'10_A Bezpečnosť (cesty) NOV200'!AJ50</f>
        <v>20180.503131618007</v>
      </c>
      <c r="AK16" s="263">
        <f>'10_A Bezpečnosť (cesty) NOV200'!AK50</f>
        <v>21121.351056639684</v>
      </c>
      <c r="AL16" s="263">
        <f>'10_A Bezpečnosť (cesty) NOV200'!AL50</f>
        <v>22106.043624489655</v>
      </c>
      <c r="AM16" s="263">
        <f>'10_A Bezpečnosť (cesty) NOV200'!AM50</f>
        <v>23136.622657392843</v>
      </c>
      <c r="AN16" s="263">
        <f>'10_A Bezpečnosť (cesty) NOV200'!AN50</f>
        <v>24272.835513642513</v>
      </c>
      <c r="AO16" s="263">
        <f>'10_A Bezpečnosť (cesty) NOV200'!AO50</f>
        <v>25464.825200775493</v>
      </c>
      <c r="AP16" s="263">
        <f>'10_A Bezpečnosť (cesty) NOV200'!AP50</f>
        <v>26715.328172800982</v>
      </c>
      <c r="AQ16" s="263">
        <f>'10_A Bezpečnosť (cesty) NOV200'!AQ50</f>
        <v>28027.218058786548</v>
      </c>
    </row>
    <row r="17" spans="2:43" x14ac:dyDescent="0.2">
      <c r="B17" s="257" t="s">
        <v>9</v>
      </c>
      <c r="C17" s="264">
        <f>SUM(D17:AQ17)</f>
        <v>1705765225.2914298</v>
      </c>
      <c r="D17" s="264">
        <f t="shared" ref="D17:AN17" si="8">SUM(D14:D16)</f>
        <v>23118835.76872395</v>
      </c>
      <c r="E17" s="264">
        <f t="shared" si="8"/>
        <v>23916791.405421421</v>
      </c>
      <c r="F17" s="264">
        <f t="shared" si="8"/>
        <v>24662607.517625585</v>
      </c>
      <c r="G17" s="264">
        <f t="shared" si="8"/>
        <v>25408165.063643247</v>
      </c>
      <c r="H17" s="264">
        <f t="shared" si="8"/>
        <v>26139605.640452102</v>
      </c>
      <c r="I17" s="264">
        <f t="shared" si="8"/>
        <v>26918446.517050792</v>
      </c>
      <c r="J17" s="264">
        <f t="shared" si="8"/>
        <v>27714115.212639369</v>
      </c>
      <c r="K17" s="264">
        <f t="shared" si="8"/>
        <v>28533405.093001924</v>
      </c>
      <c r="L17" s="264">
        <f t="shared" si="8"/>
        <v>29377021.781261042</v>
      </c>
      <c r="M17" s="264">
        <f t="shared" si="8"/>
        <v>30245692.144673795</v>
      </c>
      <c r="N17" s="264">
        <f t="shared" si="8"/>
        <v>31140164.942787573</v>
      </c>
      <c r="O17" s="264">
        <f t="shared" si="8"/>
        <v>32061211.553579159</v>
      </c>
      <c r="P17" s="264">
        <f t="shared" si="8"/>
        <v>33009626.565842137</v>
      </c>
      <c r="Q17" s="264">
        <f t="shared" si="8"/>
        <v>33986228.517427251</v>
      </c>
      <c r="R17" s="264">
        <f t="shared" si="8"/>
        <v>34991860.770305306</v>
      </c>
      <c r="S17" s="264">
        <f t="shared" si="8"/>
        <v>36028918.773725688</v>
      </c>
      <c r="T17" s="264">
        <f t="shared" si="8"/>
        <v>37036402.842070378</v>
      </c>
      <c r="U17" s="264">
        <f t="shared" si="8"/>
        <v>38072133.550501712</v>
      </c>
      <c r="V17" s="264">
        <f t="shared" si="8"/>
        <v>39136907.181456327</v>
      </c>
      <c r="W17" s="264">
        <f t="shared" si="8"/>
        <v>40231542.423168145</v>
      </c>
      <c r="X17" s="264">
        <f t="shared" si="8"/>
        <v>41356881.438270442</v>
      </c>
      <c r="Y17" s="264">
        <f t="shared" si="8"/>
        <v>42513790.185333423</v>
      </c>
      <c r="Z17" s="264">
        <f t="shared" si="8"/>
        <v>43703159.261192881</v>
      </c>
      <c r="AA17" s="264">
        <f t="shared" si="8"/>
        <v>44925904.681152657</v>
      </c>
      <c r="AB17" s="264">
        <f t="shared" si="8"/>
        <v>46182968.401310101</v>
      </c>
      <c r="AC17" s="264">
        <f t="shared" si="8"/>
        <v>47475319.260358721</v>
      </c>
      <c r="AD17" s="264">
        <f t="shared" si="8"/>
        <v>48764024.11075791</v>
      </c>
      <c r="AE17" s="264">
        <f t="shared" si="8"/>
        <v>50087809.602085888</v>
      </c>
      <c r="AF17" s="264">
        <f t="shared" si="8"/>
        <v>51447635.754393116</v>
      </c>
      <c r="AG17" s="264">
        <f t="shared" si="8"/>
        <v>52844489.164631441</v>
      </c>
      <c r="AH17" s="264">
        <f t="shared" si="8"/>
        <v>54279383.519079007</v>
      </c>
      <c r="AI17" s="264">
        <f t="shared" si="8"/>
        <v>55753360.600149229</v>
      </c>
      <c r="AJ17" s="264">
        <f t="shared" si="8"/>
        <v>57267490.739776284</v>
      </c>
      <c r="AK17" s="264">
        <f t="shared" si="8"/>
        <v>58822874.058109701</v>
      </c>
      <c r="AL17" s="264">
        <f t="shared" si="8"/>
        <v>60420640.888429433</v>
      </c>
      <c r="AM17" s="264">
        <f t="shared" si="8"/>
        <v>62061952.870718047</v>
      </c>
      <c r="AN17" s="264">
        <f t="shared" si="8"/>
        <v>63800368.774901159</v>
      </c>
      <c r="AO17" s="264">
        <f t="shared" ref="AO17:AQ17" si="9">SUM(AO14:AO16)</f>
        <v>65587677.270642154</v>
      </c>
      <c r="AP17" s="264">
        <f t="shared" si="9"/>
        <v>67425262.65954046</v>
      </c>
      <c r="AQ17" s="264">
        <f t="shared" si="9"/>
        <v>69314548.785240978</v>
      </c>
    </row>
    <row r="20" spans="2:43" x14ac:dyDescent="0.2">
      <c r="C20" s="256"/>
      <c r="D20" s="256" t="s">
        <v>10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</row>
    <row r="21" spans="2:43" x14ac:dyDescent="0.2">
      <c r="B21" s="257" t="s">
        <v>431</v>
      </c>
      <c r="C21" s="257"/>
      <c r="D21" s="258">
        <v>1</v>
      </c>
      <c r="E21" s="258">
        <v>2</v>
      </c>
      <c r="F21" s="258">
        <v>3</v>
      </c>
      <c r="G21" s="258">
        <v>4</v>
      </c>
      <c r="H21" s="258">
        <v>5</v>
      </c>
      <c r="I21" s="258">
        <v>6</v>
      </c>
      <c r="J21" s="258">
        <v>7</v>
      </c>
      <c r="K21" s="258">
        <v>8</v>
      </c>
      <c r="L21" s="258">
        <v>9</v>
      </c>
      <c r="M21" s="258">
        <v>10</v>
      </c>
      <c r="N21" s="258">
        <v>11</v>
      </c>
      <c r="O21" s="258">
        <v>12</v>
      </c>
      <c r="P21" s="258">
        <v>13</v>
      </c>
      <c r="Q21" s="258">
        <v>14</v>
      </c>
      <c r="R21" s="258">
        <v>15</v>
      </c>
      <c r="S21" s="258">
        <v>16</v>
      </c>
      <c r="T21" s="258">
        <v>17</v>
      </c>
      <c r="U21" s="258">
        <v>18</v>
      </c>
      <c r="V21" s="258">
        <v>19</v>
      </c>
      <c r="W21" s="258">
        <v>20</v>
      </c>
      <c r="X21" s="258">
        <v>21</v>
      </c>
      <c r="Y21" s="258">
        <v>22</v>
      </c>
      <c r="Z21" s="258">
        <v>23</v>
      </c>
      <c r="AA21" s="258">
        <v>24</v>
      </c>
      <c r="AB21" s="258">
        <v>25</v>
      </c>
      <c r="AC21" s="258">
        <v>26</v>
      </c>
      <c r="AD21" s="258">
        <v>27</v>
      </c>
      <c r="AE21" s="258">
        <v>28</v>
      </c>
      <c r="AF21" s="258">
        <v>29</v>
      </c>
      <c r="AG21" s="258">
        <v>30</v>
      </c>
      <c r="AH21" s="258">
        <v>31</v>
      </c>
      <c r="AI21" s="258">
        <v>32</v>
      </c>
      <c r="AJ21" s="258">
        <v>33</v>
      </c>
      <c r="AK21" s="258">
        <v>34</v>
      </c>
      <c r="AL21" s="258">
        <v>35</v>
      </c>
      <c r="AM21" s="258">
        <v>36</v>
      </c>
      <c r="AN21" s="258">
        <v>37</v>
      </c>
      <c r="AO21" s="258">
        <v>38</v>
      </c>
      <c r="AP21" s="258">
        <v>39</v>
      </c>
      <c r="AQ21" s="258">
        <v>40</v>
      </c>
    </row>
    <row r="22" spans="2:43" x14ac:dyDescent="0.2">
      <c r="B22" s="259" t="s">
        <v>63</v>
      </c>
      <c r="C22" s="260" t="s">
        <v>9</v>
      </c>
      <c r="D22" s="261">
        <f>D4</f>
        <v>2026</v>
      </c>
      <c r="E22" s="261">
        <f t="shared" ref="E22:AN22" si="10">E4</f>
        <v>2027</v>
      </c>
      <c r="F22" s="261">
        <f t="shared" si="10"/>
        <v>2028</v>
      </c>
      <c r="G22" s="261">
        <f t="shared" si="10"/>
        <v>2029</v>
      </c>
      <c r="H22" s="261">
        <f t="shared" si="10"/>
        <v>2030</v>
      </c>
      <c r="I22" s="261">
        <f t="shared" si="10"/>
        <v>2031</v>
      </c>
      <c r="J22" s="261">
        <f t="shared" si="10"/>
        <v>2032</v>
      </c>
      <c r="K22" s="261">
        <f t="shared" si="10"/>
        <v>2033</v>
      </c>
      <c r="L22" s="261">
        <f t="shared" si="10"/>
        <v>2034</v>
      </c>
      <c r="M22" s="261">
        <f t="shared" si="10"/>
        <v>2035</v>
      </c>
      <c r="N22" s="261">
        <f t="shared" si="10"/>
        <v>2036</v>
      </c>
      <c r="O22" s="261">
        <f t="shared" si="10"/>
        <v>2037</v>
      </c>
      <c r="P22" s="261">
        <f t="shared" si="10"/>
        <v>2038</v>
      </c>
      <c r="Q22" s="261">
        <f t="shared" si="10"/>
        <v>2039</v>
      </c>
      <c r="R22" s="261">
        <f t="shared" si="10"/>
        <v>2040</v>
      </c>
      <c r="S22" s="261">
        <f t="shared" si="10"/>
        <v>2041</v>
      </c>
      <c r="T22" s="261">
        <f t="shared" si="10"/>
        <v>2042</v>
      </c>
      <c r="U22" s="261">
        <f t="shared" si="10"/>
        <v>2043</v>
      </c>
      <c r="V22" s="261">
        <f t="shared" si="10"/>
        <v>2044</v>
      </c>
      <c r="W22" s="261">
        <f t="shared" si="10"/>
        <v>2045</v>
      </c>
      <c r="X22" s="261">
        <f t="shared" si="10"/>
        <v>2046</v>
      </c>
      <c r="Y22" s="261">
        <f t="shared" si="10"/>
        <v>2047</v>
      </c>
      <c r="Z22" s="261">
        <f t="shared" si="10"/>
        <v>2048</v>
      </c>
      <c r="AA22" s="261">
        <f t="shared" si="10"/>
        <v>2049</v>
      </c>
      <c r="AB22" s="261">
        <f t="shared" si="10"/>
        <v>2050</v>
      </c>
      <c r="AC22" s="261">
        <f t="shared" si="10"/>
        <v>2051</v>
      </c>
      <c r="AD22" s="261">
        <f t="shared" si="10"/>
        <v>2052</v>
      </c>
      <c r="AE22" s="261">
        <f t="shared" si="10"/>
        <v>2053</v>
      </c>
      <c r="AF22" s="261">
        <f t="shared" si="10"/>
        <v>2054</v>
      </c>
      <c r="AG22" s="261">
        <f t="shared" si="10"/>
        <v>2055</v>
      </c>
      <c r="AH22" s="261">
        <f t="shared" si="10"/>
        <v>2056</v>
      </c>
      <c r="AI22" s="261">
        <f t="shared" si="10"/>
        <v>2057</v>
      </c>
      <c r="AJ22" s="261">
        <f t="shared" si="10"/>
        <v>2058</v>
      </c>
      <c r="AK22" s="261">
        <f t="shared" si="10"/>
        <v>2059</v>
      </c>
      <c r="AL22" s="261">
        <f t="shared" si="10"/>
        <v>2060</v>
      </c>
      <c r="AM22" s="261">
        <f t="shared" si="10"/>
        <v>2061</v>
      </c>
      <c r="AN22" s="261">
        <f t="shared" si="10"/>
        <v>2062</v>
      </c>
      <c r="AO22" s="261">
        <f t="shared" ref="AO22:AQ22" si="11">AO4</f>
        <v>2063</v>
      </c>
      <c r="AP22" s="261">
        <f t="shared" si="11"/>
        <v>2064</v>
      </c>
      <c r="AQ22" s="261">
        <f t="shared" si="11"/>
        <v>2065</v>
      </c>
    </row>
    <row r="23" spans="2:43" x14ac:dyDescent="0.2">
      <c r="B23" s="256" t="s">
        <v>60</v>
      </c>
      <c r="C23" s="262">
        <f>SUM(D23:AQ23)</f>
        <v>4634345.8416216001</v>
      </c>
      <c r="D23" s="262">
        <f t="shared" ref="D23:AN25" si="12">D5-D14</f>
        <v>0</v>
      </c>
      <c r="E23" s="262">
        <f t="shared" si="12"/>
        <v>0</v>
      </c>
      <c r="F23" s="262">
        <f t="shared" si="12"/>
        <v>0</v>
      </c>
      <c r="G23" s="262">
        <f t="shared" si="12"/>
        <v>43089.411276359111</v>
      </c>
      <c r="H23" s="262">
        <f t="shared" si="12"/>
        <v>83257.245586939156</v>
      </c>
      <c r="I23" s="262">
        <f t="shared" si="12"/>
        <v>100195.49144357815</v>
      </c>
      <c r="J23" s="262">
        <f t="shared" si="12"/>
        <v>102411.81572993472</v>
      </c>
      <c r="K23" s="262">
        <f t="shared" si="12"/>
        <v>104677.16501746699</v>
      </c>
      <c r="L23" s="262">
        <f t="shared" si="12"/>
        <v>106992.62381957844</v>
      </c>
      <c r="M23" s="262">
        <f t="shared" si="12"/>
        <v>109359.30059661716</v>
      </c>
      <c r="N23" s="262">
        <f t="shared" si="12"/>
        <v>111778.32825821266</v>
      </c>
      <c r="O23" s="262">
        <f t="shared" si="12"/>
        <v>114250.86489138752</v>
      </c>
      <c r="P23" s="262">
        <f t="shared" si="12"/>
        <v>116778.09407516196</v>
      </c>
      <c r="Q23" s="262">
        <f t="shared" si="12"/>
        <v>119361.22541294619</v>
      </c>
      <c r="R23" s="262">
        <f t="shared" si="12"/>
        <v>122001.49574313313</v>
      </c>
      <c r="S23" s="262">
        <f t="shared" si="12"/>
        <v>123218.58266198635</v>
      </c>
      <c r="T23" s="262">
        <f t="shared" si="12"/>
        <v>124251.05582597852</v>
      </c>
      <c r="U23" s="262">
        <f t="shared" si="12"/>
        <v>125292.18019417673</v>
      </c>
      <c r="V23" s="262">
        <f t="shared" si="12"/>
        <v>126342.02850784361</v>
      </c>
      <c r="W23" s="262">
        <f t="shared" si="12"/>
        <v>127400.67356522381</v>
      </c>
      <c r="X23" s="262">
        <f t="shared" si="12"/>
        <v>128468.1893171519</v>
      </c>
      <c r="Y23" s="262">
        <f t="shared" si="12"/>
        <v>129544.64997364581</v>
      </c>
      <c r="Z23" s="262">
        <f t="shared" si="12"/>
        <v>130630.13043580949</v>
      </c>
      <c r="AA23" s="262">
        <f t="shared" si="12"/>
        <v>131724.70650383085</v>
      </c>
      <c r="AB23" s="262">
        <f t="shared" si="12"/>
        <v>132828.45420943201</v>
      </c>
      <c r="AC23" s="262">
        <f t="shared" si="12"/>
        <v>133941.45046315342</v>
      </c>
      <c r="AD23" s="262">
        <f t="shared" si="12"/>
        <v>134956.83390783519</v>
      </c>
      <c r="AE23" s="262">
        <f t="shared" si="12"/>
        <v>135979.91473470628</v>
      </c>
      <c r="AF23" s="262">
        <f t="shared" si="12"/>
        <v>137010.75125814229</v>
      </c>
      <c r="AG23" s="262">
        <f t="shared" si="12"/>
        <v>138049.40240273625</v>
      </c>
      <c r="AH23" s="262">
        <f t="shared" si="12"/>
        <v>139095.92726314068</v>
      </c>
      <c r="AI23" s="262">
        <f t="shared" si="12"/>
        <v>140150.38574462384</v>
      </c>
      <c r="AJ23" s="262">
        <f t="shared" si="12"/>
        <v>141212.83769302815</v>
      </c>
      <c r="AK23" s="262">
        <f t="shared" si="12"/>
        <v>142283.34396374971</v>
      </c>
      <c r="AL23" s="262">
        <f t="shared" si="12"/>
        <v>143361.96555306762</v>
      </c>
      <c r="AM23" s="262">
        <f t="shared" si="12"/>
        <v>144448.76402042061</v>
      </c>
      <c r="AN23" s="262">
        <f t="shared" si="12"/>
        <v>145659.12912894785</v>
      </c>
      <c r="AO23" s="262">
        <f t="shared" ref="AO23:AQ23" si="13">AO5-AO14</f>
        <v>146879.63613963872</v>
      </c>
      <c r="AP23" s="262">
        <f t="shared" si="13"/>
        <v>148110.36998287588</v>
      </c>
      <c r="AQ23" s="262">
        <f t="shared" si="13"/>
        <v>149351.4163191393</v>
      </c>
    </row>
    <row r="24" spans="2:43" x14ac:dyDescent="0.2">
      <c r="B24" s="256" t="s">
        <v>61</v>
      </c>
      <c r="C24" s="262">
        <f>SUM(D24:AQ24)</f>
        <v>151483.39588376507</v>
      </c>
      <c r="D24" s="262">
        <f t="shared" si="12"/>
        <v>0</v>
      </c>
      <c r="E24" s="262">
        <f t="shared" si="12"/>
        <v>0</v>
      </c>
      <c r="F24" s="262">
        <f t="shared" si="12"/>
        <v>0</v>
      </c>
      <c r="G24" s="262">
        <f t="shared" si="12"/>
        <v>1126.3798987763003</v>
      </c>
      <c r="H24" s="262">
        <f t="shared" si="12"/>
        <v>2204.2459965852322</v>
      </c>
      <c r="I24" s="262">
        <f t="shared" si="12"/>
        <v>2686.6425652471371</v>
      </c>
      <c r="J24" s="262">
        <f t="shared" si="12"/>
        <v>2779.0239692016039</v>
      </c>
      <c r="K24" s="262">
        <f t="shared" si="12"/>
        <v>2874.5819388449891</v>
      </c>
      <c r="L24" s="262">
        <f t="shared" si="12"/>
        <v>2973.425708726747</v>
      </c>
      <c r="M24" s="262">
        <f t="shared" si="12"/>
        <v>3075.6682497377042</v>
      </c>
      <c r="N24" s="262">
        <f t="shared" si="12"/>
        <v>3181.4264374219347</v>
      </c>
      <c r="O24" s="262">
        <f t="shared" si="12"/>
        <v>3290.8211924807401</v>
      </c>
      <c r="P24" s="262">
        <f t="shared" si="12"/>
        <v>3403.9775243748445</v>
      </c>
      <c r="Q24" s="262">
        <f t="shared" si="12"/>
        <v>3521.0248021797743</v>
      </c>
      <c r="R24" s="262">
        <f t="shared" si="12"/>
        <v>3642.096787165734</v>
      </c>
      <c r="S24" s="262">
        <f t="shared" si="12"/>
        <v>3722.5715150046162</v>
      </c>
      <c r="T24" s="262">
        <f t="shared" si="12"/>
        <v>3792.8028494578321</v>
      </c>
      <c r="U24" s="262">
        <f t="shared" si="12"/>
        <v>3864.359158876352</v>
      </c>
      <c r="V24" s="262">
        <f t="shared" si="12"/>
        <v>3937.2655133418739</v>
      </c>
      <c r="W24" s="262">
        <f t="shared" si="12"/>
        <v>4011.5472970199771</v>
      </c>
      <c r="X24" s="262">
        <f t="shared" si="12"/>
        <v>4087.2305399200413</v>
      </c>
      <c r="Y24" s="262">
        <f t="shared" si="12"/>
        <v>4164.3416564718354</v>
      </c>
      <c r="Z24" s="262">
        <f t="shared" si="12"/>
        <v>4242.907563698478</v>
      </c>
      <c r="AA24" s="262">
        <f t="shared" si="12"/>
        <v>4322.9556969820987</v>
      </c>
      <c r="AB24" s="262">
        <f t="shared" si="12"/>
        <v>4404.5140482771676</v>
      </c>
      <c r="AC24" s="262">
        <f t="shared" si="12"/>
        <v>4487.6111470267642</v>
      </c>
      <c r="AD24" s="262">
        <f t="shared" si="12"/>
        <v>4565.0384814066347</v>
      </c>
      <c r="AE24" s="262">
        <f t="shared" si="12"/>
        <v>4643.8017462429125</v>
      </c>
      <c r="AF24" s="262">
        <f t="shared" si="12"/>
        <v>4723.9239200379234</v>
      </c>
      <c r="AG24" s="262">
        <f t="shared" si="12"/>
        <v>4805.4285021198448</v>
      </c>
      <c r="AH24" s="262">
        <f t="shared" si="12"/>
        <v>4888.339348352747</v>
      </c>
      <c r="AI24" s="262">
        <f t="shared" si="12"/>
        <v>4972.6806983891875</v>
      </c>
      <c r="AJ24" s="262">
        <f t="shared" si="12"/>
        <v>5058.4772042939439</v>
      </c>
      <c r="AK24" s="262">
        <f t="shared" si="12"/>
        <v>5145.7540300351102</v>
      </c>
      <c r="AL24" s="262">
        <f t="shared" si="12"/>
        <v>5234.5366652039811</v>
      </c>
      <c r="AM24" s="262">
        <f t="shared" si="12"/>
        <v>5324.851164762862</v>
      </c>
      <c r="AN24" s="262">
        <f t="shared" si="12"/>
        <v>5425.3116580042988</v>
      </c>
      <c r="AO24" s="262">
        <f t="shared" ref="AO24:AQ24" si="14">AO6-AO15</f>
        <v>5527.6674366407096</v>
      </c>
      <c r="AP24" s="262">
        <f t="shared" si="14"/>
        <v>5631.9543023342267</v>
      </c>
      <c r="AQ24" s="262">
        <f t="shared" si="14"/>
        <v>5738.2086691209115</v>
      </c>
    </row>
    <row r="25" spans="2:43" x14ac:dyDescent="0.2">
      <c r="B25" s="256" t="s">
        <v>62</v>
      </c>
      <c r="C25" s="265">
        <f>SUM(D25:AQ25)</f>
        <v>1424.9928941842845</v>
      </c>
      <c r="D25" s="265">
        <f t="shared" si="12"/>
        <v>0</v>
      </c>
      <c r="E25" s="262">
        <f t="shared" si="12"/>
        <v>0</v>
      </c>
      <c r="F25" s="262">
        <f t="shared" si="12"/>
        <v>0</v>
      </c>
      <c r="G25" s="262">
        <f t="shared" si="12"/>
        <v>8.3785706790504264</v>
      </c>
      <c r="H25" s="262">
        <f t="shared" si="12"/>
        <v>16.606145399957313</v>
      </c>
      <c r="I25" s="262">
        <f t="shared" si="12"/>
        <v>20.499457138587786</v>
      </c>
      <c r="J25" s="262">
        <f t="shared" si="12"/>
        <v>21.458792723351507</v>
      </c>
      <c r="K25" s="262">
        <f t="shared" si="12"/>
        <v>22.463021157550429</v>
      </c>
      <c r="L25" s="262">
        <f t="shared" si="12"/>
        <v>23.514246086337153</v>
      </c>
      <c r="M25" s="262">
        <f t="shared" si="12"/>
        <v>24.61466920924795</v>
      </c>
      <c r="N25" s="262">
        <f t="shared" si="12"/>
        <v>25.766586140629443</v>
      </c>
      <c r="O25" s="262">
        <f t="shared" si="12"/>
        <v>26.972412933159831</v>
      </c>
      <c r="P25" s="262">
        <f t="shared" si="12"/>
        <v>28.234668516167403</v>
      </c>
      <c r="Q25" s="262">
        <f t="shared" si="12"/>
        <v>29.555994255569203</v>
      </c>
      <c r="R25" s="262">
        <f t="shared" si="12"/>
        <v>30.939159233375904</v>
      </c>
      <c r="S25" s="262">
        <f t="shared" si="12"/>
        <v>32.00225508537369</v>
      </c>
      <c r="T25" s="262">
        <f t="shared" si="12"/>
        <v>32.945123351340953</v>
      </c>
      <c r="U25" s="262">
        <f t="shared" si="12"/>
        <v>33.91577064354351</v>
      </c>
      <c r="V25" s="262">
        <f t="shared" si="12"/>
        <v>34.915016914043008</v>
      </c>
      <c r="W25" s="262">
        <f t="shared" si="12"/>
        <v>35.943704505772985</v>
      </c>
      <c r="X25" s="262">
        <f t="shared" si="12"/>
        <v>37.002695898219827</v>
      </c>
      <c r="Y25" s="262">
        <f t="shared" si="12"/>
        <v>38.092889109098905</v>
      </c>
      <c r="Z25" s="262">
        <f t="shared" si="12"/>
        <v>39.215202462821253</v>
      </c>
      <c r="AA25" s="262">
        <f t="shared" si="12"/>
        <v>40.370580943026653</v>
      </c>
      <c r="AB25" s="262">
        <f t="shared" si="12"/>
        <v>41.560003439166394</v>
      </c>
      <c r="AC25" s="262">
        <f t="shared" si="12"/>
        <v>42.784464820850189</v>
      </c>
      <c r="AD25" s="262">
        <f t="shared" si="12"/>
        <v>43.940465466084788</v>
      </c>
      <c r="AE25" s="262">
        <f t="shared" si="12"/>
        <v>45.1277021075839</v>
      </c>
      <c r="AF25" s="262">
        <f t="shared" si="12"/>
        <v>46.34701826912351</v>
      </c>
      <c r="AG25" s="262">
        <f t="shared" si="12"/>
        <v>47.599281097849598</v>
      </c>
      <c r="AH25" s="262">
        <f t="shared" si="12"/>
        <v>48.885373382152466</v>
      </c>
      <c r="AI25" s="262">
        <f t="shared" si="12"/>
        <v>50.206214812871622</v>
      </c>
      <c r="AJ25" s="262">
        <f t="shared" si="12"/>
        <v>51.562749693377555</v>
      </c>
      <c r="AK25" s="262">
        <f t="shared" si="12"/>
        <v>52.955933987268509</v>
      </c>
      <c r="AL25" s="262">
        <f t="shared" si="12"/>
        <v>54.386762343230657</v>
      </c>
      <c r="AM25" s="262">
        <f t="shared" si="12"/>
        <v>55.856249814914918</v>
      </c>
      <c r="AN25" s="262">
        <f t="shared" si="12"/>
        <v>57.501917072153446</v>
      </c>
      <c r="AO25" s="262">
        <f t="shared" ref="AO25:AQ25" si="15">AO7-AO16</f>
        <v>59.196070421221521</v>
      </c>
      <c r="AP25" s="262">
        <f t="shared" si="15"/>
        <v>60.940136100187374</v>
      </c>
      <c r="AQ25" s="262">
        <f t="shared" si="15"/>
        <v>62.735588970022945</v>
      </c>
    </row>
    <row r="26" spans="2:43" x14ac:dyDescent="0.2">
      <c r="B26" s="266" t="s">
        <v>59</v>
      </c>
      <c r="C26" s="267">
        <f>SUM(D26:AQ26)</f>
        <v>4787254.2303995499</v>
      </c>
      <c r="D26" s="267">
        <f t="shared" ref="D26:AN26" si="16">SUM(D23:D25)</f>
        <v>0</v>
      </c>
      <c r="E26" s="267">
        <f t="shared" si="16"/>
        <v>0</v>
      </c>
      <c r="F26" s="267">
        <f t="shared" si="16"/>
        <v>0</v>
      </c>
      <c r="G26" s="267">
        <f t="shared" si="16"/>
        <v>44224.169745814463</v>
      </c>
      <c r="H26" s="267">
        <f t="shared" si="16"/>
        <v>85478.097728924346</v>
      </c>
      <c r="I26" s="267">
        <f t="shared" si="16"/>
        <v>102902.63346596388</v>
      </c>
      <c r="J26" s="267">
        <f t="shared" si="16"/>
        <v>105212.29849185968</v>
      </c>
      <c r="K26" s="267">
        <f t="shared" si="16"/>
        <v>107574.20997746954</v>
      </c>
      <c r="L26" s="267">
        <f t="shared" si="16"/>
        <v>109989.56377439153</v>
      </c>
      <c r="M26" s="267">
        <f t="shared" si="16"/>
        <v>112459.58351556411</v>
      </c>
      <c r="N26" s="267">
        <f t="shared" si="16"/>
        <v>114985.52128177522</v>
      </c>
      <c r="O26" s="267">
        <f t="shared" si="16"/>
        <v>117568.65849680142</v>
      </c>
      <c r="P26" s="267">
        <f t="shared" si="16"/>
        <v>120210.30626805297</v>
      </c>
      <c r="Q26" s="267">
        <f t="shared" si="16"/>
        <v>122911.80620938154</v>
      </c>
      <c r="R26" s="267">
        <f t="shared" si="16"/>
        <v>125674.53168953223</v>
      </c>
      <c r="S26" s="267">
        <f t="shared" si="16"/>
        <v>126973.15643207634</v>
      </c>
      <c r="T26" s="267">
        <f t="shared" si="16"/>
        <v>128076.80379878769</v>
      </c>
      <c r="U26" s="267">
        <f t="shared" si="16"/>
        <v>129190.45512369662</v>
      </c>
      <c r="V26" s="267">
        <f t="shared" si="16"/>
        <v>130314.20903809954</v>
      </c>
      <c r="W26" s="267">
        <f t="shared" si="16"/>
        <v>131448.16456674956</v>
      </c>
      <c r="X26" s="267">
        <f t="shared" si="16"/>
        <v>132592.42255297018</v>
      </c>
      <c r="Y26" s="267">
        <f t="shared" si="16"/>
        <v>133747.08451922674</v>
      </c>
      <c r="Z26" s="267">
        <f t="shared" si="16"/>
        <v>134912.2532019708</v>
      </c>
      <c r="AA26" s="267">
        <f t="shared" si="16"/>
        <v>136088.03278175599</v>
      </c>
      <c r="AB26" s="267">
        <f t="shared" si="16"/>
        <v>137274.52826114834</v>
      </c>
      <c r="AC26" s="267">
        <f t="shared" si="16"/>
        <v>138471.84607500103</v>
      </c>
      <c r="AD26" s="267">
        <f t="shared" si="16"/>
        <v>139565.81285470791</v>
      </c>
      <c r="AE26" s="267">
        <f t="shared" si="16"/>
        <v>140668.84418305679</v>
      </c>
      <c r="AF26" s="267">
        <f t="shared" si="16"/>
        <v>141781.02219644934</v>
      </c>
      <c r="AG26" s="267">
        <f t="shared" si="16"/>
        <v>142902.43018595394</v>
      </c>
      <c r="AH26" s="267">
        <f t="shared" si="16"/>
        <v>144033.15198487559</v>
      </c>
      <c r="AI26" s="267">
        <f t="shared" si="16"/>
        <v>145173.2726578259</v>
      </c>
      <c r="AJ26" s="267">
        <f t="shared" si="16"/>
        <v>146322.87764701547</v>
      </c>
      <c r="AK26" s="267">
        <f t="shared" si="16"/>
        <v>147482.0539277721</v>
      </c>
      <c r="AL26" s="267">
        <f t="shared" si="16"/>
        <v>148650.88898061484</v>
      </c>
      <c r="AM26" s="267">
        <f t="shared" si="16"/>
        <v>149829.47143499838</v>
      </c>
      <c r="AN26" s="267">
        <f t="shared" si="16"/>
        <v>151141.94270402432</v>
      </c>
      <c r="AO26" s="267">
        <f t="shared" ref="AO26:AQ26" si="17">SUM(AO23:AO25)</f>
        <v>152466.49964670066</v>
      </c>
      <c r="AP26" s="267">
        <f t="shared" si="17"/>
        <v>153803.2644213103</v>
      </c>
      <c r="AQ26" s="267">
        <f t="shared" si="17"/>
        <v>155152.36057723023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D02A-0A7B-47B3-9DB0-90E8508AC975}">
  <sheetPr>
    <tabColor theme="7" tint="0.59999389629810485"/>
  </sheetPr>
  <dimension ref="B2:AQ51"/>
  <sheetViews>
    <sheetView zoomScaleNormal="100" workbookViewId="0"/>
  </sheetViews>
  <sheetFormatPr defaultColWidth="9.140625" defaultRowHeight="11.25" x14ac:dyDescent="0.2"/>
  <cols>
    <col min="1" max="1" width="2.85546875" style="255" customWidth="1"/>
    <col min="2" max="2" width="66.42578125" style="255" customWidth="1"/>
    <col min="3" max="3" width="18.5703125" style="255" customWidth="1"/>
    <col min="4" max="10" width="16" style="255" customWidth="1"/>
    <col min="11" max="11" width="19.5703125" style="255" customWidth="1"/>
    <col min="12" max="43" width="16" style="255" customWidth="1"/>
    <col min="44" max="16384" width="9.140625" style="255"/>
  </cols>
  <sheetData>
    <row r="2" spans="2:17" ht="17.45" customHeight="1" x14ac:dyDescent="0.2">
      <c r="B2" s="365" t="s">
        <v>574</v>
      </c>
      <c r="C2" s="365"/>
      <c r="D2" s="365"/>
      <c r="E2" s="365"/>
      <c r="F2" s="365"/>
      <c r="G2" s="365"/>
      <c r="H2" s="385"/>
      <c r="J2" s="386"/>
      <c r="K2" s="386"/>
      <c r="L2" s="386"/>
    </row>
    <row r="3" spans="2:17" x14ac:dyDescent="0.2">
      <c r="B3" s="387"/>
      <c r="E3" s="282"/>
      <c r="F3" s="282"/>
    </row>
    <row r="4" spans="2:17" ht="13.35" customHeight="1" x14ac:dyDescent="0.2">
      <c r="B4" s="726" t="s">
        <v>700</v>
      </c>
      <c r="C4" s="731" t="s">
        <v>701</v>
      </c>
      <c r="D4" s="731"/>
      <c r="E4" s="731"/>
      <c r="F4" s="282"/>
      <c r="G4" s="524"/>
      <c r="H4" s="754">
        <v>2015</v>
      </c>
      <c r="I4" s="754">
        <v>2016</v>
      </c>
      <c r="J4" s="754">
        <v>2017</v>
      </c>
      <c r="K4" s="754">
        <v>2018</v>
      </c>
      <c r="L4" s="754">
        <v>2019</v>
      </c>
      <c r="M4" s="754">
        <v>2020</v>
      </c>
      <c r="N4" s="754">
        <v>2021</v>
      </c>
      <c r="O4" s="754">
        <v>2022</v>
      </c>
      <c r="P4" s="754">
        <v>2023</v>
      </c>
      <c r="Q4" s="754">
        <v>2024</v>
      </c>
    </row>
    <row r="5" spans="2:17" x14ac:dyDescent="0.2">
      <c r="B5" s="727"/>
      <c r="C5" s="366" t="s">
        <v>575</v>
      </c>
      <c r="D5" s="366" t="s">
        <v>576</v>
      </c>
      <c r="E5" s="366" t="s">
        <v>577</v>
      </c>
      <c r="F5" s="282"/>
      <c r="G5" s="755" t="s">
        <v>575</v>
      </c>
      <c r="H5" s="754">
        <v>14</v>
      </c>
      <c r="I5" s="754">
        <v>8</v>
      </c>
      <c r="J5" s="754">
        <v>10</v>
      </c>
      <c r="K5" s="754">
        <v>12</v>
      </c>
      <c r="L5" s="754">
        <v>9</v>
      </c>
      <c r="M5" s="754">
        <v>5</v>
      </c>
      <c r="N5" s="754">
        <v>6</v>
      </c>
      <c r="O5" s="754">
        <v>10</v>
      </c>
      <c r="P5" s="754">
        <v>13</v>
      </c>
      <c r="Q5" s="754">
        <v>8</v>
      </c>
    </row>
    <row r="6" spans="2:17" x14ac:dyDescent="0.2">
      <c r="B6" s="351" t="s">
        <v>685</v>
      </c>
      <c r="C6" s="367">
        <f>AVERAGE(H5:Q5)</f>
        <v>9.5</v>
      </c>
      <c r="D6" s="367">
        <f>AVERAGE(H6:Q6)</f>
        <v>26.8</v>
      </c>
      <c r="E6" s="366">
        <f>AVERAGE(H7:Q7)</f>
        <v>98.8</v>
      </c>
      <c r="F6" s="282"/>
      <c r="G6" s="755" t="s">
        <v>576</v>
      </c>
      <c r="H6" s="754">
        <v>37</v>
      </c>
      <c r="I6" s="754">
        <v>21</v>
      </c>
      <c r="J6" s="754">
        <v>22</v>
      </c>
      <c r="K6" s="754">
        <v>32</v>
      </c>
      <c r="L6" s="754">
        <v>27</v>
      </c>
      <c r="M6" s="754">
        <v>18</v>
      </c>
      <c r="N6" s="754">
        <v>22</v>
      </c>
      <c r="O6" s="754">
        <v>29</v>
      </c>
      <c r="P6" s="754">
        <v>37</v>
      </c>
      <c r="Q6" s="754">
        <v>23</v>
      </c>
    </row>
    <row r="7" spans="2:17" x14ac:dyDescent="0.2">
      <c r="B7" s="387" t="s">
        <v>702</v>
      </c>
      <c r="E7" s="368"/>
      <c r="F7" s="368"/>
      <c r="G7" s="755" t="s">
        <v>577</v>
      </c>
      <c r="H7" s="754">
        <v>121</v>
      </c>
      <c r="I7" s="754">
        <v>89</v>
      </c>
      <c r="J7" s="754">
        <v>111</v>
      </c>
      <c r="K7" s="754">
        <v>101</v>
      </c>
      <c r="L7" s="754">
        <v>94</v>
      </c>
      <c r="M7" s="756">
        <v>82</v>
      </c>
      <c r="N7" s="754">
        <v>84</v>
      </c>
      <c r="O7" s="754">
        <v>98</v>
      </c>
      <c r="P7" s="754">
        <v>105</v>
      </c>
      <c r="Q7" s="754">
        <v>103</v>
      </c>
    </row>
    <row r="8" spans="2:17" x14ac:dyDescent="0.2">
      <c r="B8" s="387" t="s">
        <v>703</v>
      </c>
      <c r="E8" s="368"/>
      <c r="F8" s="368"/>
      <c r="M8" s="282"/>
    </row>
    <row r="9" spans="2:17" x14ac:dyDescent="0.2">
      <c r="B9" s="387"/>
      <c r="E9" s="368"/>
      <c r="F9" s="368"/>
      <c r="M9" s="282"/>
    </row>
    <row r="10" spans="2:17" ht="26.45" customHeight="1" x14ac:dyDescent="0.2">
      <c r="B10" s="726" t="s">
        <v>589</v>
      </c>
      <c r="C10" s="724" t="s">
        <v>578</v>
      </c>
      <c r="D10" s="724"/>
      <c r="E10" s="724"/>
      <c r="F10" s="724" t="s">
        <v>579</v>
      </c>
      <c r="G10" s="724"/>
      <c r="H10" s="724"/>
      <c r="I10" s="725" t="s">
        <v>580</v>
      </c>
      <c r="J10" s="725"/>
      <c r="K10" s="725"/>
      <c r="L10" s="282"/>
    </row>
    <row r="11" spans="2:17" x14ac:dyDescent="0.2">
      <c r="B11" s="727"/>
      <c r="C11" s="366" t="s">
        <v>575</v>
      </c>
      <c r="D11" s="366" t="s">
        <v>576</v>
      </c>
      <c r="E11" s="366" t="s">
        <v>577</v>
      </c>
      <c r="F11" s="366" t="s">
        <v>575</v>
      </c>
      <c r="G11" s="366" t="s">
        <v>576</v>
      </c>
      <c r="H11" s="366" t="s">
        <v>577</v>
      </c>
      <c r="I11" s="366" t="s">
        <v>575</v>
      </c>
      <c r="J11" s="366" t="s">
        <v>576</v>
      </c>
      <c r="K11" s="366" t="s">
        <v>577</v>
      </c>
      <c r="L11" s="282"/>
    </row>
    <row r="12" spans="2:17" x14ac:dyDescent="0.2">
      <c r="B12" s="351" t="s">
        <v>685</v>
      </c>
      <c r="C12" s="369">
        <f>(C6/G17)*100000000</f>
        <v>2.717543251044773</v>
      </c>
      <c r="D12" s="369">
        <f>(D6/G17)*100000000</f>
        <v>7.6663325397894662</v>
      </c>
      <c r="E12" s="370">
        <f>(E6/G17)*100000000</f>
        <v>28.262449810865643</v>
      </c>
      <c r="F12" s="371">
        <v>1.02</v>
      </c>
      <c r="G12" s="371">
        <v>1.5</v>
      </c>
      <c r="H12" s="371">
        <v>3</v>
      </c>
      <c r="I12" s="372">
        <f>C12*F12</f>
        <v>2.7718941160656687</v>
      </c>
      <c r="J12" s="372">
        <f t="shared" ref="J12:K12" si="0">D12*G12</f>
        <v>11.4994988096842</v>
      </c>
      <c r="K12" s="372">
        <f t="shared" si="0"/>
        <v>84.787349432596926</v>
      </c>
      <c r="L12" s="282"/>
    </row>
    <row r="13" spans="2:17" x14ac:dyDescent="0.2">
      <c r="B13" s="387"/>
      <c r="E13" s="368"/>
      <c r="F13" s="368"/>
      <c r="M13" s="282"/>
    </row>
    <row r="14" spans="2:17" x14ac:dyDescent="0.2">
      <c r="B14" s="387"/>
      <c r="H14" s="388"/>
      <c r="I14" s="388"/>
      <c r="J14" s="388"/>
      <c r="K14" s="388"/>
      <c r="L14" s="388"/>
      <c r="M14" s="388"/>
      <c r="N14" s="388"/>
      <c r="O14" s="388"/>
      <c r="P14" s="388"/>
    </row>
    <row r="15" spans="2:17" ht="10.35" customHeight="1" x14ac:dyDescent="0.2">
      <c r="B15" s="726" t="s">
        <v>704</v>
      </c>
      <c r="C15" s="757" t="s">
        <v>595</v>
      </c>
      <c r="D15" s="757" t="s">
        <v>582</v>
      </c>
      <c r="E15" s="729" t="s">
        <v>581</v>
      </c>
      <c r="F15" s="730"/>
      <c r="G15" s="729" t="s">
        <v>582</v>
      </c>
      <c r="H15" s="730"/>
      <c r="I15" s="388"/>
      <c r="J15" s="388"/>
      <c r="K15" s="388"/>
      <c r="L15" s="388"/>
      <c r="M15" s="388"/>
      <c r="N15" s="388"/>
      <c r="O15" s="388"/>
    </row>
    <row r="16" spans="2:17" x14ac:dyDescent="0.2">
      <c r="B16" s="727"/>
      <c r="C16" s="728"/>
      <c r="D16" s="728"/>
      <c r="E16" s="517">
        <v>2024</v>
      </c>
      <c r="F16" s="517">
        <v>2025</v>
      </c>
      <c r="G16" s="517">
        <v>2024</v>
      </c>
      <c r="H16" s="517">
        <v>2025</v>
      </c>
      <c r="I16" s="388"/>
      <c r="J16" s="388"/>
      <c r="K16" s="388"/>
      <c r="L16" s="388"/>
      <c r="M16" s="388"/>
      <c r="N16" s="388"/>
      <c r="O16" s="388"/>
    </row>
    <row r="17" spans="2:43" x14ac:dyDescent="0.2">
      <c r="B17" s="351" t="s">
        <v>685</v>
      </c>
      <c r="C17" s="758">
        <f>Vstupy!D53</f>
        <v>4943264.3500000006</v>
      </c>
      <c r="D17" s="758">
        <f>C17/C22*D22</f>
        <v>343736925.00000006</v>
      </c>
      <c r="E17" s="373">
        <f>C17*1.017</f>
        <v>5027299.8439499997</v>
      </c>
      <c r="F17" s="373">
        <f>E17*1.017</f>
        <v>5112763.9412971493</v>
      </c>
      <c r="G17" s="373">
        <f>E17/C22*D22</f>
        <v>349580452.72499996</v>
      </c>
      <c r="H17" s="373">
        <f>F17/C22*D22</f>
        <v>355523320.42132491</v>
      </c>
      <c r="I17" s="388"/>
      <c r="J17" s="388"/>
      <c r="K17" s="388"/>
      <c r="L17" s="388"/>
      <c r="M17" s="388"/>
      <c r="N17" s="388"/>
      <c r="O17" s="388"/>
    </row>
    <row r="18" spans="2:43" x14ac:dyDescent="0.2">
      <c r="C18" s="392"/>
      <c r="G18" s="386"/>
      <c r="H18" s="386"/>
      <c r="I18" s="393"/>
      <c r="J18" s="389"/>
      <c r="K18" s="390"/>
      <c r="L18" s="391"/>
      <c r="M18" s="389"/>
      <c r="N18" s="390"/>
      <c r="O18" s="388"/>
      <c r="P18" s="388"/>
    </row>
    <row r="19" spans="2:43" x14ac:dyDescent="0.2">
      <c r="B19" s="282"/>
      <c r="C19" s="394"/>
      <c r="D19" s="394"/>
      <c r="E19" s="395"/>
      <c r="I19" s="393"/>
      <c r="J19" s="396"/>
      <c r="K19" s="396"/>
      <c r="L19" s="391"/>
      <c r="M19" s="388"/>
      <c r="N19" s="388"/>
      <c r="O19" s="388"/>
      <c r="P19" s="388"/>
    </row>
    <row r="20" spans="2:43" x14ac:dyDescent="0.2">
      <c r="B20" s="726" t="s">
        <v>705</v>
      </c>
      <c r="C20" s="732" t="s">
        <v>590</v>
      </c>
      <c r="D20" s="732" t="s">
        <v>591</v>
      </c>
      <c r="E20" s="395"/>
      <c r="I20" s="393"/>
      <c r="J20" s="396"/>
      <c r="K20" s="396"/>
      <c r="L20" s="391"/>
      <c r="M20" s="388"/>
      <c r="N20" s="388"/>
      <c r="O20" s="388"/>
      <c r="P20" s="388"/>
    </row>
    <row r="21" spans="2:43" ht="26.45" customHeight="1" x14ac:dyDescent="0.2">
      <c r="B21" s="727"/>
      <c r="C21" s="732"/>
      <c r="D21" s="732"/>
      <c r="E21" s="395"/>
      <c r="I21" s="393"/>
      <c r="J21" s="396"/>
      <c r="K21" s="396"/>
      <c r="L21" s="391"/>
      <c r="M21" s="388"/>
      <c r="N21" s="388"/>
      <c r="O21" s="388"/>
      <c r="P21" s="388"/>
    </row>
    <row r="22" spans="2:43" x14ac:dyDescent="0.2">
      <c r="B22" s="351" t="s">
        <v>685</v>
      </c>
      <c r="C22" s="374">
        <f>Parametre!C152</f>
        <v>1.51</v>
      </c>
      <c r="D22" s="374">
        <f>Vstupy!F53</f>
        <v>105</v>
      </c>
      <c r="E22" s="395"/>
      <c r="I22" s="393"/>
      <c r="J22" s="396"/>
      <c r="K22" s="396"/>
      <c r="L22" s="391"/>
      <c r="M22" s="388"/>
      <c r="N22" s="388"/>
      <c r="O22" s="388"/>
      <c r="P22" s="388"/>
    </row>
    <row r="23" spans="2:43" x14ac:dyDescent="0.2">
      <c r="I23" s="393"/>
      <c r="J23" s="398"/>
      <c r="K23" s="399"/>
      <c r="L23" s="391"/>
      <c r="M23" s="388"/>
      <c r="N23" s="388"/>
      <c r="O23" s="388"/>
      <c r="P23" s="388"/>
    </row>
    <row r="24" spans="2:43" x14ac:dyDescent="0.2">
      <c r="E24" s="397"/>
      <c r="G24" s="386"/>
      <c r="H24" s="386"/>
      <c r="I24" s="386"/>
      <c r="J24" s="389"/>
      <c r="K24" s="390"/>
      <c r="L24" s="391"/>
      <c r="M24" s="400"/>
      <c r="N24" s="388"/>
      <c r="O24" s="388"/>
      <c r="P24" s="388"/>
    </row>
    <row r="25" spans="2:43" x14ac:dyDescent="0.2">
      <c r="B25" s="525" t="s">
        <v>593</v>
      </c>
      <c r="C25" s="375" t="s">
        <v>592</v>
      </c>
      <c r="D25" s="375" t="s">
        <v>583</v>
      </c>
      <c r="E25" s="375" t="s">
        <v>584</v>
      </c>
      <c r="G25" s="386"/>
      <c r="H25" s="386"/>
      <c r="I25" s="386"/>
      <c r="J25" s="389"/>
      <c r="K25" s="390"/>
      <c r="L25" s="391"/>
      <c r="M25" s="400"/>
      <c r="N25" s="388"/>
      <c r="O25" s="388"/>
      <c r="P25" s="388"/>
    </row>
    <row r="26" spans="2:43" ht="13.35" customHeight="1" x14ac:dyDescent="0.2">
      <c r="B26" s="351" t="s">
        <v>685</v>
      </c>
      <c r="C26" s="373">
        <f>$G$17/C6</f>
        <v>36797942.392105259</v>
      </c>
      <c r="D26" s="373">
        <f t="shared" ref="D26:E26" si="1">$G$17/D6</f>
        <v>13044046.743470147</v>
      </c>
      <c r="E26" s="373">
        <f t="shared" si="1"/>
        <v>3538263.6915485826</v>
      </c>
      <c r="G26" s="386"/>
      <c r="H26" s="386"/>
      <c r="I26" s="386"/>
      <c r="J26" s="389"/>
      <c r="K26" s="390"/>
      <c r="L26" s="391"/>
      <c r="M26" s="400"/>
      <c r="N26" s="388"/>
      <c r="O26" s="388"/>
      <c r="P26" s="388"/>
    </row>
    <row r="27" spans="2:43" x14ac:dyDescent="0.2">
      <c r="B27" s="298"/>
      <c r="C27" s="392"/>
      <c r="D27" s="392"/>
      <c r="E27" s="392"/>
      <c r="F27" s="401"/>
      <c r="I27" s="386"/>
      <c r="M27" s="400"/>
      <c r="N27" s="388"/>
      <c r="O27" s="388"/>
      <c r="P27" s="388"/>
    </row>
    <row r="29" spans="2:43" x14ac:dyDescent="0.2">
      <c r="B29" s="358" t="s">
        <v>594</v>
      </c>
      <c r="C29" s="359"/>
      <c r="D29" s="256" t="s">
        <v>10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</row>
    <row r="30" spans="2:43" x14ac:dyDescent="0.2">
      <c r="B30" s="360"/>
      <c r="C30" s="361"/>
      <c r="D30" s="256">
        <v>1</v>
      </c>
      <c r="E30" s="256">
        <v>2</v>
      </c>
      <c r="F30" s="256">
        <v>3</v>
      </c>
      <c r="G30" s="256">
        <v>4</v>
      </c>
      <c r="H30" s="256">
        <v>5</v>
      </c>
      <c r="I30" s="256">
        <v>6</v>
      </c>
      <c r="J30" s="256">
        <v>7</v>
      </c>
      <c r="K30" s="256">
        <v>8</v>
      </c>
      <c r="L30" s="256">
        <v>9</v>
      </c>
      <c r="M30" s="256">
        <v>10</v>
      </c>
      <c r="N30" s="256">
        <v>11</v>
      </c>
      <c r="O30" s="256">
        <v>12</v>
      </c>
      <c r="P30" s="256">
        <v>13</v>
      </c>
      <c r="Q30" s="256">
        <v>14</v>
      </c>
      <c r="R30" s="256">
        <v>15</v>
      </c>
      <c r="S30" s="256">
        <v>16</v>
      </c>
      <c r="T30" s="256">
        <v>17</v>
      </c>
      <c r="U30" s="256">
        <v>18</v>
      </c>
      <c r="V30" s="256">
        <v>19</v>
      </c>
      <c r="W30" s="256">
        <v>20</v>
      </c>
      <c r="X30" s="256">
        <v>21</v>
      </c>
      <c r="Y30" s="256">
        <v>22</v>
      </c>
      <c r="Z30" s="256">
        <v>23</v>
      </c>
      <c r="AA30" s="256">
        <v>24</v>
      </c>
      <c r="AB30" s="256">
        <v>25</v>
      </c>
      <c r="AC30" s="256">
        <v>26</v>
      </c>
      <c r="AD30" s="256">
        <v>27</v>
      </c>
      <c r="AE30" s="256">
        <v>28</v>
      </c>
      <c r="AF30" s="256">
        <v>29</v>
      </c>
      <c r="AG30" s="256">
        <v>30</v>
      </c>
      <c r="AH30" s="256">
        <v>31</v>
      </c>
      <c r="AI30" s="256">
        <v>32</v>
      </c>
      <c r="AJ30" s="256">
        <v>33</v>
      </c>
      <c r="AK30" s="256">
        <v>34</v>
      </c>
      <c r="AL30" s="256">
        <v>35</v>
      </c>
      <c r="AM30" s="256">
        <v>36</v>
      </c>
      <c r="AN30" s="256">
        <v>37</v>
      </c>
      <c r="AO30" s="256">
        <v>38</v>
      </c>
      <c r="AP30" s="256">
        <v>39</v>
      </c>
      <c r="AQ30" s="256">
        <v>40</v>
      </c>
    </row>
    <row r="31" spans="2:43" ht="12" thickBot="1" x14ac:dyDescent="0.25">
      <c r="B31" s="259" t="s">
        <v>33</v>
      </c>
      <c r="C31" s="259" t="s">
        <v>9</v>
      </c>
      <c r="D31" s="304">
        <v>2026</v>
      </c>
      <c r="E31" s="304">
        <f>$D$31+D30</f>
        <v>2027</v>
      </c>
      <c r="F31" s="304">
        <f t="shared" ref="F31:AJ31" si="2">$D$31+E30</f>
        <v>2028</v>
      </c>
      <c r="G31" s="304">
        <f t="shared" si="2"/>
        <v>2029</v>
      </c>
      <c r="H31" s="304">
        <f t="shared" si="2"/>
        <v>2030</v>
      </c>
      <c r="I31" s="304">
        <f t="shared" si="2"/>
        <v>2031</v>
      </c>
      <c r="J31" s="304">
        <f t="shared" si="2"/>
        <v>2032</v>
      </c>
      <c r="K31" s="304">
        <f t="shared" si="2"/>
        <v>2033</v>
      </c>
      <c r="L31" s="304">
        <f t="shared" si="2"/>
        <v>2034</v>
      </c>
      <c r="M31" s="304">
        <f t="shared" si="2"/>
        <v>2035</v>
      </c>
      <c r="N31" s="304">
        <f t="shared" si="2"/>
        <v>2036</v>
      </c>
      <c r="O31" s="304">
        <f t="shared" si="2"/>
        <v>2037</v>
      </c>
      <c r="P31" s="304">
        <f t="shared" si="2"/>
        <v>2038</v>
      </c>
      <c r="Q31" s="304">
        <f t="shared" si="2"/>
        <v>2039</v>
      </c>
      <c r="R31" s="304">
        <f t="shared" si="2"/>
        <v>2040</v>
      </c>
      <c r="S31" s="304">
        <f t="shared" si="2"/>
        <v>2041</v>
      </c>
      <c r="T31" s="304">
        <f t="shared" si="2"/>
        <v>2042</v>
      </c>
      <c r="U31" s="304">
        <f t="shared" si="2"/>
        <v>2043</v>
      </c>
      <c r="V31" s="304">
        <f t="shared" si="2"/>
        <v>2044</v>
      </c>
      <c r="W31" s="304">
        <f t="shared" si="2"/>
        <v>2045</v>
      </c>
      <c r="X31" s="304">
        <f t="shared" si="2"/>
        <v>2046</v>
      </c>
      <c r="Y31" s="304">
        <f t="shared" si="2"/>
        <v>2047</v>
      </c>
      <c r="Z31" s="304">
        <f t="shared" si="2"/>
        <v>2048</v>
      </c>
      <c r="AA31" s="304">
        <f t="shared" si="2"/>
        <v>2049</v>
      </c>
      <c r="AB31" s="304">
        <f t="shared" si="2"/>
        <v>2050</v>
      </c>
      <c r="AC31" s="304">
        <f t="shared" si="2"/>
        <v>2051</v>
      </c>
      <c r="AD31" s="304">
        <f t="shared" si="2"/>
        <v>2052</v>
      </c>
      <c r="AE31" s="304">
        <f t="shared" si="2"/>
        <v>2053</v>
      </c>
      <c r="AF31" s="304">
        <f t="shared" si="2"/>
        <v>2054</v>
      </c>
      <c r="AG31" s="304">
        <f t="shared" si="2"/>
        <v>2055</v>
      </c>
      <c r="AH31" s="304">
        <f t="shared" si="2"/>
        <v>2056</v>
      </c>
      <c r="AI31" s="304">
        <f t="shared" si="2"/>
        <v>2057</v>
      </c>
      <c r="AJ31" s="304">
        <f t="shared" si="2"/>
        <v>2058</v>
      </c>
      <c r="AK31" s="304">
        <f t="shared" ref="AK31:AQ31" si="3">$D$31+AJ30</f>
        <v>2059</v>
      </c>
      <c r="AL31" s="304">
        <f t="shared" si="3"/>
        <v>2060</v>
      </c>
      <c r="AM31" s="304">
        <f t="shared" si="3"/>
        <v>2061</v>
      </c>
      <c r="AN31" s="304">
        <f t="shared" si="3"/>
        <v>2062</v>
      </c>
      <c r="AO31" s="304">
        <f t="shared" si="3"/>
        <v>2063</v>
      </c>
      <c r="AP31" s="304">
        <f t="shared" si="3"/>
        <v>2064</v>
      </c>
      <c r="AQ31" s="304">
        <f t="shared" si="3"/>
        <v>2065</v>
      </c>
    </row>
    <row r="32" spans="2:43" x14ac:dyDescent="0.2">
      <c r="B32" s="526" t="s">
        <v>685</v>
      </c>
      <c r="C32" s="257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</row>
    <row r="33" spans="2:43" x14ac:dyDescent="0.2">
      <c r="B33" s="377" t="s">
        <v>585</v>
      </c>
      <c r="C33" s="377">
        <f>SUM(D33:AQ33)</f>
        <v>294433024.94972032</v>
      </c>
      <c r="D33" s="376">
        <f>F17*1.017</f>
        <v>5199680.9282992007</v>
      </c>
      <c r="E33" s="376">
        <f>D33*1.017</f>
        <v>5288075.5040802862</v>
      </c>
      <c r="F33" s="376">
        <f>E33*1.017</f>
        <v>5377972.7876496511</v>
      </c>
      <c r="G33" s="376">
        <f t="shared" ref="G33:AO33" si="4">F33*1.017</f>
        <v>5469398.325039695</v>
      </c>
      <c r="H33" s="376">
        <f t="shared" si="4"/>
        <v>5562378.0965653695</v>
      </c>
      <c r="I33" s="376">
        <f t="shared" si="4"/>
        <v>5656938.5242069801</v>
      </c>
      <c r="J33" s="376">
        <f t="shared" si="4"/>
        <v>5753106.479118498</v>
      </c>
      <c r="K33" s="376">
        <f t="shared" si="4"/>
        <v>5850909.289263512</v>
      </c>
      <c r="L33" s="376">
        <f t="shared" si="4"/>
        <v>5950374.7471809909</v>
      </c>
      <c r="M33" s="376">
        <f t="shared" si="4"/>
        <v>6051531.1178830676</v>
      </c>
      <c r="N33" s="376">
        <f t="shared" si="4"/>
        <v>6154407.1468870789</v>
      </c>
      <c r="O33" s="376">
        <f t="shared" si="4"/>
        <v>6259032.0683841584</v>
      </c>
      <c r="P33" s="376">
        <f t="shared" si="4"/>
        <v>6365435.6135466881</v>
      </c>
      <c r="Q33" s="376">
        <f t="shared" si="4"/>
        <v>6473648.0189769808</v>
      </c>
      <c r="R33" s="376">
        <f t="shared" si="4"/>
        <v>6583700.0352995889</v>
      </c>
      <c r="S33" s="376">
        <f t="shared" si="4"/>
        <v>6695622.9358996814</v>
      </c>
      <c r="T33" s="376">
        <f t="shared" si="4"/>
        <v>6809448.5258099753</v>
      </c>
      <c r="U33" s="376">
        <f t="shared" si="4"/>
        <v>6925209.1507487446</v>
      </c>
      <c r="V33" s="376">
        <f t="shared" si="4"/>
        <v>7042937.7063114727</v>
      </c>
      <c r="W33" s="376">
        <f t="shared" si="4"/>
        <v>7162667.6473187674</v>
      </c>
      <c r="X33" s="376">
        <f t="shared" si="4"/>
        <v>7284432.9973231861</v>
      </c>
      <c r="Y33" s="376">
        <f t="shared" si="4"/>
        <v>7408268.3582776794</v>
      </c>
      <c r="Z33" s="376">
        <f t="shared" si="4"/>
        <v>7534208.9203683995</v>
      </c>
      <c r="AA33" s="376">
        <f t="shared" si="4"/>
        <v>7662290.4720146619</v>
      </c>
      <c r="AB33" s="376">
        <f t="shared" si="4"/>
        <v>7792549.4100389108</v>
      </c>
      <c r="AC33" s="376">
        <f t="shared" si="4"/>
        <v>7925022.7500095712</v>
      </c>
      <c r="AD33" s="376">
        <f t="shared" si="4"/>
        <v>8059748.1367597328</v>
      </c>
      <c r="AE33" s="376">
        <f t="shared" si="4"/>
        <v>8196763.8550846474</v>
      </c>
      <c r="AF33" s="376">
        <f t="shared" si="4"/>
        <v>8336108.8406210858</v>
      </c>
      <c r="AG33" s="376">
        <f t="shared" si="4"/>
        <v>8477822.6909116432</v>
      </c>
      <c r="AH33" s="376">
        <f t="shared" si="4"/>
        <v>8621945.6766571403</v>
      </c>
      <c r="AI33" s="376">
        <f t="shared" si="4"/>
        <v>8768518.7531603109</v>
      </c>
      <c r="AJ33" s="376">
        <f t="shared" si="4"/>
        <v>8917583.5719640348</v>
      </c>
      <c r="AK33" s="376">
        <f t="shared" si="4"/>
        <v>9069182.4926874228</v>
      </c>
      <c r="AL33" s="376">
        <f t="shared" si="4"/>
        <v>9223358.595063109</v>
      </c>
      <c r="AM33" s="376">
        <f t="shared" si="4"/>
        <v>9380155.6911791805</v>
      </c>
      <c r="AN33" s="376">
        <f t="shared" si="4"/>
        <v>9539618.3379292265</v>
      </c>
      <c r="AO33" s="376">
        <f t="shared" si="4"/>
        <v>9701791.8496740218</v>
      </c>
      <c r="AP33" s="376">
        <f t="shared" ref="AP33" si="5">AO33*1.017</f>
        <v>9866722.3111184798</v>
      </c>
      <c r="AQ33" s="376">
        <f t="shared" ref="AQ33" si="6">AP33*1.017</f>
        <v>10034456.590407493</v>
      </c>
    </row>
    <row r="34" spans="2:43" x14ac:dyDescent="0.2">
      <c r="B34" s="256" t="s">
        <v>586</v>
      </c>
      <c r="C34" s="377">
        <f t="shared" ref="C34:C38" si="7">SUM(D34:AQ34)</f>
        <v>20473819615.709034</v>
      </c>
      <c r="D34" s="378">
        <f>D33/$C$22*$D$22</f>
        <v>361567216.86848748</v>
      </c>
      <c r="E34" s="378">
        <f t="shared" ref="E34:AN34" si="8">E33/$C$22*$D$22</f>
        <v>367713859.55525172</v>
      </c>
      <c r="F34" s="378">
        <f t="shared" si="8"/>
        <v>373964995.16769093</v>
      </c>
      <c r="G34" s="378">
        <f t="shared" si="8"/>
        <v>380322400.08554167</v>
      </c>
      <c r="H34" s="378">
        <f t="shared" si="8"/>
        <v>386787880.88699591</v>
      </c>
      <c r="I34" s="378">
        <f t="shared" si="8"/>
        <v>393363274.86207479</v>
      </c>
      <c r="J34" s="378">
        <f t="shared" si="8"/>
        <v>400050450.53473002</v>
      </c>
      <c r="K34" s="378">
        <f t="shared" si="8"/>
        <v>406851308.19382036</v>
      </c>
      <c r="L34" s="378">
        <f t="shared" si="8"/>
        <v>413767780.43311524</v>
      </c>
      <c r="M34" s="378">
        <f t="shared" si="8"/>
        <v>420801832.7004782</v>
      </c>
      <c r="N34" s="378">
        <f t="shared" si="8"/>
        <v>427955463.85638624</v>
      </c>
      <c r="O34" s="378">
        <f t="shared" si="8"/>
        <v>435230706.74194479</v>
      </c>
      <c r="P34" s="378">
        <f t="shared" si="8"/>
        <v>442629628.75655776</v>
      </c>
      <c r="Q34" s="378">
        <f t="shared" si="8"/>
        <v>450154332.44541919</v>
      </c>
      <c r="R34" s="378">
        <f t="shared" si="8"/>
        <v>457806956.0969913</v>
      </c>
      <c r="S34" s="378">
        <f t="shared" si="8"/>
        <v>465589674.35064012</v>
      </c>
      <c r="T34" s="378">
        <f t="shared" si="8"/>
        <v>473504698.81460088</v>
      </c>
      <c r="U34" s="378">
        <f t="shared" si="8"/>
        <v>481554278.69444913</v>
      </c>
      <c r="V34" s="378">
        <f t="shared" si="8"/>
        <v>489740701.43225467</v>
      </c>
      <c r="W34" s="378">
        <f t="shared" si="8"/>
        <v>498066293.35660303</v>
      </c>
      <c r="X34" s="378">
        <f t="shared" si="8"/>
        <v>506533420.34366524</v>
      </c>
      <c r="Y34" s="378">
        <f t="shared" si="8"/>
        <v>515144488.48950756</v>
      </c>
      <c r="Z34" s="378">
        <f t="shared" si="8"/>
        <v>523901944.79382902</v>
      </c>
      <c r="AA34" s="378">
        <f t="shared" si="8"/>
        <v>532808277.85532415</v>
      </c>
      <c r="AB34" s="378">
        <f t="shared" si="8"/>
        <v>541866018.57886469</v>
      </c>
      <c r="AC34" s="378">
        <f t="shared" si="8"/>
        <v>551077740.8947053</v>
      </c>
      <c r="AD34" s="378">
        <f t="shared" si="8"/>
        <v>560446062.48991525</v>
      </c>
      <c r="AE34" s="378">
        <f t="shared" si="8"/>
        <v>569973645.55224371</v>
      </c>
      <c r="AF34" s="378">
        <f t="shared" si="8"/>
        <v>579663197.52663183</v>
      </c>
      <c r="AG34" s="378">
        <f t="shared" si="8"/>
        <v>589517471.88458443</v>
      </c>
      <c r="AH34" s="378">
        <f t="shared" si="8"/>
        <v>599539268.90662241</v>
      </c>
      <c r="AI34" s="378">
        <f t="shared" si="8"/>
        <v>609731436.47803485</v>
      </c>
      <c r="AJ34" s="378">
        <f t="shared" si="8"/>
        <v>620096870.89816141</v>
      </c>
      <c r="AK34" s="378">
        <f t="shared" si="8"/>
        <v>630638517.70343006</v>
      </c>
      <c r="AL34" s="378">
        <f t="shared" si="8"/>
        <v>641359372.50438833</v>
      </c>
      <c r="AM34" s="378">
        <f t="shared" si="8"/>
        <v>652262481.83696294</v>
      </c>
      <c r="AN34" s="378">
        <f t="shared" si="8"/>
        <v>663350944.02819121</v>
      </c>
      <c r="AO34" s="378">
        <f>AO33/$C$22*$D$22</f>
        <v>674627910.07667041</v>
      </c>
      <c r="AP34" s="378">
        <f t="shared" ref="AP34:AQ34" si="9">AP33/$C$22*$D$22</f>
        <v>686096584.54797375</v>
      </c>
      <c r="AQ34" s="378">
        <f t="shared" si="9"/>
        <v>697760226.48528922</v>
      </c>
    </row>
    <row r="35" spans="2:43" x14ac:dyDescent="0.2">
      <c r="B35" s="379" t="s">
        <v>587</v>
      </c>
      <c r="C35" s="377">
        <f t="shared" si="7"/>
        <v>1655607404.1982005</v>
      </c>
      <c r="D35" s="380">
        <f>D34/$C$26/2*Parametre!E215</f>
        <v>22550968.028802261</v>
      </c>
      <c r="E35" s="380">
        <f>E34/$C$26/2*Parametre!F215</f>
        <v>23319631.322431955</v>
      </c>
      <c r="F35" s="380">
        <f>F34/$C$26/2*Parametre!G215</f>
        <v>24038603.559213076</v>
      </c>
      <c r="G35" s="380">
        <f>G34/$C$26/2*Parametre!H215</f>
        <v>24799300.336153273</v>
      </c>
      <c r="H35" s="380">
        <f>H34/$C$26/2*Parametre!I215</f>
        <v>25543715.821239535</v>
      </c>
      <c r="I35" s="380">
        <f>I34/$C$26/2*Parametre!J215</f>
        <v>26310476.869380057</v>
      </c>
      <c r="J35" s="380">
        <f>J34/$C$26/2*Parametre!K215</f>
        <v>27078848.040004615</v>
      </c>
      <c r="K35" s="380">
        <f>K34/$C$26/2*Parametre!L215</f>
        <v>27869658.6978212</v>
      </c>
      <c r="L35" s="380">
        <f>L34/$C$26/2*Parametre!M215</f>
        <v>28683564.186819304</v>
      </c>
      <c r="M35" s="380">
        <f>M34/$C$26/2*Parametre!N215</f>
        <v>29521238.978635382</v>
      </c>
      <c r="N35" s="380">
        <f>N34/$C$26/2*Parametre!O215</f>
        <v>30383377.223392244</v>
      </c>
      <c r="O35" s="380">
        <f>O34/$C$26/2*Parametre!P215</f>
        <v>31270693.37513591</v>
      </c>
      <c r="P35" s="380">
        <f>P34/$C$26/2*Parametre!Q215</f>
        <v>32183922.718897756</v>
      </c>
      <c r="Q35" s="380">
        <f>Q34/$C$26/2*Parametre!R215</f>
        <v>33123821.969354898</v>
      </c>
      <c r="R35" s="380">
        <f>R34/$C$26/2*Parametre!S215</f>
        <v>34091170.072866134</v>
      </c>
      <c r="S35" s="380">
        <f>S34/$C$26/2*Parametre!T215</f>
        <v>35086768.602914952</v>
      </c>
      <c r="T35" s="380">
        <f>T34/$C$26/2*Parametre!U215</f>
        <v>36054349.408007659</v>
      </c>
      <c r="U35" s="380">
        <f>U34/$C$26/2*Parametre!V215</f>
        <v>37048612.96746853</v>
      </c>
      <c r="V35" s="380">
        <f>V34/$C$26/2*Parametre!W215</f>
        <v>38070295.180867031</v>
      </c>
      <c r="W35" s="380">
        <f>W34/$C$26/2*Parametre!X215</f>
        <v>39120152.076166607</v>
      </c>
      <c r="X35" s="380">
        <f>X34/$C$26/2*Parametre!Y215</f>
        <v>40198960.694695346</v>
      </c>
      <c r="Y35" s="380">
        <f>Y34/$C$26/2*Parametre!Z215</f>
        <v>41307519.395436749</v>
      </c>
      <c r="Z35" s="380">
        <f>Z34/$C$26/2*Parametre!AA215</f>
        <v>42446648.573919833</v>
      </c>
      <c r="AA35" s="380">
        <f>AA34/$C$26/2*Parametre!AB215</f>
        <v>43617191.338491678</v>
      </c>
      <c r="AB35" s="380">
        <f>AB34/$C$26/2*Parametre!AC215</f>
        <v>44820013.915732756</v>
      </c>
      <c r="AC35" s="380">
        <f>AC34/$C$26/2*Parametre!AD215</f>
        <v>46056006.499625072</v>
      </c>
      <c r="AD35" s="380">
        <f>AD34/$C$26/2*Parametre!AE215</f>
        <v>47288612.646770008</v>
      </c>
      <c r="AE35" s="380">
        <f>AE34/$C$26/2*Parametre!AF215</f>
        <v>48554207.266319111</v>
      </c>
      <c r="AF35" s="380">
        <f>AF34/$C$26/2*Parametre!AG215</f>
        <v>49853673.221062213</v>
      </c>
      <c r="AG35" s="380">
        <f>AG34/$C$26/2*Parametre!AH215</f>
        <v>51187917.063591711</v>
      </c>
      <c r="AH35" s="380">
        <f>AH34/$C$26/2*Parametre!AI215</f>
        <v>52557869.506909132</v>
      </c>
      <c r="AI35" s="380">
        <f>AI34/$C$26/2*Parametre!AJ215</f>
        <v>53964486.309391685</v>
      </c>
      <c r="AJ35" s="380">
        <f>AJ34/$C$26/2*Parametre!AK215</f>
        <v>55408748.611774877</v>
      </c>
      <c r="AK35" s="380">
        <f>AK34/$C$26/2*Parametre!AL215</f>
        <v>56891664.028919734</v>
      </c>
      <c r="AL35" s="380">
        <f>AL34/$C$26/2*Parametre!AM215</f>
        <v>58414267.017933041</v>
      </c>
      <c r="AM35" s="380">
        <f>AM34/$C$26/2*Parametre!AN215</f>
        <v>59977619.761744127</v>
      </c>
      <c r="AN35" s="380">
        <f>AN34/$C$26/2*Parametre!AO215</f>
        <v>61631610.596989579</v>
      </c>
      <c r="AO35" s="380">
        <f>AO34/$C$26/2*Parametre!AP215</f>
        <v>63331213.211573943</v>
      </c>
      <c r="AP35" s="380">
        <f>AP34/$C$26/2*Parametre!AQ215</f>
        <v>65077685.410351537</v>
      </c>
      <c r="AQ35" s="380">
        <f>AQ34/$C$26/2*Parametre!AR215</f>
        <v>66872319.691395909</v>
      </c>
    </row>
    <row r="36" spans="2:43" x14ac:dyDescent="0.2">
      <c r="B36" s="379" t="s">
        <v>576</v>
      </c>
      <c r="C36" s="377">
        <f t="shared" si="7"/>
        <v>54429177.067076318</v>
      </c>
      <c r="D36" s="380">
        <f>D35/$D$26/2*Parametre!E216</f>
        <v>563855.9164172567</v>
      </c>
      <c r="E36" s="380">
        <f>E35/$D$26/2*Parametre!F216</f>
        <v>592870.95116907393</v>
      </c>
      <c r="F36" s="380">
        <f>F35/$D$26/2*Parametre!G216</f>
        <v>619461.50890790671</v>
      </c>
      <c r="G36" s="380">
        <f>G35/$D$26/2*Parametre!H216</f>
        <v>648266.76844584604</v>
      </c>
      <c r="H36" s="380">
        <f>H35/$D$26/2*Parametre!I216</f>
        <v>676273.07317153318</v>
      </c>
      <c r="I36" s="380">
        <f>I35/$D$26/2*Parametre!J216</f>
        <v>705489.29947645532</v>
      </c>
      <c r="J36" s="380">
        <f>J35/$D$26/2*Parametre!K216</f>
        <v>734805.52244075155</v>
      </c>
      <c r="K36" s="380">
        <f>K35/$D$26/2*Parametre!L216</f>
        <v>765339.96236109023</v>
      </c>
      <c r="L36" s="380">
        <f>L35/$D$26/2*Parametre!M216</f>
        <v>797143.24339617603</v>
      </c>
      <c r="M36" s="380">
        <f>M35/$D$26/2*Parametre!N216</f>
        <v>830268.08807441383</v>
      </c>
      <c r="N36" s="380">
        <f>N35/$D$26/2*Parametre!O216</f>
        <v>864769.41517112951</v>
      </c>
      <c r="O36" s="380">
        <f>O35/$D$26/2*Parametre!P216</f>
        <v>900704.43283114349</v>
      </c>
      <c r="P36" s="380">
        <f>P35/$D$26/2*Parametre!Q216</f>
        <v>938132.70758502721</v>
      </c>
      <c r="Q36" s="380">
        <f>Q35/$D$26/2*Parametre!R216</f>
        <v>977116.29797357169</v>
      </c>
      <c r="R36" s="380">
        <f>R35/$D$26/2*Parametre!S216</f>
        <v>1017719.8257841618</v>
      </c>
      <c r="S36" s="380">
        <f>S35/$D$26/2*Parametre!T216</f>
        <v>1060010.6131156567</v>
      </c>
      <c r="T36" s="380">
        <f>T35/$D$26/2*Parametre!U216</f>
        <v>1100570.4399128901</v>
      </c>
      <c r="U36" s="380">
        <f>U35/$D$26/2*Parametre!V216</f>
        <v>1142682.2218483158</v>
      </c>
      <c r="V36" s="380">
        <f>V35/$D$26/2*Parametre!W216</f>
        <v>1186405.363826036</v>
      </c>
      <c r="W36" s="380">
        <f>W35/$D$26/2*Parametre!X216</f>
        <v>1231801.4962441402</v>
      </c>
      <c r="X36" s="380">
        <f>X35/$D$26/2*Parametre!Y216</f>
        <v>1278934.6584374325</v>
      </c>
      <c r="Y36" s="380">
        <f>Y35/$D$26/2*Parametre!Z216</f>
        <v>1327871.3075293335</v>
      </c>
      <c r="Z36" s="380">
        <f>Z35/$D$26/2*Parametre!AA216</f>
        <v>1378680.4444510064</v>
      </c>
      <c r="AA36" s="380">
        <f>AA35/$D$26/2*Parametre!AB216</f>
        <v>1431433.713443907</v>
      </c>
      <c r="AB36" s="380">
        <f>AB35/$D$26/2*Parametre!AC216</f>
        <v>1486205.5130489364</v>
      </c>
      <c r="AC36" s="380">
        <f>AC35/$D$26/2*Parametre!AD216</f>
        <v>1543073.092314377</v>
      </c>
      <c r="AD36" s="380">
        <f>AD35/$D$26/2*Parametre!AE216</f>
        <v>1599580.6230328178</v>
      </c>
      <c r="AE36" s="380">
        <f>AE35/$D$26/2*Parametre!AF216</f>
        <v>1658157.4781148315</v>
      </c>
      <c r="AF36" s="380">
        <f>AF35/$D$26/2*Parametre!AG216</f>
        <v>1718879.4110544431</v>
      </c>
      <c r="AG36" s="380">
        <f>AG35/$D$26/2*Parametre!AH216</f>
        <v>1781824.9940982822</v>
      </c>
      <c r="AH36" s="380">
        <f>AH35/$D$26/2*Parametre!AI216</f>
        <v>1847075.6594488281</v>
      </c>
      <c r="AI36" s="380">
        <f>AI35/$D$26/2*Parametre!AJ216</f>
        <v>1914715.8107589558</v>
      </c>
      <c r="AJ36" s="380">
        <f>AJ35/$D$26/2*Parametre!AK216</f>
        <v>1984832.9397671053</v>
      </c>
      <c r="AK36" s="380">
        <f>AK35/$D$26/2*Parametre!AL216</f>
        <v>2057517.7761271077</v>
      </c>
      <c r="AL36" s="380">
        <f>AL35/$D$26/2*Parametre!AM216</f>
        <v>2132864.329090171</v>
      </c>
      <c r="AM36" s="380">
        <f>AM35/$D$26/2*Parametre!AN216</f>
        <v>2210970.1015017084</v>
      </c>
      <c r="AN36" s="380">
        <f>AN35/$D$26/2*Parametre!AO216</f>
        <v>2295569.7831848846</v>
      </c>
      <c r="AO36" s="380">
        <f>AO35/$D$26/2*Parametre!AP216</f>
        <v>2383406.5374437165</v>
      </c>
      <c r="AP36" s="380">
        <f>AP35/$D$26/2*Parametre!AQ216</f>
        <v>2474604.2453013361</v>
      </c>
      <c r="AQ36" s="380">
        <f>AQ35/$D$26/2*Parametre!AR216</f>
        <v>2569291.5007745447</v>
      </c>
    </row>
    <row r="37" spans="2:43" x14ac:dyDescent="0.2">
      <c r="B37" s="379" t="s">
        <v>577</v>
      </c>
      <c r="C37" s="377">
        <f t="shared" si="7"/>
        <v>515898.25655275327</v>
      </c>
      <c r="D37" s="380">
        <f>D36/$E$26/2*Parametre!E217</f>
        <v>4011.8235044316216</v>
      </c>
      <c r="E37" s="380">
        <f>E36/$E$26/2*Parametre!F217</f>
        <v>4289.1318203909568</v>
      </c>
      <c r="F37" s="380">
        <f>F36/$E$26/2*Parametre!G217</f>
        <v>4542.4495046016</v>
      </c>
      <c r="G37" s="380">
        <f>G36/$E$26/2*Parametre!H217</f>
        <v>4822.1287899437348</v>
      </c>
      <c r="H37" s="380">
        <f>H36/$E$26/2*Parametre!I217</f>
        <v>5094.843769960381</v>
      </c>
      <c r="I37" s="380">
        <f>I36/$E$26/2*Parametre!J217</f>
        <v>5382.9816602414221</v>
      </c>
      <c r="J37" s="380">
        <f>J36/$E$26/2*Parametre!K217</f>
        <v>5673.9486858620776</v>
      </c>
      <c r="K37" s="380">
        <f>K36/$E$26/2*Parametre!L217</f>
        <v>5980.6427971031471</v>
      </c>
      <c r="L37" s="380">
        <f>L36/$E$26/2*Parametre!M217</f>
        <v>6303.914819955342</v>
      </c>
      <c r="M37" s="380">
        <f>M36/$E$26/2*Parametre!N217</f>
        <v>6644.6614795628293</v>
      </c>
      <c r="N37" s="380">
        <f>N36/$E$26/2*Parametre!O217</f>
        <v>7003.825505971975</v>
      </c>
      <c r="O37" s="380">
        <f>O36/$E$26/2*Parametre!P217</f>
        <v>7382.4041089073853</v>
      </c>
      <c r="P37" s="380">
        <f>P36/$E$26/2*Parametre!Q217</f>
        <v>7781.4456274069025</v>
      </c>
      <c r="Q37" s="380">
        <f>Q36/$E$26/2*Parametre!R217</f>
        <v>8202.056308166817</v>
      </c>
      <c r="R37" s="380">
        <f>R36/$E$26/2*Parametre!S217</f>
        <v>8645.4033445391033</v>
      </c>
      <c r="S37" s="380">
        <f>S36/$E$26/2*Parametre!T217</f>
        <v>9112.7141271555611</v>
      </c>
      <c r="T37" s="380">
        <f>T36/$E$26/2*Parametre!U217</f>
        <v>9559.7979486204476</v>
      </c>
      <c r="U37" s="380">
        <f>U36/$E$26/2*Parametre!V217</f>
        <v>10028.816308557047</v>
      </c>
      <c r="V37" s="380">
        <f>V36/$E$26/2*Parametre!W217</f>
        <v>10520.845801364148</v>
      </c>
      <c r="W37" s="380">
        <f>W36/$E$26/2*Parametre!X217</f>
        <v>11037.015324151418</v>
      </c>
      <c r="X37" s="380">
        <f>X36/$E$26/2*Parametre!Y217</f>
        <v>11578.507690632652</v>
      </c>
      <c r="Y37" s="380">
        <f>Y36/$E$26/2*Parametre!Z217</f>
        <v>12146.566886570919</v>
      </c>
      <c r="Z37" s="380">
        <f>Z36/$E$26/2*Parametre!AA217</f>
        <v>12742.496024011898</v>
      </c>
      <c r="AA37" s="380">
        <f>AA36/$E$26/2*Parametre!AB217</f>
        <v>13367.661998828135</v>
      </c>
      <c r="AB37" s="380">
        <f>AB36/$E$26/2*Parametre!AC217</f>
        <v>14023.500789554957</v>
      </c>
      <c r="AC37" s="380">
        <f>AC36/$E$26/2*Parametre!AD217</f>
        <v>14711.514494268156</v>
      </c>
      <c r="AD37" s="380">
        <f>AD36/$E$26/2*Parametre!AE217</f>
        <v>15396.653809790516</v>
      </c>
      <c r="AE37" s="380">
        <f>AE36/$E$26/2*Parametre!AF217</f>
        <v>16113.701835003334</v>
      </c>
      <c r="AF37" s="380">
        <f>AF36/$E$26/2*Parametre!AG217</f>
        <v>16864.144472912176</v>
      </c>
      <c r="AG37" s="380">
        <f>AG36/$E$26/2*Parametre!AH217</f>
        <v>17649.537127404459</v>
      </c>
      <c r="AH37" s="380">
        <f>AH36/$E$26/2*Parametre!AI217</f>
        <v>18471.504705922256</v>
      </c>
      <c r="AI37" s="380">
        <f>AI36/$E$26/2*Parametre!AJ217</f>
        <v>19331.752656411674</v>
      </c>
      <c r="AJ37" s="380">
        <f>AJ36/$E$26/2*Parametre!AK217</f>
        <v>20232.065881311384</v>
      </c>
      <c r="AK37" s="380">
        <f>AK36/$E$26/2*Parametre!AL217</f>
        <v>21174.306990626952</v>
      </c>
      <c r="AL37" s="380">
        <f>AL36/$E$26/2*Parametre!AM217</f>
        <v>22160.430386832886</v>
      </c>
      <c r="AM37" s="380">
        <f>AM36/$E$26/2*Parametre!AN217</f>
        <v>23192.478907207758</v>
      </c>
      <c r="AN37" s="380">
        <f>AN36/$E$26/2*Parametre!AO217</f>
        <v>24330.337430714666</v>
      </c>
      <c r="AO37" s="380">
        <f>AO36/$E$26/2*Parametre!AP217</f>
        <v>25524.021271196714</v>
      </c>
      <c r="AP37" s="380">
        <f>AP36/$E$26/2*Parametre!AQ217</f>
        <v>26776.26830890117</v>
      </c>
      <c r="AQ37" s="380">
        <f>AQ36/$E$26/2*Parametre!AR217</f>
        <v>28089.953647756571</v>
      </c>
    </row>
    <row r="38" spans="2:43" x14ac:dyDescent="0.2">
      <c r="B38" s="381" t="s">
        <v>9</v>
      </c>
      <c r="C38" s="382">
        <f t="shared" si="7"/>
        <v>1710552479.5218296</v>
      </c>
      <c r="D38" s="382">
        <f t="shared" ref="D38:AN38" si="10">SUM(D35:D37)</f>
        <v>23118835.76872395</v>
      </c>
      <c r="E38" s="382">
        <f t="shared" si="10"/>
        <v>23916791.405421421</v>
      </c>
      <c r="F38" s="382">
        <f t="shared" si="10"/>
        <v>24662607.517625585</v>
      </c>
      <c r="G38" s="382">
        <f t="shared" si="10"/>
        <v>25452389.233389061</v>
      </c>
      <c r="H38" s="382">
        <f t="shared" si="10"/>
        <v>26225083.738181029</v>
      </c>
      <c r="I38" s="382">
        <f t="shared" si="10"/>
        <v>27021349.150516756</v>
      </c>
      <c r="J38" s="382">
        <f t="shared" si="10"/>
        <v>27819327.511131227</v>
      </c>
      <c r="K38" s="382">
        <f t="shared" si="10"/>
        <v>28640979.302979391</v>
      </c>
      <c r="L38" s="382">
        <f t="shared" si="10"/>
        <v>29487011.345035434</v>
      </c>
      <c r="M38" s="382">
        <f t="shared" si="10"/>
        <v>30358151.728189357</v>
      </c>
      <c r="N38" s="382">
        <f t="shared" si="10"/>
        <v>31255150.464069344</v>
      </c>
      <c r="O38" s="382">
        <f t="shared" si="10"/>
        <v>32178780.21207596</v>
      </c>
      <c r="P38" s="382">
        <f t="shared" si="10"/>
        <v>33129836.872110188</v>
      </c>
      <c r="Q38" s="382">
        <f t="shared" si="10"/>
        <v>34109140.323636636</v>
      </c>
      <c r="R38" s="382">
        <f t="shared" si="10"/>
        <v>35117535.301994838</v>
      </c>
      <c r="S38" s="382">
        <f t="shared" si="10"/>
        <v>36155891.930157758</v>
      </c>
      <c r="T38" s="382">
        <f t="shared" si="10"/>
        <v>37164479.645869173</v>
      </c>
      <c r="U38" s="382">
        <f t="shared" si="10"/>
        <v>38201324.005625404</v>
      </c>
      <c r="V38" s="382">
        <f t="shared" si="10"/>
        <v>39267221.390494429</v>
      </c>
      <c r="W38" s="382">
        <f t="shared" si="10"/>
        <v>40362990.5877349</v>
      </c>
      <c r="X38" s="382">
        <f t="shared" si="10"/>
        <v>41489473.860823408</v>
      </c>
      <c r="Y38" s="382">
        <f t="shared" si="10"/>
        <v>42647537.269852653</v>
      </c>
      <c r="Z38" s="382">
        <f t="shared" si="10"/>
        <v>43838071.51439485</v>
      </c>
      <c r="AA38" s="382">
        <f t="shared" si="10"/>
        <v>45061992.713934414</v>
      </c>
      <c r="AB38" s="382">
        <f t="shared" si="10"/>
        <v>46320242.929571249</v>
      </c>
      <c r="AC38" s="382">
        <f t="shared" si="10"/>
        <v>47613791.106433719</v>
      </c>
      <c r="AD38" s="382">
        <f t="shared" si="10"/>
        <v>48903589.923612617</v>
      </c>
      <c r="AE38" s="382">
        <f t="shared" si="10"/>
        <v>50228478.446268946</v>
      </c>
      <c r="AF38" s="382">
        <f t="shared" si="10"/>
        <v>51589416.776589565</v>
      </c>
      <c r="AG38" s="382">
        <f t="shared" si="10"/>
        <v>52987391.5948174</v>
      </c>
      <c r="AH38" s="382">
        <f t="shared" si="10"/>
        <v>54423416.671063878</v>
      </c>
      <c r="AI38" s="382">
        <f t="shared" si="10"/>
        <v>55898533.872807056</v>
      </c>
      <c r="AJ38" s="382">
        <f t="shared" si="10"/>
        <v>57413813.617423296</v>
      </c>
      <c r="AK38" s="382">
        <f t="shared" si="10"/>
        <v>58970356.112037465</v>
      </c>
      <c r="AL38" s="382">
        <f t="shared" si="10"/>
        <v>60569291.777410045</v>
      </c>
      <c r="AM38" s="382">
        <f t="shared" si="10"/>
        <v>62211782.342153043</v>
      </c>
      <c r="AN38" s="382">
        <f t="shared" si="10"/>
        <v>63951510.717605181</v>
      </c>
      <c r="AO38" s="382">
        <f t="shared" ref="AO38" si="11">SUM(AO35:AO37)</f>
        <v>65740143.770288862</v>
      </c>
      <c r="AP38" s="382">
        <f t="shared" ref="AP38:AQ38" si="12">SUM(AP35:AP37)</f>
        <v>67579065.923961788</v>
      </c>
      <c r="AQ38" s="382">
        <f t="shared" si="12"/>
        <v>69469701.145818219</v>
      </c>
    </row>
    <row r="39" spans="2:43" x14ac:dyDescent="0.2">
      <c r="B39" s="383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</row>
    <row r="40" spans="2:43" x14ac:dyDescent="0.2">
      <c r="B40" s="383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</row>
    <row r="41" spans="2:43" x14ac:dyDescent="0.2">
      <c r="B41" s="358" t="s">
        <v>596</v>
      </c>
      <c r="C41" s="359"/>
      <c r="D41" s="256" t="s">
        <v>10</v>
      </c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</row>
    <row r="42" spans="2:43" x14ac:dyDescent="0.2">
      <c r="B42" s="360"/>
      <c r="C42" s="361"/>
      <c r="D42" s="256">
        <v>1</v>
      </c>
      <c r="E42" s="256">
        <v>2</v>
      </c>
      <c r="F42" s="256">
        <v>3</v>
      </c>
      <c r="G42" s="256">
        <v>4</v>
      </c>
      <c r="H42" s="256">
        <v>5</v>
      </c>
      <c r="I42" s="256">
        <v>6</v>
      </c>
      <c r="J42" s="256">
        <v>7</v>
      </c>
      <c r="K42" s="256">
        <v>8</v>
      </c>
      <c r="L42" s="256">
        <v>9</v>
      </c>
      <c r="M42" s="256">
        <v>10</v>
      </c>
      <c r="N42" s="256">
        <v>11</v>
      </c>
      <c r="O42" s="256">
        <v>12</v>
      </c>
      <c r="P42" s="256">
        <v>13</v>
      </c>
      <c r="Q42" s="256">
        <v>14</v>
      </c>
      <c r="R42" s="256">
        <v>15</v>
      </c>
      <c r="S42" s="256">
        <v>16</v>
      </c>
      <c r="T42" s="256">
        <v>17</v>
      </c>
      <c r="U42" s="256">
        <v>18</v>
      </c>
      <c r="V42" s="256">
        <v>19</v>
      </c>
      <c r="W42" s="256">
        <v>20</v>
      </c>
      <c r="X42" s="256">
        <v>21</v>
      </c>
      <c r="Y42" s="256">
        <v>22</v>
      </c>
      <c r="Z42" s="256">
        <v>23</v>
      </c>
      <c r="AA42" s="256">
        <v>24</v>
      </c>
      <c r="AB42" s="256">
        <v>25</v>
      </c>
      <c r="AC42" s="256">
        <v>26</v>
      </c>
      <c r="AD42" s="256">
        <v>27</v>
      </c>
      <c r="AE42" s="256">
        <v>28</v>
      </c>
      <c r="AF42" s="256">
        <v>29</v>
      </c>
      <c r="AG42" s="256">
        <v>30</v>
      </c>
      <c r="AH42" s="256">
        <v>31</v>
      </c>
      <c r="AI42" s="256">
        <v>32</v>
      </c>
      <c r="AJ42" s="256">
        <v>33</v>
      </c>
      <c r="AK42" s="256">
        <v>34</v>
      </c>
      <c r="AL42" s="256">
        <v>35</v>
      </c>
      <c r="AM42" s="256">
        <v>36</v>
      </c>
      <c r="AN42" s="256">
        <v>37</v>
      </c>
      <c r="AO42" s="256">
        <v>38</v>
      </c>
      <c r="AP42" s="256">
        <v>39</v>
      </c>
      <c r="AQ42" s="256">
        <v>40</v>
      </c>
    </row>
    <row r="43" spans="2:43" x14ac:dyDescent="0.2">
      <c r="B43" s="527" t="s">
        <v>34</v>
      </c>
      <c r="C43" s="259" t="s">
        <v>9</v>
      </c>
      <c r="D43" s="304">
        <v>2026</v>
      </c>
      <c r="E43" s="304">
        <f>$D$31+D42</f>
        <v>2027</v>
      </c>
      <c r="F43" s="304">
        <f t="shared" ref="F43:AJ43" si="13">$D$31+E42</f>
        <v>2028</v>
      </c>
      <c r="G43" s="304">
        <f t="shared" si="13"/>
        <v>2029</v>
      </c>
      <c r="H43" s="304">
        <f t="shared" si="13"/>
        <v>2030</v>
      </c>
      <c r="I43" s="304">
        <f t="shared" si="13"/>
        <v>2031</v>
      </c>
      <c r="J43" s="304">
        <f t="shared" si="13"/>
        <v>2032</v>
      </c>
      <c r="K43" s="304">
        <f t="shared" si="13"/>
        <v>2033</v>
      </c>
      <c r="L43" s="304">
        <f t="shared" si="13"/>
        <v>2034</v>
      </c>
      <c r="M43" s="304">
        <f t="shared" si="13"/>
        <v>2035</v>
      </c>
      <c r="N43" s="304">
        <f t="shared" si="13"/>
        <v>2036</v>
      </c>
      <c r="O43" s="304">
        <f t="shared" si="13"/>
        <v>2037</v>
      </c>
      <c r="P43" s="304">
        <f t="shared" si="13"/>
        <v>2038</v>
      </c>
      <c r="Q43" s="304">
        <f t="shared" si="13"/>
        <v>2039</v>
      </c>
      <c r="R43" s="304">
        <f t="shared" si="13"/>
        <v>2040</v>
      </c>
      <c r="S43" s="304">
        <f t="shared" si="13"/>
        <v>2041</v>
      </c>
      <c r="T43" s="304">
        <f t="shared" si="13"/>
        <v>2042</v>
      </c>
      <c r="U43" s="304">
        <f t="shared" si="13"/>
        <v>2043</v>
      </c>
      <c r="V43" s="304">
        <f t="shared" si="13"/>
        <v>2044</v>
      </c>
      <c r="W43" s="304">
        <f t="shared" si="13"/>
        <v>2045</v>
      </c>
      <c r="X43" s="304">
        <f t="shared" si="13"/>
        <v>2046</v>
      </c>
      <c r="Y43" s="304">
        <f t="shared" si="13"/>
        <v>2047</v>
      </c>
      <c r="Z43" s="304">
        <f t="shared" si="13"/>
        <v>2048</v>
      </c>
      <c r="AA43" s="304">
        <f t="shared" si="13"/>
        <v>2049</v>
      </c>
      <c r="AB43" s="304">
        <f t="shared" si="13"/>
        <v>2050</v>
      </c>
      <c r="AC43" s="304">
        <f t="shared" si="13"/>
        <v>2051</v>
      </c>
      <c r="AD43" s="304">
        <f t="shared" si="13"/>
        <v>2052</v>
      </c>
      <c r="AE43" s="304">
        <f t="shared" si="13"/>
        <v>2053</v>
      </c>
      <c r="AF43" s="304">
        <f t="shared" si="13"/>
        <v>2054</v>
      </c>
      <c r="AG43" s="304">
        <f t="shared" si="13"/>
        <v>2055</v>
      </c>
      <c r="AH43" s="304">
        <f t="shared" si="13"/>
        <v>2056</v>
      </c>
      <c r="AI43" s="304">
        <f t="shared" si="13"/>
        <v>2057</v>
      </c>
      <c r="AJ43" s="304">
        <f t="shared" si="13"/>
        <v>2058</v>
      </c>
      <c r="AK43" s="304">
        <f t="shared" ref="AK43:AQ43" si="14">$D$31+AJ42</f>
        <v>2059</v>
      </c>
      <c r="AL43" s="304">
        <f t="shared" si="14"/>
        <v>2060</v>
      </c>
      <c r="AM43" s="304">
        <f t="shared" si="14"/>
        <v>2061</v>
      </c>
      <c r="AN43" s="304">
        <f t="shared" si="14"/>
        <v>2062</v>
      </c>
      <c r="AO43" s="304">
        <f t="shared" si="14"/>
        <v>2063</v>
      </c>
      <c r="AP43" s="304">
        <f t="shared" si="14"/>
        <v>2064</v>
      </c>
      <c r="AQ43" s="304">
        <f t="shared" si="14"/>
        <v>2065</v>
      </c>
    </row>
    <row r="44" spans="2:43" x14ac:dyDescent="0.2">
      <c r="B44" s="351" t="s">
        <v>685</v>
      </c>
      <c r="C44" s="257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</row>
    <row r="45" spans="2:43" x14ac:dyDescent="0.2">
      <c r="B45" s="377" t="s">
        <v>585</v>
      </c>
      <c r="C45" s="377">
        <f>SUM(D45:AQ45)</f>
        <v>293606054.97512996</v>
      </c>
      <c r="D45" s="376">
        <f>D33-D46</f>
        <v>5199680.9282992007</v>
      </c>
      <c r="E45" s="376">
        <f t="shared" ref="E45:AO45" si="15">E33-E46</f>
        <v>5288075.5040802862</v>
      </c>
      <c r="F45" s="376">
        <f t="shared" si="15"/>
        <v>5377972.7876496511</v>
      </c>
      <c r="G45" s="376">
        <f t="shared" si="15"/>
        <v>5459895.1071800236</v>
      </c>
      <c r="H45" s="376">
        <f t="shared" si="15"/>
        <v>5544248.0687153079</v>
      </c>
      <c r="I45" s="376">
        <f t="shared" si="15"/>
        <v>5635395.7852322003</v>
      </c>
      <c r="J45" s="376">
        <f t="shared" si="15"/>
        <v>5731348.3127539707</v>
      </c>
      <c r="K45" s="376">
        <f t="shared" si="15"/>
        <v>5828933.5412353389</v>
      </c>
      <c r="L45" s="376">
        <f t="shared" si="15"/>
        <v>5928179.2416725364</v>
      </c>
      <c r="M45" s="376">
        <f t="shared" si="15"/>
        <v>6029113.657319529</v>
      </c>
      <c r="N45" s="376">
        <f t="shared" si="15"/>
        <v>6131765.5117179044</v>
      </c>
      <c r="O45" s="376">
        <f t="shared" si="15"/>
        <v>6236164.0168632921</v>
      </c>
      <c r="P45" s="376">
        <f t="shared" si="15"/>
        <v>6342338.8815106135</v>
      </c>
      <c r="Q45" s="376">
        <f t="shared" si="15"/>
        <v>6450320.319620545</v>
      </c>
      <c r="R45" s="376">
        <f t="shared" si="15"/>
        <v>6560139.0589495888</v>
      </c>
      <c r="S45" s="376">
        <f t="shared" si="15"/>
        <v>6672109.0815023817</v>
      </c>
      <c r="T45" s="376">
        <f t="shared" si="15"/>
        <v>6785981.6991214696</v>
      </c>
      <c r="U45" s="376">
        <f t="shared" si="15"/>
        <v>6901789.2577136168</v>
      </c>
      <c r="V45" s="376">
        <f t="shared" si="15"/>
        <v>7019564.6530624144</v>
      </c>
      <c r="W45" s="376">
        <f t="shared" si="15"/>
        <v>7139341.3401762079</v>
      </c>
      <c r="X45" s="376">
        <f t="shared" si="15"/>
        <v>7261153.342794911</v>
      </c>
      <c r="Y45" s="376">
        <f t="shared" si="15"/>
        <v>7385035.2630584612</v>
      </c>
      <c r="Z45" s="376">
        <f t="shared" si="15"/>
        <v>7511022.29133962</v>
      </c>
      <c r="AA45" s="376">
        <f t="shared" si="15"/>
        <v>7639150.2162439395</v>
      </c>
      <c r="AB45" s="376">
        <f t="shared" si="15"/>
        <v>7769455.4347797297</v>
      </c>
      <c r="AC45" s="376">
        <f t="shared" si="15"/>
        <v>7901974.962700909</v>
      </c>
      <c r="AD45" s="376">
        <f t="shared" si="15"/>
        <v>8036746.445025688</v>
      </c>
      <c r="AE45" s="376">
        <f t="shared" si="15"/>
        <v>8173808.1667340705</v>
      </c>
      <c r="AF45" s="376">
        <f t="shared" si="15"/>
        <v>8313199.0636472097</v>
      </c>
      <c r="AG45" s="376">
        <f t="shared" si="15"/>
        <v>8454958.733491715</v>
      </c>
      <c r="AH45" s="376">
        <f t="shared" si="15"/>
        <v>8599127.4471520521</v>
      </c>
      <c r="AI45" s="376">
        <f t="shared" si="15"/>
        <v>8745746.1601142325</v>
      </c>
      <c r="AJ45" s="376">
        <f t="shared" si="15"/>
        <v>8894856.5241040494</v>
      </c>
      <c r="AK45" s="376">
        <f t="shared" si="15"/>
        <v>9046500.8989231568</v>
      </c>
      <c r="AL45" s="376">
        <f t="shared" si="15"/>
        <v>9200722.3644863721</v>
      </c>
      <c r="AM45" s="376">
        <f t="shared" si="15"/>
        <v>9357564.7330635972</v>
      </c>
      <c r="AN45" s="376">
        <f t="shared" si="15"/>
        <v>9517072.5617298745</v>
      </c>
      <c r="AO45" s="376">
        <f t="shared" si="15"/>
        <v>9679291.1650270671</v>
      </c>
      <c r="AP45" s="376">
        <f t="shared" ref="AP45:AQ45" si="16">AP33-AP46</f>
        <v>9844266.6278408188</v>
      </c>
      <c r="AQ45" s="376">
        <f t="shared" si="16"/>
        <v>10012045.818496387</v>
      </c>
    </row>
    <row r="46" spans="2:43" x14ac:dyDescent="0.2">
      <c r="B46" s="377" t="s">
        <v>588</v>
      </c>
      <c r="C46" s="377">
        <f t="shared" ref="C46:C51" si="17">SUM(D46:AQ46)</f>
        <v>826969.97459038289</v>
      </c>
      <c r="D46" s="376">
        <f>'04A Prevádzkové príjmy NOV200'!E35</f>
        <v>0</v>
      </c>
      <c r="E46" s="376">
        <f>'04A Prevádzkové príjmy NOV200'!F35</f>
        <v>0</v>
      </c>
      <c r="F46" s="376">
        <f>'04A Prevádzkové príjmy NOV200'!G35</f>
        <v>0</v>
      </c>
      <c r="G46" s="376">
        <f>'04A Prevádzkové príjmy NOV200'!H35</f>
        <v>9503.2178596714257</v>
      </c>
      <c r="H46" s="376">
        <f>'04A Prevádzkové príjmy NOV200'!I35</f>
        <v>18130.027850062044</v>
      </c>
      <c r="I46" s="376">
        <f>'04A Prevádzkové príjmy NOV200'!J35</f>
        <v>21542.738974779608</v>
      </c>
      <c r="J46" s="376">
        <f>'04A Prevádzkové príjmy NOV200'!K35</f>
        <v>21758.166364527402</v>
      </c>
      <c r="K46" s="376">
        <f>'04A Prevádzkové príjmy NOV200'!L35</f>
        <v>21975.748028172675</v>
      </c>
      <c r="L46" s="376">
        <f>'04A Prevádzkové príjmy NOV200'!M35</f>
        <v>22195.5055084544</v>
      </c>
      <c r="M46" s="376">
        <f>'04A Prevádzkové príjmy NOV200'!N35</f>
        <v>22417.460563538945</v>
      </c>
      <c r="N46" s="376">
        <f>'04A Prevádzkové príjmy NOV200'!O35</f>
        <v>22641.635169174337</v>
      </c>
      <c r="O46" s="376">
        <f>'04A Prevádzkové príjmy NOV200'!P35</f>
        <v>22868.05152086608</v>
      </c>
      <c r="P46" s="376">
        <f>'04A Prevádzkové príjmy NOV200'!Q35</f>
        <v>23096.732036074744</v>
      </c>
      <c r="Q46" s="376">
        <f>'04A Prevádzkové príjmy NOV200'!R35</f>
        <v>23327.699356435489</v>
      </c>
      <c r="R46" s="376">
        <f>'04A Prevádzkové príjmy NOV200'!S35</f>
        <v>23560.976349999844</v>
      </c>
      <c r="S46" s="376">
        <f>'04A Prevádzkové príjmy NOV200'!T35</f>
        <v>23513.854397299845</v>
      </c>
      <c r="T46" s="376">
        <f>'04A Prevádzkové príjmy NOV200'!U35</f>
        <v>23466.826688505244</v>
      </c>
      <c r="U46" s="376">
        <f>'04A Prevádzkové príjmy NOV200'!V35</f>
        <v>23419.893035128232</v>
      </c>
      <c r="V46" s="376">
        <f>'04A Prevádzkové príjmy NOV200'!W35</f>
        <v>23373.053249057975</v>
      </c>
      <c r="W46" s="376">
        <f>'04A Prevádzkové príjmy NOV200'!X35</f>
        <v>23326.307142559861</v>
      </c>
      <c r="X46" s="376">
        <f>'04A Prevádzkové príjmy NOV200'!Y35</f>
        <v>23279.654528274743</v>
      </c>
      <c r="Y46" s="376">
        <f>'04A Prevádzkové príjmy NOV200'!Z35</f>
        <v>23233.09521921819</v>
      </c>
      <c r="Z46" s="376">
        <f>'04A Prevádzkové príjmy NOV200'!AA35</f>
        <v>23186.629028779753</v>
      </c>
      <c r="AA46" s="376">
        <f>'04A Prevádzkové príjmy NOV200'!AB35</f>
        <v>23140.255770722193</v>
      </c>
      <c r="AB46" s="376">
        <f>'04A Prevádzkové príjmy NOV200'!AC35</f>
        <v>23093.975259180748</v>
      </c>
      <c r="AC46" s="376">
        <f>'04A Prevádzkové príjmy NOV200'!AD35</f>
        <v>23047.787308662384</v>
      </c>
      <c r="AD46" s="376">
        <f>'04A Prevádzkové príjmy NOV200'!AE35</f>
        <v>23001.69173404506</v>
      </c>
      <c r="AE46" s="376">
        <f>'04A Prevádzkové príjmy NOV200'!AF35</f>
        <v>22955.688350576969</v>
      </c>
      <c r="AF46" s="376">
        <f>'04A Prevádzkové príjmy NOV200'!AG35</f>
        <v>22909.776973875814</v>
      </c>
      <c r="AG46" s="376">
        <f>'04A Prevádzkové príjmy NOV200'!AH35</f>
        <v>22863.957419928061</v>
      </c>
      <c r="AH46" s="376">
        <f>'04A Prevádzkové príjmy NOV200'!AI35</f>
        <v>22818.229505088206</v>
      </c>
      <c r="AI46" s="376">
        <f>'04A Prevádzkové príjmy NOV200'!AJ35</f>
        <v>22772.593046078029</v>
      </c>
      <c r="AJ46" s="376">
        <f>'04A Prevádzkové príjmy NOV200'!AK35</f>
        <v>22727.047859985872</v>
      </c>
      <c r="AK46" s="376">
        <f>'04A Prevádzkové príjmy NOV200'!AL35</f>
        <v>22681.593764265905</v>
      </c>
      <c r="AL46" s="376">
        <f>'04A Prevádzkové príjmy NOV200'!AM35</f>
        <v>22636.230576737369</v>
      </c>
      <c r="AM46" s="376">
        <f>'04A Prevádzkové príjmy NOV200'!AN35</f>
        <v>22590.958115583897</v>
      </c>
      <c r="AN46" s="376">
        <f>'04A Prevádzkové príjmy NOV200'!AO35</f>
        <v>22545.776199352731</v>
      </c>
      <c r="AO46" s="376">
        <f>'04A Prevádzkové príjmy NOV200'!AP35</f>
        <v>22500.684646954025</v>
      </c>
      <c r="AP46" s="376">
        <f>'04A Prevádzkové príjmy NOV200'!AQ35</f>
        <v>22455.683277660119</v>
      </c>
      <c r="AQ46" s="376">
        <f>'04A Prevádzkové príjmy NOV200'!AR35</f>
        <v>22410.771911104795</v>
      </c>
    </row>
    <row r="47" spans="2:43" x14ac:dyDescent="0.2">
      <c r="B47" s="256" t="s">
        <v>586</v>
      </c>
      <c r="C47" s="377">
        <f t="shared" si="17"/>
        <v>20416315081.052082</v>
      </c>
      <c r="D47" s="378">
        <f>D45/$C$22*$D$22</f>
        <v>361567216.86848748</v>
      </c>
      <c r="E47" s="378">
        <f t="shared" ref="E47:AN47" si="18">E45/$C$22*$D$22</f>
        <v>367713859.55525172</v>
      </c>
      <c r="F47" s="378">
        <f t="shared" si="18"/>
        <v>373964995.16769093</v>
      </c>
      <c r="G47" s="378">
        <f t="shared" si="18"/>
        <v>379661580.30059767</v>
      </c>
      <c r="H47" s="378">
        <f t="shared" si="18"/>
        <v>385527183.58616376</v>
      </c>
      <c r="I47" s="378">
        <f t="shared" si="18"/>
        <v>391865269.83402717</v>
      </c>
      <c r="J47" s="378">
        <f t="shared" si="18"/>
        <v>398537465.45640194</v>
      </c>
      <c r="K47" s="378">
        <f t="shared" si="18"/>
        <v>405323193.264709</v>
      </c>
      <c r="L47" s="378">
        <f t="shared" si="18"/>
        <v>412224384.35471278</v>
      </c>
      <c r="M47" s="378">
        <f t="shared" si="18"/>
        <v>419243002.66129172</v>
      </c>
      <c r="N47" s="378">
        <f t="shared" si="18"/>
        <v>426381045.51680791</v>
      </c>
      <c r="O47" s="378">
        <f t="shared" si="18"/>
        <v>433640544.21897066</v>
      </c>
      <c r="P47" s="378">
        <f t="shared" si="18"/>
        <v>441023564.60835385</v>
      </c>
      <c r="Q47" s="378">
        <f t="shared" si="18"/>
        <v>448532207.65573329</v>
      </c>
      <c r="R47" s="378">
        <f t="shared" si="18"/>
        <v>456168610.05940849</v>
      </c>
      <c r="S47" s="378">
        <f t="shared" si="18"/>
        <v>463954605.0051325</v>
      </c>
      <c r="T47" s="378">
        <f t="shared" si="18"/>
        <v>471872899.60778433</v>
      </c>
      <c r="U47" s="378">
        <f t="shared" si="18"/>
        <v>479925743.08604616</v>
      </c>
      <c r="V47" s="378">
        <f t="shared" si="18"/>
        <v>488115422.89506853</v>
      </c>
      <c r="W47" s="378">
        <f t="shared" si="18"/>
        <v>496444265.37649131</v>
      </c>
      <c r="X47" s="378">
        <f t="shared" si="18"/>
        <v>504914636.4195137</v>
      </c>
      <c r="Y47" s="378">
        <f t="shared" si="18"/>
        <v>513528942.13320428</v>
      </c>
      <c r="Z47" s="378">
        <f t="shared" si="18"/>
        <v>522289629.53023851</v>
      </c>
      <c r="AA47" s="378">
        <f t="shared" si="18"/>
        <v>531199187.22226071</v>
      </c>
      <c r="AB47" s="378">
        <f t="shared" si="18"/>
        <v>540260146.12706733</v>
      </c>
      <c r="AC47" s="378">
        <f t="shared" si="18"/>
        <v>549475080.18781149</v>
      </c>
      <c r="AD47" s="378">
        <f t="shared" si="18"/>
        <v>558846607.10443532</v>
      </c>
      <c r="AE47" s="378">
        <f t="shared" si="18"/>
        <v>568377389.07753468</v>
      </c>
      <c r="AF47" s="378">
        <f t="shared" si="18"/>
        <v>578070133.56487215</v>
      </c>
      <c r="AG47" s="378">
        <f t="shared" si="18"/>
        <v>587927594.05074847</v>
      </c>
      <c r="AH47" s="378">
        <f t="shared" si="18"/>
        <v>597952570.82845402</v>
      </c>
      <c r="AI47" s="378">
        <f t="shared" si="18"/>
        <v>608147911.79602277</v>
      </c>
      <c r="AJ47" s="378">
        <f t="shared" si="18"/>
        <v>618516513.26551342</v>
      </c>
      <c r="AK47" s="378">
        <f t="shared" si="18"/>
        <v>629061320.78604734</v>
      </c>
      <c r="AL47" s="378">
        <f t="shared" si="18"/>
        <v>639785329.98084044</v>
      </c>
      <c r="AM47" s="378">
        <f t="shared" si="18"/>
        <v>650691587.39846206</v>
      </c>
      <c r="AN47" s="378">
        <f t="shared" si="18"/>
        <v>661783191.37856746</v>
      </c>
      <c r="AO47" s="378">
        <f>AO45/$C$22*$D$22</f>
        <v>673063292.93234575</v>
      </c>
      <c r="AP47" s="378">
        <f t="shared" ref="AP47:AQ47" si="19">AP45/$C$22*$D$22</f>
        <v>684535096.63793778</v>
      </c>
      <c r="AQ47" s="378">
        <f t="shared" si="19"/>
        <v>696201861.55107331</v>
      </c>
    </row>
    <row r="48" spans="2:43" x14ac:dyDescent="0.2">
      <c r="B48" s="379" t="s">
        <v>587</v>
      </c>
      <c r="C48" s="377">
        <f t="shared" si="17"/>
        <v>1650973058.3565793</v>
      </c>
      <c r="D48" s="380">
        <f>D47/$C$26/2*Parametre!E215</f>
        <v>22550968.028802261</v>
      </c>
      <c r="E48" s="380">
        <f>E47/$C$26/2*Parametre!F215</f>
        <v>23319631.322431955</v>
      </c>
      <c r="F48" s="380">
        <f>F47/$C$26/2*Parametre!G215</f>
        <v>24038603.559213076</v>
      </c>
      <c r="G48" s="380">
        <f>G47/$C$26/2*Parametre!H215</f>
        <v>24756210.924876913</v>
      </c>
      <c r="H48" s="380">
        <f>H47/$C$26/2*Parametre!I215</f>
        <v>25460458.575652596</v>
      </c>
      <c r="I48" s="380">
        <f>I47/$C$26/2*Parametre!J215</f>
        <v>26210281.377936479</v>
      </c>
      <c r="J48" s="380">
        <f>J47/$C$26/2*Parametre!K215</f>
        <v>26976436.22427468</v>
      </c>
      <c r="K48" s="380">
        <f>K47/$C$26/2*Parametre!L215</f>
        <v>27764981.532803733</v>
      </c>
      <c r="L48" s="380">
        <f>L47/$C$26/2*Parametre!M215</f>
        <v>28576571.562999725</v>
      </c>
      <c r="M48" s="380">
        <f>M47/$C$26/2*Parametre!N215</f>
        <v>29411879.678038765</v>
      </c>
      <c r="N48" s="380">
        <f>N47/$C$26/2*Parametre!O215</f>
        <v>30271598.895134032</v>
      </c>
      <c r="O48" s="380">
        <f>O47/$C$26/2*Parametre!P215</f>
        <v>31156442.510244522</v>
      </c>
      <c r="P48" s="380">
        <f>P47/$C$26/2*Parametre!Q215</f>
        <v>32067144.624822594</v>
      </c>
      <c r="Q48" s="380">
        <f>Q47/$C$26/2*Parametre!R215</f>
        <v>33004460.743941952</v>
      </c>
      <c r="R48" s="380">
        <f>R47/$C$26/2*Parametre!S215</f>
        <v>33969168.577123001</v>
      </c>
      <c r="S48" s="380">
        <f>S47/$C$26/2*Parametre!T215</f>
        <v>34963550.020252965</v>
      </c>
      <c r="T48" s="380">
        <f>T47/$C$26/2*Parametre!U215</f>
        <v>35930098.352181681</v>
      </c>
      <c r="U48" s="380">
        <f>U47/$C$26/2*Parametre!V215</f>
        <v>36923320.787274353</v>
      </c>
      <c r="V48" s="380">
        <f>V47/$C$26/2*Parametre!W215</f>
        <v>37943953.152359188</v>
      </c>
      <c r="W48" s="380">
        <f>W47/$C$26/2*Parametre!X215</f>
        <v>38992751.402601384</v>
      </c>
      <c r="X48" s="380">
        <f>X47/$C$26/2*Parametre!Y215</f>
        <v>40070492.505378194</v>
      </c>
      <c r="Y48" s="380">
        <f>Y47/$C$26/2*Parametre!Z215</f>
        <v>41177974.745463103</v>
      </c>
      <c r="Z48" s="380">
        <f>Z47/$C$26/2*Parametre!AA215</f>
        <v>42316018.443484023</v>
      </c>
      <c r="AA48" s="380">
        <f>AA47/$C$26/2*Parametre!AB215</f>
        <v>43485466.631987847</v>
      </c>
      <c r="AB48" s="380">
        <f>AB47/$C$26/2*Parametre!AC215</f>
        <v>44687185.461523324</v>
      </c>
      <c r="AC48" s="380">
        <f>AC47/$C$26/2*Parametre!AD215</f>
        <v>45922065.049161918</v>
      </c>
      <c r="AD48" s="380">
        <f>AD47/$C$26/2*Parametre!AE215</f>
        <v>47153655.812862173</v>
      </c>
      <c r="AE48" s="380">
        <f>AE47/$C$26/2*Parametre!AF215</f>
        <v>48418227.351584405</v>
      </c>
      <c r="AF48" s="380">
        <f>AF47/$C$26/2*Parametre!AG215</f>
        <v>49716662.469804071</v>
      </c>
      <c r="AG48" s="380">
        <f>AG47/$C$26/2*Parametre!AH215</f>
        <v>51049867.661188975</v>
      </c>
      <c r="AH48" s="380">
        <f>AH47/$C$26/2*Parametre!AI215</f>
        <v>52418773.579645991</v>
      </c>
      <c r="AI48" s="380">
        <f>AI47/$C$26/2*Parametre!AJ215</f>
        <v>53824335.923647061</v>
      </c>
      <c r="AJ48" s="380">
        <f>AJ47/$C$26/2*Parametre!AK215</f>
        <v>55267535.774081849</v>
      </c>
      <c r="AK48" s="380">
        <f>AK47/$C$26/2*Parametre!AL215</f>
        <v>56749380.684955984</v>
      </c>
      <c r="AL48" s="380">
        <f>AL47/$C$26/2*Parametre!AM215</f>
        <v>58270905.052379973</v>
      </c>
      <c r="AM48" s="380">
        <f>AM47/$C$26/2*Parametre!AN215</f>
        <v>59833170.997723706</v>
      </c>
      <c r="AN48" s="380">
        <f>AN47/$C$26/2*Parametre!AO215</f>
        <v>61485951.467860632</v>
      </c>
      <c r="AO48" s="380">
        <f>AO47/$C$26/2*Parametre!AP215</f>
        <v>63184333.575434305</v>
      </c>
      <c r="AP48" s="380">
        <f>AP47/$C$26/2*Parametre!AQ215</f>
        <v>64929575.040368661</v>
      </c>
      <c r="AQ48" s="380">
        <f>AQ47/$C$26/2*Parametre!AR215</f>
        <v>66722968.275076769</v>
      </c>
    </row>
    <row r="49" spans="2:43" x14ac:dyDescent="0.2">
      <c r="B49" s="379" t="s">
        <v>576</v>
      </c>
      <c r="C49" s="377">
        <f t="shared" si="17"/>
        <v>54277693.671192542</v>
      </c>
      <c r="D49" s="380">
        <f>D48/$D$26/2*Parametre!E216</f>
        <v>563855.9164172567</v>
      </c>
      <c r="E49" s="380">
        <f>E48/$D$26/2*Parametre!F216</f>
        <v>592870.95116907393</v>
      </c>
      <c r="F49" s="380">
        <f>F48/$D$26/2*Parametre!G216</f>
        <v>619461.50890790671</v>
      </c>
      <c r="G49" s="380">
        <f>G48/$D$26/2*Parametre!H216</f>
        <v>647140.38854706974</v>
      </c>
      <c r="H49" s="380">
        <f>H48/$D$26/2*Parametre!I216</f>
        <v>674068.82717494795</v>
      </c>
      <c r="I49" s="380">
        <f>I48/$D$26/2*Parametre!J216</f>
        <v>702802.65691120818</v>
      </c>
      <c r="J49" s="380">
        <f>J48/$D$26/2*Parametre!K216</f>
        <v>732026.49847154994</v>
      </c>
      <c r="K49" s="380">
        <f>K48/$D$26/2*Parametre!L216</f>
        <v>762465.38042224525</v>
      </c>
      <c r="L49" s="380">
        <f>L48/$D$26/2*Parametre!M216</f>
        <v>794169.81768744928</v>
      </c>
      <c r="M49" s="380">
        <f>M48/$D$26/2*Parametre!N216</f>
        <v>827192.41982467612</v>
      </c>
      <c r="N49" s="380">
        <f>N48/$D$26/2*Parametre!O216</f>
        <v>861587.98873370758</v>
      </c>
      <c r="O49" s="380">
        <f>O48/$D$26/2*Parametre!P216</f>
        <v>897413.61163866275</v>
      </c>
      <c r="P49" s="380">
        <f>P48/$D$26/2*Parametre!Q216</f>
        <v>934728.73006065236</v>
      </c>
      <c r="Q49" s="380">
        <f>Q48/$D$26/2*Parametre!R216</f>
        <v>973595.27317139192</v>
      </c>
      <c r="R49" s="380">
        <f>R48/$D$26/2*Parametre!S216</f>
        <v>1014077.7289969961</v>
      </c>
      <c r="S49" s="380">
        <f>S48/$D$26/2*Parametre!T216</f>
        <v>1056288.041600652</v>
      </c>
      <c r="T49" s="380">
        <f>T48/$D$26/2*Parametre!U216</f>
        <v>1096777.6370634323</v>
      </c>
      <c r="U49" s="380">
        <f>U48/$D$26/2*Parametre!V216</f>
        <v>1138817.8626894394</v>
      </c>
      <c r="V49" s="380">
        <f>V48/$D$26/2*Parametre!W216</f>
        <v>1182468.0983126941</v>
      </c>
      <c r="W49" s="380">
        <f>W48/$D$26/2*Parametre!X216</f>
        <v>1227789.9489471202</v>
      </c>
      <c r="X49" s="380">
        <f>X48/$D$26/2*Parametre!Y216</f>
        <v>1274847.4278975124</v>
      </c>
      <c r="Y49" s="380">
        <f>Y48/$D$26/2*Parametre!Z216</f>
        <v>1323706.9658728617</v>
      </c>
      <c r="Z49" s="380">
        <f>Z48/$D$26/2*Parametre!AA216</f>
        <v>1374437.5368873079</v>
      </c>
      <c r="AA49" s="380">
        <f>AA48/$D$26/2*Parametre!AB216</f>
        <v>1427110.7577469249</v>
      </c>
      <c r="AB49" s="380">
        <f>AB48/$D$26/2*Parametre!AC216</f>
        <v>1481800.9990006592</v>
      </c>
      <c r="AC49" s="380">
        <f>AC48/$D$26/2*Parametre!AD216</f>
        <v>1538585.4811673502</v>
      </c>
      <c r="AD49" s="380">
        <f>AD48/$D$26/2*Parametre!AE216</f>
        <v>1595015.5845514112</v>
      </c>
      <c r="AE49" s="380">
        <f>AE48/$D$26/2*Parametre!AF216</f>
        <v>1653513.6763685886</v>
      </c>
      <c r="AF49" s="380">
        <f>AF48/$D$26/2*Parametre!AG216</f>
        <v>1714155.4871344052</v>
      </c>
      <c r="AG49" s="380">
        <f>AG48/$D$26/2*Parametre!AH216</f>
        <v>1777019.5655961623</v>
      </c>
      <c r="AH49" s="380">
        <f>AH48/$D$26/2*Parametre!AI216</f>
        <v>1842187.3201004753</v>
      </c>
      <c r="AI49" s="380">
        <f>AI48/$D$26/2*Parametre!AJ216</f>
        <v>1909743.1300605666</v>
      </c>
      <c r="AJ49" s="380">
        <f>AJ48/$D$26/2*Parametre!AK216</f>
        <v>1979774.4625628113</v>
      </c>
      <c r="AK49" s="380">
        <f>AK48/$D$26/2*Parametre!AL216</f>
        <v>2052372.0220970726</v>
      </c>
      <c r="AL49" s="380">
        <f>AL48/$D$26/2*Parametre!AM216</f>
        <v>2127629.792424967</v>
      </c>
      <c r="AM49" s="380">
        <f>AM48/$D$26/2*Parametre!AN216</f>
        <v>2205645.2503369455</v>
      </c>
      <c r="AN49" s="380">
        <f>AN48/$D$26/2*Parametre!AO216</f>
        <v>2290144.4715268803</v>
      </c>
      <c r="AO49" s="380">
        <f>AO48/$D$26/2*Parametre!AP216</f>
        <v>2377878.8700070758</v>
      </c>
      <c r="AP49" s="380">
        <f>AP48/$D$26/2*Parametre!AQ216</f>
        <v>2468972.2909990018</v>
      </c>
      <c r="AQ49" s="380">
        <f>AQ48/$D$26/2*Parametre!AR216</f>
        <v>2563553.2921054238</v>
      </c>
    </row>
    <row r="50" spans="2:43" x14ac:dyDescent="0.2">
      <c r="B50" s="379" t="s">
        <v>577</v>
      </c>
      <c r="C50" s="377">
        <f t="shared" si="17"/>
        <v>514473.26365856885</v>
      </c>
      <c r="D50" s="380">
        <f>D49/$E$26/2*Parametre!E217</f>
        <v>4011.8235044316216</v>
      </c>
      <c r="E50" s="380">
        <f>E49/$E$26/2*Parametre!F217</f>
        <v>4289.1318203909568</v>
      </c>
      <c r="F50" s="380">
        <f>F49/$E$26/2*Parametre!G217</f>
        <v>4542.4495046016</v>
      </c>
      <c r="G50" s="380">
        <f>G49/$E$26/2*Parametre!H217</f>
        <v>4813.7502192646843</v>
      </c>
      <c r="H50" s="380">
        <f>H49/$E$26/2*Parametre!I217</f>
        <v>5078.2376245604237</v>
      </c>
      <c r="I50" s="380">
        <f>I49/$E$26/2*Parametre!J217</f>
        <v>5362.4822031028343</v>
      </c>
      <c r="J50" s="380">
        <f>J49/$E$26/2*Parametre!K217</f>
        <v>5652.4898931387261</v>
      </c>
      <c r="K50" s="380">
        <f>K49/$E$26/2*Parametre!L217</f>
        <v>5958.1797759455967</v>
      </c>
      <c r="L50" s="380">
        <f>L49/$E$26/2*Parametre!M217</f>
        <v>6280.4005738690048</v>
      </c>
      <c r="M50" s="380">
        <f>M49/$E$26/2*Parametre!N217</f>
        <v>6620.0468103535813</v>
      </c>
      <c r="N50" s="380">
        <f>N49/$E$26/2*Parametre!O217</f>
        <v>6978.0589198313455</v>
      </c>
      <c r="O50" s="380">
        <f>O49/$E$26/2*Parametre!P217</f>
        <v>7355.4316959742255</v>
      </c>
      <c r="P50" s="380">
        <f>P49/$E$26/2*Parametre!Q217</f>
        <v>7753.2109588907351</v>
      </c>
      <c r="Q50" s="380">
        <f>Q49/$E$26/2*Parametre!R217</f>
        <v>8172.5003139112478</v>
      </c>
      <c r="R50" s="380">
        <f>R49/$E$26/2*Parametre!S217</f>
        <v>8614.4641853057274</v>
      </c>
      <c r="S50" s="380">
        <f>S49/$E$26/2*Parametre!T217</f>
        <v>9080.7118720701874</v>
      </c>
      <c r="T50" s="380">
        <f>T49/$E$26/2*Parametre!U217</f>
        <v>9526.8528252691067</v>
      </c>
      <c r="U50" s="380">
        <f>U49/$E$26/2*Parametre!V217</f>
        <v>9994.9005379135033</v>
      </c>
      <c r="V50" s="380">
        <f>V49/$E$26/2*Parametre!W217</f>
        <v>10485.930784450105</v>
      </c>
      <c r="W50" s="380">
        <f>W49/$E$26/2*Parametre!X217</f>
        <v>11001.071619645645</v>
      </c>
      <c r="X50" s="380">
        <f>X49/$E$26/2*Parametre!Y217</f>
        <v>11541.504994734432</v>
      </c>
      <c r="Y50" s="380">
        <f>Y49/$E$26/2*Parametre!Z217</f>
        <v>12108.473997461821</v>
      </c>
      <c r="Z50" s="380">
        <f>Z49/$E$26/2*Parametre!AA217</f>
        <v>12703.280821549077</v>
      </c>
      <c r="AA50" s="380">
        <f>AA49/$E$26/2*Parametre!AB217</f>
        <v>13327.291417885108</v>
      </c>
      <c r="AB50" s="380">
        <f>AB49/$E$26/2*Parametre!AC217</f>
        <v>13981.940786115791</v>
      </c>
      <c r="AC50" s="380">
        <f>AC49/$E$26/2*Parametre!AD217</f>
        <v>14668.730029447306</v>
      </c>
      <c r="AD50" s="380">
        <f>AD49/$E$26/2*Parametre!AE217</f>
        <v>15352.713344324431</v>
      </c>
      <c r="AE50" s="380">
        <f>AE49/$E$26/2*Parametre!AF217</f>
        <v>16068.57413289575</v>
      </c>
      <c r="AF50" s="380">
        <f>AF49/$E$26/2*Parametre!AG217</f>
        <v>16817.797454643052</v>
      </c>
      <c r="AG50" s="380">
        <f>AG49/$E$26/2*Parametre!AH217</f>
        <v>17601.93784630661</v>
      </c>
      <c r="AH50" s="380">
        <f>AH49/$E$26/2*Parametre!AI217</f>
        <v>18422.619332540104</v>
      </c>
      <c r="AI50" s="380">
        <f>AI49/$E$26/2*Parametre!AJ217</f>
        <v>19281.546441598803</v>
      </c>
      <c r="AJ50" s="380">
        <f>AJ49/$E$26/2*Parametre!AK217</f>
        <v>20180.503131618007</v>
      </c>
      <c r="AK50" s="380">
        <f>AK49/$E$26/2*Parametre!AL217</f>
        <v>21121.351056639684</v>
      </c>
      <c r="AL50" s="380">
        <f>AL49/$E$26/2*Parametre!AM217</f>
        <v>22106.043624489655</v>
      </c>
      <c r="AM50" s="380">
        <f>AM49/$E$26/2*Parametre!AN217</f>
        <v>23136.622657392843</v>
      </c>
      <c r="AN50" s="380">
        <f>AN49/$E$26/2*Parametre!AO217</f>
        <v>24272.835513642513</v>
      </c>
      <c r="AO50" s="380">
        <f>AO49/$E$26/2*Parametre!AP217</f>
        <v>25464.825200775493</v>
      </c>
      <c r="AP50" s="380">
        <f>AP49/$E$26/2*Parametre!AQ217</f>
        <v>26715.328172800982</v>
      </c>
      <c r="AQ50" s="380">
        <f>AQ49/$E$26/2*Parametre!AR217</f>
        <v>28027.218058786548</v>
      </c>
    </row>
    <row r="51" spans="2:43" x14ac:dyDescent="0.2">
      <c r="B51" s="381" t="s">
        <v>9</v>
      </c>
      <c r="C51" s="382">
        <f t="shared" si="17"/>
        <v>1705765225.2914298</v>
      </c>
      <c r="D51" s="382">
        <f t="shared" ref="D51" si="20">SUM(D48:D50)</f>
        <v>23118835.76872395</v>
      </c>
      <c r="E51" s="382">
        <f t="shared" ref="E51:AO51" si="21">SUM(E48:E50)</f>
        <v>23916791.405421421</v>
      </c>
      <c r="F51" s="382">
        <f t="shared" si="21"/>
        <v>24662607.517625585</v>
      </c>
      <c r="G51" s="382">
        <f t="shared" si="21"/>
        <v>25408165.063643247</v>
      </c>
      <c r="H51" s="382">
        <f t="shared" si="21"/>
        <v>26139605.640452102</v>
      </c>
      <c r="I51" s="382">
        <f t="shared" si="21"/>
        <v>26918446.517050792</v>
      </c>
      <c r="J51" s="382">
        <f t="shared" si="21"/>
        <v>27714115.212639369</v>
      </c>
      <c r="K51" s="382">
        <f t="shared" si="21"/>
        <v>28533405.093001924</v>
      </c>
      <c r="L51" s="382">
        <f t="shared" si="21"/>
        <v>29377021.781261042</v>
      </c>
      <c r="M51" s="382">
        <f t="shared" si="21"/>
        <v>30245692.144673795</v>
      </c>
      <c r="N51" s="382">
        <f t="shared" si="21"/>
        <v>31140164.942787573</v>
      </c>
      <c r="O51" s="382">
        <f t="shared" si="21"/>
        <v>32061211.553579159</v>
      </c>
      <c r="P51" s="382">
        <f t="shared" si="21"/>
        <v>33009626.565842137</v>
      </c>
      <c r="Q51" s="382">
        <f t="shared" si="21"/>
        <v>33986228.517427251</v>
      </c>
      <c r="R51" s="382">
        <f t="shared" si="21"/>
        <v>34991860.770305306</v>
      </c>
      <c r="S51" s="382">
        <f t="shared" si="21"/>
        <v>36028918.773725688</v>
      </c>
      <c r="T51" s="382">
        <f t="shared" si="21"/>
        <v>37036402.842070378</v>
      </c>
      <c r="U51" s="382">
        <f t="shared" si="21"/>
        <v>38072133.550501712</v>
      </c>
      <c r="V51" s="382">
        <f t="shared" si="21"/>
        <v>39136907.181456327</v>
      </c>
      <c r="W51" s="382">
        <f t="shared" si="21"/>
        <v>40231542.423168145</v>
      </c>
      <c r="X51" s="382">
        <f t="shared" si="21"/>
        <v>41356881.438270442</v>
      </c>
      <c r="Y51" s="382">
        <f t="shared" si="21"/>
        <v>42513790.185333423</v>
      </c>
      <c r="Z51" s="382">
        <f t="shared" si="21"/>
        <v>43703159.261192881</v>
      </c>
      <c r="AA51" s="382">
        <f t="shared" si="21"/>
        <v>44925904.681152657</v>
      </c>
      <c r="AB51" s="382">
        <f t="shared" si="21"/>
        <v>46182968.401310101</v>
      </c>
      <c r="AC51" s="382">
        <f t="shared" si="21"/>
        <v>47475319.260358721</v>
      </c>
      <c r="AD51" s="382">
        <f t="shared" si="21"/>
        <v>48764024.11075791</v>
      </c>
      <c r="AE51" s="382">
        <f t="shared" si="21"/>
        <v>50087809.602085888</v>
      </c>
      <c r="AF51" s="382">
        <f t="shared" si="21"/>
        <v>51447635.754393116</v>
      </c>
      <c r="AG51" s="382">
        <f t="shared" si="21"/>
        <v>52844489.164631441</v>
      </c>
      <c r="AH51" s="382">
        <f t="shared" si="21"/>
        <v>54279383.519079007</v>
      </c>
      <c r="AI51" s="382">
        <f t="shared" si="21"/>
        <v>55753360.600149229</v>
      </c>
      <c r="AJ51" s="382">
        <f t="shared" si="21"/>
        <v>57267490.739776284</v>
      </c>
      <c r="AK51" s="382">
        <f t="shared" si="21"/>
        <v>58822874.058109701</v>
      </c>
      <c r="AL51" s="382">
        <f t="shared" si="21"/>
        <v>60420640.888429433</v>
      </c>
      <c r="AM51" s="382">
        <f t="shared" si="21"/>
        <v>62061952.870718047</v>
      </c>
      <c r="AN51" s="382">
        <f t="shared" si="21"/>
        <v>63800368.774901159</v>
      </c>
      <c r="AO51" s="382">
        <f t="shared" si="21"/>
        <v>65587677.270642154</v>
      </c>
      <c r="AP51" s="382">
        <f t="shared" ref="AP51:AQ51" si="22">SUM(AP48:AP50)</f>
        <v>67425262.65954046</v>
      </c>
      <c r="AQ51" s="382">
        <f t="shared" si="22"/>
        <v>69314548.785240978</v>
      </c>
    </row>
  </sheetData>
  <mergeCells count="14">
    <mergeCell ref="B4:B5"/>
    <mergeCell ref="C4:E4"/>
    <mergeCell ref="B10:B11"/>
    <mergeCell ref="C10:E10"/>
    <mergeCell ref="B20:B21"/>
    <mergeCell ref="C20:C21"/>
    <mergeCell ref="D20:D21"/>
    <mergeCell ref="F10:H10"/>
    <mergeCell ref="I10:K10"/>
    <mergeCell ref="B15:B16"/>
    <mergeCell ref="C15:C16"/>
    <mergeCell ref="D15:D16"/>
    <mergeCell ref="E15:F15"/>
    <mergeCell ref="G15:H15"/>
  </mergeCells>
  <pageMargins left="0.7" right="0.7" top="0.75" bottom="0.75" header="0.3" footer="0.3"/>
  <pageSetup paperSize="9" scale="75" orientation="landscape" r:id="rId1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N82"/>
  <sheetViews>
    <sheetView zoomScale="90" zoomScaleNormal="90" workbookViewId="0"/>
  </sheetViews>
  <sheetFormatPr defaultColWidth="9.140625" defaultRowHeight="11.25" x14ac:dyDescent="0.2"/>
  <cols>
    <col min="1" max="1" width="3.85546875" style="30" customWidth="1"/>
    <col min="2" max="2" width="46.5703125" style="30" customWidth="1"/>
    <col min="3" max="3" width="8.85546875" style="30" bestFit="1" customWidth="1"/>
    <col min="4" max="40" width="8" style="30" bestFit="1" customWidth="1"/>
    <col min="41" max="16384" width="9.140625" style="30"/>
  </cols>
  <sheetData>
    <row r="2" spans="2:40" x14ac:dyDescent="0.2">
      <c r="B2" s="31"/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2:40" x14ac:dyDescent="0.2">
      <c r="B3" s="32" t="s">
        <v>442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</row>
    <row r="4" spans="2:40" x14ac:dyDescent="0.2">
      <c r="B4" s="34" t="s">
        <v>33</v>
      </c>
      <c r="C4" s="268" t="s">
        <v>9</v>
      </c>
      <c r="D4" s="35">
        <f>Parametre!C13</f>
        <v>2026</v>
      </c>
      <c r="E4" s="35">
        <f>D4+$D$3</f>
        <v>2027</v>
      </c>
      <c r="F4" s="35">
        <f t="shared" ref="F4:AG4" si="0">E4+$D$3</f>
        <v>2028</v>
      </c>
      <c r="G4" s="35">
        <f t="shared" si="0"/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si="0"/>
        <v>2055</v>
      </c>
      <c r="AH4" s="35">
        <f t="shared" ref="AH4" si="1">AG4+$D$3</f>
        <v>2056</v>
      </c>
      <c r="AI4" s="35">
        <f t="shared" ref="AI4" si="2">AH4+$D$3</f>
        <v>2057</v>
      </c>
      <c r="AJ4" s="35">
        <f t="shared" ref="AJ4" si="3">AI4+$D$3</f>
        <v>2058</v>
      </c>
      <c r="AK4" s="35">
        <f t="shared" ref="AK4" si="4">AJ4+$D$3</f>
        <v>2059</v>
      </c>
      <c r="AL4" s="35">
        <f t="shared" ref="AL4" si="5">AK4+$D$3</f>
        <v>2060</v>
      </c>
      <c r="AM4" s="35">
        <f t="shared" ref="AM4" si="6">AL4+$D$3</f>
        <v>2061</v>
      </c>
      <c r="AN4" s="35">
        <f t="shared" ref="AN4" si="7">AM4+$D$3</f>
        <v>2062</v>
      </c>
    </row>
    <row r="5" spans="2:40" x14ac:dyDescent="0.2">
      <c r="B5" s="759" t="s">
        <v>285</v>
      </c>
      <c r="C5" s="37">
        <f>SUM(D5:AQ5)</f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2:40" x14ac:dyDescent="0.2">
      <c r="B6" s="759" t="s">
        <v>284</v>
      </c>
      <c r="C6" s="37">
        <f t="shared" ref="C6:C7" si="8">SUM(D6:AQ6)</f>
        <v>0</v>
      </c>
      <c r="D6" s="121">
        <f>'11a_A Znečisť. l.(voz.)NOV200'!D6</f>
        <v>0</v>
      </c>
      <c r="E6" s="121">
        <f>'11a_A Znečisť. l.(voz.)NOV200'!E6</f>
        <v>0</v>
      </c>
      <c r="F6" s="121">
        <f>'11a_A Znečisť. l.(voz.)NOV200'!F6</f>
        <v>0</v>
      </c>
      <c r="G6" s="121">
        <f>'11a_A Znečisť. l.(voz.)NOV200'!G6</f>
        <v>0</v>
      </c>
      <c r="H6" s="121">
        <f>'11a_A Znečisť. l.(voz.)NOV200'!H6</f>
        <v>0</v>
      </c>
      <c r="I6" s="121">
        <f>'11a_A Znečisť. l.(voz.)NOV200'!I6</f>
        <v>0</v>
      </c>
      <c r="J6" s="121">
        <f>'11a_A Znečisť. l.(voz.)NOV200'!J6</f>
        <v>0</v>
      </c>
      <c r="K6" s="121">
        <f>'11a_A Znečisť. l.(voz.)NOV200'!K6</f>
        <v>0</v>
      </c>
      <c r="L6" s="121">
        <f>'11a_A Znečisť. l.(voz.)NOV200'!L6</f>
        <v>0</v>
      </c>
      <c r="M6" s="121">
        <f>'11a_A Znečisť. l.(voz.)NOV200'!M6</f>
        <v>0</v>
      </c>
      <c r="N6" s="121">
        <f>'11a_A Znečisť. l.(voz.)NOV200'!N6</f>
        <v>0</v>
      </c>
      <c r="O6" s="121">
        <f>'11a_A Znečisť. l.(voz.)NOV200'!O6</f>
        <v>0</v>
      </c>
      <c r="P6" s="121">
        <f>'11a_A Znečisť. l.(voz.)NOV200'!P6</f>
        <v>0</v>
      </c>
      <c r="Q6" s="121">
        <f>'11a_A Znečisť. l.(voz.)NOV200'!Q6</f>
        <v>0</v>
      </c>
      <c r="R6" s="121">
        <f>'11a_A Znečisť. l.(voz.)NOV200'!R6</f>
        <v>0</v>
      </c>
      <c r="S6" s="121">
        <f>'11a_A Znečisť. l.(voz.)NOV200'!S6</f>
        <v>0</v>
      </c>
      <c r="T6" s="121">
        <f>'11a_A Znečisť. l.(voz.)NOV200'!T6</f>
        <v>0</v>
      </c>
      <c r="U6" s="121">
        <f>'11a_A Znečisť. l.(voz.)NOV200'!U6</f>
        <v>0</v>
      </c>
      <c r="V6" s="121">
        <f>'11a_A Znečisť. l.(voz.)NOV200'!V6</f>
        <v>0</v>
      </c>
      <c r="W6" s="121">
        <f>'11a_A Znečisť. l.(voz.)NOV200'!W6</f>
        <v>0</v>
      </c>
      <c r="X6" s="121">
        <f>'11a_A Znečisť. l.(voz.)NOV200'!X6</f>
        <v>0</v>
      </c>
      <c r="Y6" s="121">
        <f>'11a_A Znečisť. l.(voz.)NOV200'!Y6</f>
        <v>0</v>
      </c>
      <c r="Z6" s="121">
        <f>'11a_A Znečisť. l.(voz.)NOV200'!Z6</f>
        <v>0</v>
      </c>
      <c r="AA6" s="121">
        <f>'11a_A Znečisť. l.(voz.)NOV200'!AA6</f>
        <v>0</v>
      </c>
      <c r="AB6" s="121">
        <f>'11a_A Znečisť. l.(voz.)NOV200'!AB6</f>
        <v>0</v>
      </c>
      <c r="AC6" s="121">
        <f>'11a_A Znečisť. l.(voz.)NOV200'!AC6</f>
        <v>0</v>
      </c>
      <c r="AD6" s="121">
        <f>'11a_A Znečisť. l.(voz.)NOV200'!AD6</f>
        <v>0</v>
      </c>
      <c r="AE6" s="121">
        <f>'11a_A Znečisť. l.(voz.)NOV200'!AE6</f>
        <v>0</v>
      </c>
      <c r="AF6" s="121">
        <f>'11a_A Znečisť. l.(voz.)NOV200'!AF6</f>
        <v>0</v>
      </c>
      <c r="AG6" s="121">
        <f>'11a_A Znečisť. l.(voz.)NOV200'!AG6</f>
        <v>0</v>
      </c>
      <c r="AH6" s="121">
        <f>'11a_A Znečisť. l.(voz.)NOV200'!AH6</f>
        <v>0</v>
      </c>
      <c r="AI6" s="121">
        <f>'11a_A Znečisť. l.(voz.)NOV200'!AI6</f>
        <v>0</v>
      </c>
      <c r="AJ6" s="121">
        <f>'11a_A Znečisť. l.(voz.)NOV200'!AJ6</f>
        <v>0</v>
      </c>
      <c r="AK6" s="121">
        <f>'11a_A Znečisť. l.(voz.)NOV200'!AK6</f>
        <v>0</v>
      </c>
      <c r="AL6" s="121">
        <f>'11a_A Znečisť. l.(voz.)NOV200'!AL6</f>
        <v>0</v>
      </c>
      <c r="AM6" s="121">
        <f>'11a_A Znečisť. l.(voz.)NOV200'!AM6</f>
        <v>0</v>
      </c>
      <c r="AN6" s="121">
        <f>'11a_A Znečisť. l.(voz.)NOV200'!AN6</f>
        <v>0</v>
      </c>
    </row>
    <row r="7" spans="2:40" x14ac:dyDescent="0.2">
      <c r="B7" s="32" t="s">
        <v>9</v>
      </c>
      <c r="C7" s="122">
        <f t="shared" si="8"/>
        <v>0</v>
      </c>
      <c r="D7" s="122">
        <f t="shared" ref="D7:AG7" si="9">SUM(D5:D6)</f>
        <v>0</v>
      </c>
      <c r="E7" s="122">
        <f t="shared" si="9"/>
        <v>0</v>
      </c>
      <c r="F7" s="122">
        <f t="shared" si="9"/>
        <v>0</v>
      </c>
      <c r="G7" s="122">
        <f t="shared" si="9"/>
        <v>0</v>
      </c>
      <c r="H7" s="122">
        <f t="shared" si="9"/>
        <v>0</v>
      </c>
      <c r="I7" s="122">
        <f t="shared" si="9"/>
        <v>0</v>
      </c>
      <c r="J7" s="122">
        <f t="shared" si="9"/>
        <v>0</v>
      </c>
      <c r="K7" s="122">
        <f t="shared" si="9"/>
        <v>0</v>
      </c>
      <c r="L7" s="122">
        <f t="shared" si="9"/>
        <v>0</v>
      </c>
      <c r="M7" s="122">
        <f t="shared" si="9"/>
        <v>0</v>
      </c>
      <c r="N7" s="122">
        <f t="shared" si="9"/>
        <v>0</v>
      </c>
      <c r="O7" s="122">
        <f t="shared" si="9"/>
        <v>0</v>
      </c>
      <c r="P7" s="122">
        <f t="shared" si="9"/>
        <v>0</v>
      </c>
      <c r="Q7" s="122">
        <f t="shared" si="9"/>
        <v>0</v>
      </c>
      <c r="R7" s="122">
        <f t="shared" si="9"/>
        <v>0</v>
      </c>
      <c r="S7" s="122">
        <f t="shared" si="9"/>
        <v>0</v>
      </c>
      <c r="T7" s="122">
        <f t="shared" si="9"/>
        <v>0</v>
      </c>
      <c r="U7" s="122">
        <f t="shared" si="9"/>
        <v>0</v>
      </c>
      <c r="V7" s="122">
        <f t="shared" si="9"/>
        <v>0</v>
      </c>
      <c r="W7" s="122">
        <f t="shared" si="9"/>
        <v>0</v>
      </c>
      <c r="X7" s="122">
        <f t="shared" si="9"/>
        <v>0</v>
      </c>
      <c r="Y7" s="122">
        <f t="shared" si="9"/>
        <v>0</v>
      </c>
      <c r="Z7" s="122">
        <f t="shared" si="9"/>
        <v>0</v>
      </c>
      <c r="AA7" s="122">
        <f t="shared" si="9"/>
        <v>0</v>
      </c>
      <c r="AB7" s="122">
        <f t="shared" si="9"/>
        <v>0</v>
      </c>
      <c r="AC7" s="122">
        <f t="shared" si="9"/>
        <v>0</v>
      </c>
      <c r="AD7" s="122">
        <f t="shared" si="9"/>
        <v>0</v>
      </c>
      <c r="AE7" s="122">
        <f t="shared" si="9"/>
        <v>0</v>
      </c>
      <c r="AF7" s="122">
        <f t="shared" si="9"/>
        <v>0</v>
      </c>
      <c r="AG7" s="122">
        <f t="shared" si="9"/>
        <v>0</v>
      </c>
      <c r="AH7" s="122">
        <f t="shared" ref="AH7:AN7" si="10">SUM(AH5:AH6)</f>
        <v>0</v>
      </c>
      <c r="AI7" s="122">
        <f t="shared" si="10"/>
        <v>0</v>
      </c>
      <c r="AJ7" s="122">
        <f t="shared" si="10"/>
        <v>0</v>
      </c>
      <c r="AK7" s="122">
        <f t="shared" si="10"/>
        <v>0</v>
      </c>
      <c r="AL7" s="122">
        <f t="shared" si="10"/>
        <v>0</v>
      </c>
      <c r="AM7" s="122">
        <f t="shared" si="10"/>
        <v>0</v>
      </c>
      <c r="AN7" s="122">
        <f t="shared" si="10"/>
        <v>0</v>
      </c>
    </row>
    <row r="10" spans="2:40" x14ac:dyDescent="0.2">
      <c r="B10" s="31"/>
      <c r="C10" s="31"/>
      <c r="D10" s="31" t="s">
        <v>10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</row>
    <row r="11" spans="2:40" x14ac:dyDescent="0.2">
      <c r="B11" s="32" t="s">
        <v>443</v>
      </c>
      <c r="C11" s="32"/>
      <c r="D11" s="33">
        <v>1</v>
      </c>
      <c r="E11" s="33">
        <v>2</v>
      </c>
      <c r="F11" s="33">
        <v>3</v>
      </c>
      <c r="G11" s="33">
        <v>4</v>
      </c>
      <c r="H11" s="33">
        <v>5</v>
      </c>
      <c r="I11" s="33">
        <v>6</v>
      </c>
      <c r="J11" s="33">
        <v>7</v>
      </c>
      <c r="K11" s="33">
        <v>8</v>
      </c>
      <c r="L11" s="33">
        <v>9</v>
      </c>
      <c r="M11" s="33">
        <v>10</v>
      </c>
      <c r="N11" s="33">
        <v>11</v>
      </c>
      <c r="O11" s="33">
        <v>12</v>
      </c>
      <c r="P11" s="33">
        <v>13</v>
      </c>
      <c r="Q11" s="33">
        <v>14</v>
      </c>
      <c r="R11" s="33">
        <v>15</v>
      </c>
      <c r="S11" s="33">
        <v>16</v>
      </c>
      <c r="T11" s="33">
        <v>17</v>
      </c>
      <c r="U11" s="33">
        <v>18</v>
      </c>
      <c r="V11" s="33">
        <v>19</v>
      </c>
      <c r="W11" s="33">
        <v>20</v>
      </c>
      <c r="X11" s="33">
        <v>21</v>
      </c>
      <c r="Y11" s="33">
        <v>22</v>
      </c>
      <c r="Z11" s="33">
        <v>23</v>
      </c>
      <c r="AA11" s="33">
        <v>24</v>
      </c>
      <c r="AB11" s="33">
        <v>25</v>
      </c>
      <c r="AC11" s="33">
        <v>26</v>
      </c>
      <c r="AD11" s="33">
        <v>27</v>
      </c>
      <c r="AE11" s="33">
        <v>28</v>
      </c>
      <c r="AF11" s="33">
        <v>29</v>
      </c>
      <c r="AG11" s="33">
        <v>30</v>
      </c>
      <c r="AH11" s="33">
        <v>31</v>
      </c>
      <c r="AI11" s="33">
        <v>32</v>
      </c>
      <c r="AJ11" s="33">
        <v>33</v>
      </c>
      <c r="AK11" s="33">
        <v>34</v>
      </c>
      <c r="AL11" s="33">
        <v>35</v>
      </c>
      <c r="AM11" s="33">
        <v>36</v>
      </c>
      <c r="AN11" s="33">
        <v>37</v>
      </c>
    </row>
    <row r="12" spans="2:40" x14ac:dyDescent="0.2">
      <c r="B12" s="34" t="s">
        <v>34</v>
      </c>
      <c r="C12" s="268" t="s">
        <v>9</v>
      </c>
      <c r="D12" s="35">
        <f>D4</f>
        <v>2026</v>
      </c>
      <c r="E12" s="35">
        <f>D12+$D$3</f>
        <v>2027</v>
      </c>
      <c r="F12" s="35">
        <f t="shared" ref="F12" si="11">E12+$D$3</f>
        <v>2028</v>
      </c>
      <c r="G12" s="35">
        <f t="shared" ref="G12" si="12">F12+$D$3</f>
        <v>2029</v>
      </c>
      <c r="H12" s="35">
        <f t="shared" ref="H12" si="13">G12+$D$3</f>
        <v>2030</v>
      </c>
      <c r="I12" s="35">
        <f t="shared" ref="I12" si="14">H12+$D$3</f>
        <v>2031</v>
      </c>
      <c r="J12" s="35">
        <f t="shared" ref="J12" si="15">I12+$D$3</f>
        <v>2032</v>
      </c>
      <c r="K12" s="35">
        <f t="shared" ref="K12" si="16">J12+$D$3</f>
        <v>2033</v>
      </c>
      <c r="L12" s="35">
        <f t="shared" ref="L12" si="17">K12+$D$3</f>
        <v>2034</v>
      </c>
      <c r="M12" s="35">
        <f t="shared" ref="M12" si="18">L12+$D$3</f>
        <v>2035</v>
      </c>
      <c r="N12" s="35">
        <f t="shared" ref="N12" si="19">M12+$D$3</f>
        <v>2036</v>
      </c>
      <c r="O12" s="35">
        <f t="shared" ref="O12" si="20">N12+$D$3</f>
        <v>2037</v>
      </c>
      <c r="P12" s="35">
        <f t="shared" ref="P12" si="21">O12+$D$3</f>
        <v>2038</v>
      </c>
      <c r="Q12" s="35">
        <f t="shared" ref="Q12" si="22">P12+$D$3</f>
        <v>2039</v>
      </c>
      <c r="R12" s="35">
        <f t="shared" ref="R12" si="23">Q12+$D$3</f>
        <v>2040</v>
      </c>
      <c r="S12" s="35">
        <f t="shared" ref="S12" si="24">R12+$D$3</f>
        <v>2041</v>
      </c>
      <c r="T12" s="35">
        <f t="shared" ref="T12" si="25">S12+$D$3</f>
        <v>2042</v>
      </c>
      <c r="U12" s="35">
        <f t="shared" ref="U12" si="26">T12+$D$3</f>
        <v>2043</v>
      </c>
      <c r="V12" s="35">
        <f t="shared" ref="V12" si="27">U12+$D$3</f>
        <v>2044</v>
      </c>
      <c r="W12" s="35">
        <f t="shared" ref="W12" si="28">V12+$D$3</f>
        <v>2045</v>
      </c>
      <c r="X12" s="35">
        <f t="shared" ref="X12" si="29">W12+$D$3</f>
        <v>2046</v>
      </c>
      <c r="Y12" s="35">
        <f t="shared" ref="Y12" si="30">X12+$D$3</f>
        <v>2047</v>
      </c>
      <c r="Z12" s="35">
        <f t="shared" ref="Z12" si="31">Y12+$D$3</f>
        <v>2048</v>
      </c>
      <c r="AA12" s="35">
        <f t="shared" ref="AA12" si="32">Z12+$D$3</f>
        <v>2049</v>
      </c>
      <c r="AB12" s="35">
        <f t="shared" ref="AB12" si="33">AA12+$D$3</f>
        <v>2050</v>
      </c>
      <c r="AC12" s="35">
        <f t="shared" ref="AC12" si="34">AB12+$D$3</f>
        <v>2051</v>
      </c>
      <c r="AD12" s="35">
        <f t="shared" ref="AD12" si="35">AC12+$D$3</f>
        <v>2052</v>
      </c>
      <c r="AE12" s="35">
        <f t="shared" ref="AE12" si="36">AD12+$D$3</f>
        <v>2053</v>
      </c>
      <c r="AF12" s="35">
        <f t="shared" ref="AF12" si="37">AE12+$D$3</f>
        <v>2054</v>
      </c>
      <c r="AG12" s="35">
        <f t="shared" ref="AG12" si="38">AF12+$D$3</f>
        <v>2055</v>
      </c>
      <c r="AH12" s="35">
        <f t="shared" ref="AH12" si="39">AG12+$D$3</f>
        <v>2056</v>
      </c>
      <c r="AI12" s="35">
        <f t="shared" ref="AI12" si="40">AH12+$D$3</f>
        <v>2057</v>
      </c>
      <c r="AJ12" s="35">
        <f t="shared" ref="AJ12" si="41">AI12+$D$3</f>
        <v>2058</v>
      </c>
      <c r="AK12" s="35">
        <f t="shared" ref="AK12" si="42">AJ12+$D$3</f>
        <v>2059</v>
      </c>
      <c r="AL12" s="35">
        <f t="shared" ref="AL12" si="43">AK12+$D$3</f>
        <v>2060</v>
      </c>
      <c r="AM12" s="35">
        <f t="shared" ref="AM12" si="44">AL12+$D$3</f>
        <v>2061</v>
      </c>
      <c r="AN12" s="35">
        <f t="shared" ref="AN12" si="45">AM12+$D$3</f>
        <v>2062</v>
      </c>
    </row>
    <row r="13" spans="2:40" x14ac:dyDescent="0.2">
      <c r="B13" s="759" t="s">
        <v>285</v>
      </c>
      <c r="C13" s="37">
        <f t="shared" ref="C13:C15" si="46">SUM(D13:AQ13)</f>
        <v>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2:40" x14ac:dyDescent="0.2">
      <c r="B14" s="759" t="s">
        <v>284</v>
      </c>
      <c r="C14" s="37">
        <f t="shared" si="46"/>
        <v>0</v>
      </c>
      <c r="D14" s="121">
        <f>'11a_A Znečisť. l.(voz.)NOV200'!D12</f>
        <v>0</v>
      </c>
      <c r="E14" s="121">
        <f>'11a_A Znečisť. l.(voz.)NOV200'!E12</f>
        <v>0</v>
      </c>
      <c r="F14" s="121">
        <f>'11a_A Znečisť. l.(voz.)NOV200'!F12</f>
        <v>0</v>
      </c>
      <c r="G14" s="121">
        <f>'11a_A Znečisť. l.(voz.)NOV200'!G12</f>
        <v>0</v>
      </c>
      <c r="H14" s="121">
        <f>'11a_A Znečisť. l.(voz.)NOV200'!H12</f>
        <v>0</v>
      </c>
      <c r="I14" s="121">
        <f>'11a_A Znečisť. l.(voz.)NOV200'!I12</f>
        <v>0</v>
      </c>
      <c r="J14" s="121">
        <f>'11a_A Znečisť. l.(voz.)NOV200'!J12</f>
        <v>0</v>
      </c>
      <c r="K14" s="121">
        <f>'11a_A Znečisť. l.(voz.)NOV200'!K12</f>
        <v>0</v>
      </c>
      <c r="L14" s="121">
        <f>'11a_A Znečisť. l.(voz.)NOV200'!L12</f>
        <v>0</v>
      </c>
      <c r="M14" s="121">
        <f>'11a_A Znečisť. l.(voz.)NOV200'!M12</f>
        <v>0</v>
      </c>
      <c r="N14" s="121">
        <f>'11a_A Znečisť. l.(voz.)NOV200'!N12</f>
        <v>0</v>
      </c>
      <c r="O14" s="121">
        <f>'11a_A Znečisť. l.(voz.)NOV200'!O12</f>
        <v>0</v>
      </c>
      <c r="P14" s="121">
        <f>'11a_A Znečisť. l.(voz.)NOV200'!P12</f>
        <v>0</v>
      </c>
      <c r="Q14" s="121">
        <f>'11a_A Znečisť. l.(voz.)NOV200'!Q12</f>
        <v>0</v>
      </c>
      <c r="R14" s="121">
        <f>'11a_A Znečisť. l.(voz.)NOV200'!R12</f>
        <v>0</v>
      </c>
      <c r="S14" s="121">
        <f>'11a_A Znečisť. l.(voz.)NOV200'!S12</f>
        <v>0</v>
      </c>
      <c r="T14" s="121">
        <f>'11a_A Znečisť. l.(voz.)NOV200'!T12</f>
        <v>0</v>
      </c>
      <c r="U14" s="121">
        <f>'11a_A Znečisť. l.(voz.)NOV200'!U12</f>
        <v>0</v>
      </c>
      <c r="V14" s="121">
        <f>'11a_A Znečisť. l.(voz.)NOV200'!V12</f>
        <v>0</v>
      </c>
      <c r="W14" s="121">
        <f>'11a_A Znečisť. l.(voz.)NOV200'!W12</f>
        <v>0</v>
      </c>
      <c r="X14" s="121">
        <f>'11a_A Znečisť. l.(voz.)NOV200'!X12</f>
        <v>0</v>
      </c>
      <c r="Y14" s="121">
        <f>'11a_A Znečisť. l.(voz.)NOV200'!Y12</f>
        <v>0</v>
      </c>
      <c r="Z14" s="121">
        <f>'11a_A Znečisť. l.(voz.)NOV200'!Z12</f>
        <v>0</v>
      </c>
      <c r="AA14" s="121">
        <f>'11a_A Znečisť. l.(voz.)NOV200'!AA12</f>
        <v>0</v>
      </c>
      <c r="AB14" s="121">
        <f>'11a_A Znečisť. l.(voz.)NOV200'!AB12</f>
        <v>0</v>
      </c>
      <c r="AC14" s="121">
        <f>'11a_A Znečisť. l.(voz.)NOV200'!AC12</f>
        <v>0</v>
      </c>
      <c r="AD14" s="121">
        <f>'11a_A Znečisť. l.(voz.)NOV200'!AD12</f>
        <v>0</v>
      </c>
      <c r="AE14" s="121">
        <f>'11a_A Znečisť. l.(voz.)NOV200'!AE12</f>
        <v>0</v>
      </c>
      <c r="AF14" s="121">
        <f>'11a_A Znečisť. l.(voz.)NOV200'!AF12</f>
        <v>0</v>
      </c>
      <c r="AG14" s="121">
        <f>'11a_A Znečisť. l.(voz.)NOV200'!AG12</f>
        <v>0</v>
      </c>
      <c r="AH14" s="121">
        <f>'11a_A Znečisť. l.(voz.)NOV200'!AH12</f>
        <v>0</v>
      </c>
      <c r="AI14" s="121">
        <f>'11a_A Znečisť. l.(voz.)NOV200'!AI12</f>
        <v>0</v>
      </c>
      <c r="AJ14" s="121">
        <f>'11a_A Znečisť. l.(voz.)NOV200'!AJ12</f>
        <v>0</v>
      </c>
      <c r="AK14" s="121">
        <f>'11a_A Znečisť. l.(voz.)NOV200'!AK12</f>
        <v>0</v>
      </c>
      <c r="AL14" s="121">
        <f>'11a_A Znečisť. l.(voz.)NOV200'!AL12</f>
        <v>0</v>
      </c>
      <c r="AM14" s="121">
        <f>'11a_A Znečisť. l.(voz.)NOV200'!AM12</f>
        <v>0</v>
      </c>
      <c r="AN14" s="121">
        <f>'11a_A Znečisť. l.(voz.)NOV200'!AN12</f>
        <v>0</v>
      </c>
    </row>
    <row r="15" spans="2:40" x14ac:dyDescent="0.2">
      <c r="B15" s="32" t="s">
        <v>9</v>
      </c>
      <c r="C15" s="122">
        <f t="shared" si="46"/>
        <v>0</v>
      </c>
      <c r="D15" s="122">
        <f t="shared" ref="D15:AG15" si="47">SUM(D13:D14)</f>
        <v>0</v>
      </c>
      <c r="E15" s="122">
        <f t="shared" si="47"/>
        <v>0</v>
      </c>
      <c r="F15" s="122">
        <f t="shared" si="47"/>
        <v>0</v>
      </c>
      <c r="G15" s="122">
        <f t="shared" si="47"/>
        <v>0</v>
      </c>
      <c r="H15" s="122">
        <f t="shared" si="47"/>
        <v>0</v>
      </c>
      <c r="I15" s="122">
        <f t="shared" si="47"/>
        <v>0</v>
      </c>
      <c r="J15" s="122">
        <f t="shared" si="47"/>
        <v>0</v>
      </c>
      <c r="K15" s="122">
        <f t="shared" si="47"/>
        <v>0</v>
      </c>
      <c r="L15" s="122">
        <f t="shared" si="47"/>
        <v>0</v>
      </c>
      <c r="M15" s="122">
        <f t="shared" si="47"/>
        <v>0</v>
      </c>
      <c r="N15" s="122">
        <f t="shared" si="47"/>
        <v>0</v>
      </c>
      <c r="O15" s="122">
        <f t="shared" si="47"/>
        <v>0</v>
      </c>
      <c r="P15" s="122">
        <f t="shared" si="47"/>
        <v>0</v>
      </c>
      <c r="Q15" s="122">
        <f t="shared" si="47"/>
        <v>0</v>
      </c>
      <c r="R15" s="122">
        <f t="shared" si="47"/>
        <v>0</v>
      </c>
      <c r="S15" s="122">
        <f t="shared" si="47"/>
        <v>0</v>
      </c>
      <c r="T15" s="122">
        <f t="shared" si="47"/>
        <v>0</v>
      </c>
      <c r="U15" s="122">
        <f t="shared" si="47"/>
        <v>0</v>
      </c>
      <c r="V15" s="122">
        <f t="shared" si="47"/>
        <v>0</v>
      </c>
      <c r="W15" s="122">
        <f t="shared" si="47"/>
        <v>0</v>
      </c>
      <c r="X15" s="122">
        <f t="shared" si="47"/>
        <v>0</v>
      </c>
      <c r="Y15" s="122">
        <f t="shared" si="47"/>
        <v>0</v>
      </c>
      <c r="Z15" s="122">
        <f t="shared" si="47"/>
        <v>0</v>
      </c>
      <c r="AA15" s="122">
        <f t="shared" si="47"/>
        <v>0</v>
      </c>
      <c r="AB15" s="122">
        <f t="shared" si="47"/>
        <v>0</v>
      </c>
      <c r="AC15" s="122">
        <f t="shared" si="47"/>
        <v>0</v>
      </c>
      <c r="AD15" s="122">
        <f t="shared" si="47"/>
        <v>0</v>
      </c>
      <c r="AE15" s="122">
        <f t="shared" si="47"/>
        <v>0</v>
      </c>
      <c r="AF15" s="122">
        <f t="shared" si="47"/>
        <v>0</v>
      </c>
      <c r="AG15" s="122">
        <f t="shared" si="47"/>
        <v>0</v>
      </c>
      <c r="AH15" s="122">
        <f t="shared" ref="AH15:AN15" si="48">SUM(AH13:AH14)</f>
        <v>0</v>
      </c>
      <c r="AI15" s="122">
        <f t="shared" si="48"/>
        <v>0</v>
      </c>
      <c r="AJ15" s="122">
        <f t="shared" si="48"/>
        <v>0</v>
      </c>
      <c r="AK15" s="122">
        <f t="shared" si="48"/>
        <v>0</v>
      </c>
      <c r="AL15" s="122">
        <f t="shared" si="48"/>
        <v>0</v>
      </c>
      <c r="AM15" s="122">
        <f t="shared" si="48"/>
        <v>0</v>
      </c>
      <c r="AN15" s="122">
        <f t="shared" si="48"/>
        <v>0</v>
      </c>
    </row>
    <row r="18" spans="2:40" x14ac:dyDescent="0.2">
      <c r="B18" s="31"/>
      <c r="C18" s="31"/>
      <c r="D18" s="31" t="s">
        <v>10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</row>
    <row r="19" spans="2:40" x14ac:dyDescent="0.2">
      <c r="B19" s="32" t="s">
        <v>444</v>
      </c>
      <c r="C19" s="32"/>
      <c r="D19" s="33">
        <v>1</v>
      </c>
      <c r="E19" s="33">
        <v>2</v>
      </c>
      <c r="F19" s="33">
        <v>3</v>
      </c>
      <c r="G19" s="33">
        <v>4</v>
      </c>
      <c r="H19" s="33">
        <v>5</v>
      </c>
      <c r="I19" s="33">
        <v>6</v>
      </c>
      <c r="J19" s="33">
        <v>7</v>
      </c>
      <c r="K19" s="33">
        <v>8</v>
      </c>
      <c r="L19" s="33">
        <v>9</v>
      </c>
      <c r="M19" s="33">
        <v>10</v>
      </c>
      <c r="N19" s="33">
        <v>11</v>
      </c>
      <c r="O19" s="33">
        <v>12</v>
      </c>
      <c r="P19" s="33">
        <v>13</v>
      </c>
      <c r="Q19" s="33">
        <v>14</v>
      </c>
      <c r="R19" s="33">
        <v>15</v>
      </c>
      <c r="S19" s="33">
        <v>16</v>
      </c>
      <c r="T19" s="33">
        <v>17</v>
      </c>
      <c r="U19" s="33">
        <v>18</v>
      </c>
      <c r="V19" s="33">
        <v>19</v>
      </c>
      <c r="W19" s="33">
        <v>20</v>
      </c>
      <c r="X19" s="33">
        <v>21</v>
      </c>
      <c r="Y19" s="33">
        <v>22</v>
      </c>
      <c r="Z19" s="33">
        <v>23</v>
      </c>
      <c r="AA19" s="33">
        <v>24</v>
      </c>
      <c r="AB19" s="33">
        <v>25</v>
      </c>
      <c r="AC19" s="33">
        <v>26</v>
      </c>
      <c r="AD19" s="33">
        <v>27</v>
      </c>
      <c r="AE19" s="33">
        <v>28</v>
      </c>
      <c r="AF19" s="33">
        <v>29</v>
      </c>
      <c r="AG19" s="33">
        <v>30</v>
      </c>
      <c r="AH19" s="33">
        <v>31</v>
      </c>
      <c r="AI19" s="33">
        <v>32</v>
      </c>
      <c r="AJ19" s="33">
        <v>33</v>
      </c>
      <c r="AK19" s="33">
        <v>34</v>
      </c>
      <c r="AL19" s="33">
        <v>35</v>
      </c>
      <c r="AM19" s="33">
        <v>36</v>
      </c>
      <c r="AN19" s="33">
        <v>37</v>
      </c>
    </row>
    <row r="20" spans="2:40" x14ac:dyDescent="0.2">
      <c r="B20" s="34" t="s">
        <v>63</v>
      </c>
      <c r="C20" s="268" t="s">
        <v>9</v>
      </c>
      <c r="D20" s="35">
        <f>D12</f>
        <v>2026</v>
      </c>
      <c r="E20" s="35">
        <f>D20+$D$3</f>
        <v>2027</v>
      </c>
      <c r="F20" s="35">
        <f t="shared" ref="F20" si="49">E20+$D$3</f>
        <v>2028</v>
      </c>
      <c r="G20" s="35">
        <f t="shared" ref="G20" si="50">F20+$D$3</f>
        <v>2029</v>
      </c>
      <c r="H20" s="35">
        <f t="shared" ref="H20" si="51">G20+$D$3</f>
        <v>2030</v>
      </c>
      <c r="I20" s="35">
        <f t="shared" ref="I20" si="52">H20+$D$3</f>
        <v>2031</v>
      </c>
      <c r="J20" s="35">
        <f t="shared" ref="J20" si="53">I20+$D$3</f>
        <v>2032</v>
      </c>
      <c r="K20" s="35">
        <f t="shared" ref="K20" si="54">J20+$D$3</f>
        <v>2033</v>
      </c>
      <c r="L20" s="35">
        <f t="shared" ref="L20" si="55">K20+$D$3</f>
        <v>2034</v>
      </c>
      <c r="M20" s="35">
        <f t="shared" ref="M20" si="56">L20+$D$3</f>
        <v>2035</v>
      </c>
      <c r="N20" s="35">
        <f t="shared" ref="N20" si="57">M20+$D$3</f>
        <v>2036</v>
      </c>
      <c r="O20" s="35">
        <f t="shared" ref="O20" si="58">N20+$D$3</f>
        <v>2037</v>
      </c>
      <c r="P20" s="35">
        <f t="shared" ref="P20" si="59">O20+$D$3</f>
        <v>2038</v>
      </c>
      <c r="Q20" s="35">
        <f t="shared" ref="Q20" si="60">P20+$D$3</f>
        <v>2039</v>
      </c>
      <c r="R20" s="35">
        <f t="shared" ref="R20" si="61">Q20+$D$3</f>
        <v>2040</v>
      </c>
      <c r="S20" s="35">
        <f t="shared" ref="S20" si="62">R20+$D$3</f>
        <v>2041</v>
      </c>
      <c r="T20" s="35">
        <f t="shared" ref="T20" si="63">S20+$D$3</f>
        <v>2042</v>
      </c>
      <c r="U20" s="35">
        <f t="shared" ref="U20" si="64">T20+$D$3</f>
        <v>2043</v>
      </c>
      <c r="V20" s="35">
        <f t="shared" ref="V20" si="65">U20+$D$3</f>
        <v>2044</v>
      </c>
      <c r="W20" s="35">
        <f t="shared" ref="W20" si="66">V20+$D$3</f>
        <v>2045</v>
      </c>
      <c r="X20" s="35">
        <f t="shared" ref="X20" si="67">W20+$D$3</f>
        <v>2046</v>
      </c>
      <c r="Y20" s="35">
        <f t="shared" ref="Y20" si="68">X20+$D$3</f>
        <v>2047</v>
      </c>
      <c r="Z20" s="35">
        <f t="shared" ref="Z20" si="69">Y20+$D$3</f>
        <v>2048</v>
      </c>
      <c r="AA20" s="35">
        <f t="shared" ref="AA20" si="70">Z20+$D$3</f>
        <v>2049</v>
      </c>
      <c r="AB20" s="35">
        <f t="shared" ref="AB20" si="71">AA20+$D$3</f>
        <v>2050</v>
      </c>
      <c r="AC20" s="35">
        <f t="shared" ref="AC20" si="72">AB20+$D$3</f>
        <v>2051</v>
      </c>
      <c r="AD20" s="35">
        <f t="shared" ref="AD20" si="73">AC20+$D$3</f>
        <v>2052</v>
      </c>
      <c r="AE20" s="35">
        <f t="shared" ref="AE20" si="74">AD20+$D$3</f>
        <v>2053</v>
      </c>
      <c r="AF20" s="35">
        <f t="shared" ref="AF20" si="75">AE20+$D$3</f>
        <v>2054</v>
      </c>
      <c r="AG20" s="35">
        <f t="shared" ref="AG20" si="76">AF20+$D$3</f>
        <v>2055</v>
      </c>
      <c r="AH20" s="35">
        <f t="shared" ref="AH20" si="77">AG20+$D$3</f>
        <v>2056</v>
      </c>
      <c r="AI20" s="35">
        <f t="shared" ref="AI20" si="78">AH20+$D$3</f>
        <v>2057</v>
      </c>
      <c r="AJ20" s="35">
        <f t="shared" ref="AJ20" si="79">AI20+$D$3</f>
        <v>2058</v>
      </c>
      <c r="AK20" s="35">
        <f t="shared" ref="AK20" si="80">AJ20+$D$3</f>
        <v>2059</v>
      </c>
      <c r="AL20" s="35">
        <f t="shared" ref="AL20" si="81">AK20+$D$3</f>
        <v>2060</v>
      </c>
      <c r="AM20" s="35">
        <f t="shared" ref="AM20" si="82">AL20+$D$3</f>
        <v>2061</v>
      </c>
      <c r="AN20" s="35">
        <f t="shared" ref="AN20" si="83">AM20+$D$3</f>
        <v>2062</v>
      </c>
    </row>
    <row r="21" spans="2:40" x14ac:dyDescent="0.2">
      <c r="B21" s="759" t="s">
        <v>285</v>
      </c>
      <c r="C21" s="37">
        <f t="shared" ref="C21:C23" si="84">SUM(D21:AQ21)</f>
        <v>0</v>
      </c>
      <c r="D21" s="37">
        <f t="shared" ref="D21:AG21" si="85">D5-D13</f>
        <v>0</v>
      </c>
      <c r="E21" s="37">
        <f t="shared" si="85"/>
        <v>0</v>
      </c>
      <c r="F21" s="37">
        <f t="shared" si="85"/>
        <v>0</v>
      </c>
      <c r="G21" s="37">
        <f t="shared" si="85"/>
        <v>0</v>
      </c>
      <c r="H21" s="37">
        <f t="shared" si="85"/>
        <v>0</v>
      </c>
      <c r="I21" s="37">
        <f t="shared" si="85"/>
        <v>0</v>
      </c>
      <c r="J21" s="37">
        <f t="shared" si="85"/>
        <v>0</v>
      </c>
      <c r="K21" s="37">
        <f t="shared" si="85"/>
        <v>0</v>
      </c>
      <c r="L21" s="37">
        <f t="shared" si="85"/>
        <v>0</v>
      </c>
      <c r="M21" s="37">
        <f t="shared" si="85"/>
        <v>0</v>
      </c>
      <c r="N21" s="37">
        <f t="shared" si="85"/>
        <v>0</v>
      </c>
      <c r="O21" s="37">
        <f t="shared" si="85"/>
        <v>0</v>
      </c>
      <c r="P21" s="37">
        <f t="shared" si="85"/>
        <v>0</v>
      </c>
      <c r="Q21" s="37">
        <f t="shared" si="85"/>
        <v>0</v>
      </c>
      <c r="R21" s="37">
        <f t="shared" si="85"/>
        <v>0</v>
      </c>
      <c r="S21" s="37">
        <f t="shared" si="85"/>
        <v>0</v>
      </c>
      <c r="T21" s="37">
        <f t="shared" si="85"/>
        <v>0</v>
      </c>
      <c r="U21" s="37">
        <f t="shared" si="85"/>
        <v>0</v>
      </c>
      <c r="V21" s="37">
        <f t="shared" si="85"/>
        <v>0</v>
      </c>
      <c r="W21" s="37">
        <f t="shared" si="85"/>
        <v>0</v>
      </c>
      <c r="X21" s="37">
        <f t="shared" si="85"/>
        <v>0</v>
      </c>
      <c r="Y21" s="37">
        <f t="shared" si="85"/>
        <v>0</v>
      </c>
      <c r="Z21" s="37">
        <f t="shared" si="85"/>
        <v>0</v>
      </c>
      <c r="AA21" s="37">
        <f t="shared" si="85"/>
        <v>0</v>
      </c>
      <c r="AB21" s="37">
        <f t="shared" si="85"/>
        <v>0</v>
      </c>
      <c r="AC21" s="37">
        <f t="shared" si="85"/>
        <v>0</v>
      </c>
      <c r="AD21" s="37">
        <f t="shared" si="85"/>
        <v>0</v>
      </c>
      <c r="AE21" s="37">
        <f t="shared" si="85"/>
        <v>0</v>
      </c>
      <c r="AF21" s="37">
        <f t="shared" si="85"/>
        <v>0</v>
      </c>
      <c r="AG21" s="37">
        <f t="shared" si="85"/>
        <v>0</v>
      </c>
      <c r="AH21" s="37">
        <f t="shared" ref="AH21:AN21" si="86">AH5-AH13</f>
        <v>0</v>
      </c>
      <c r="AI21" s="37">
        <f t="shared" si="86"/>
        <v>0</v>
      </c>
      <c r="AJ21" s="37">
        <f t="shared" si="86"/>
        <v>0</v>
      </c>
      <c r="AK21" s="37">
        <f t="shared" si="86"/>
        <v>0</v>
      </c>
      <c r="AL21" s="37">
        <f t="shared" si="86"/>
        <v>0</v>
      </c>
      <c r="AM21" s="37">
        <f t="shared" si="86"/>
        <v>0</v>
      </c>
      <c r="AN21" s="37">
        <f t="shared" si="86"/>
        <v>0</v>
      </c>
    </row>
    <row r="22" spans="2:40" x14ac:dyDescent="0.2">
      <c r="B22" s="759" t="s">
        <v>284</v>
      </c>
      <c r="C22" s="37">
        <f t="shared" si="84"/>
        <v>0</v>
      </c>
      <c r="D22" s="37">
        <f t="shared" ref="D22:AG22" si="87">D6-D14</f>
        <v>0</v>
      </c>
      <c r="E22" s="37">
        <f t="shared" si="87"/>
        <v>0</v>
      </c>
      <c r="F22" s="37">
        <f t="shared" si="87"/>
        <v>0</v>
      </c>
      <c r="G22" s="37">
        <f t="shared" si="87"/>
        <v>0</v>
      </c>
      <c r="H22" s="37">
        <f t="shared" si="87"/>
        <v>0</v>
      </c>
      <c r="I22" s="37">
        <f t="shared" si="87"/>
        <v>0</v>
      </c>
      <c r="J22" s="37">
        <f t="shared" si="87"/>
        <v>0</v>
      </c>
      <c r="K22" s="37">
        <f t="shared" si="87"/>
        <v>0</v>
      </c>
      <c r="L22" s="37">
        <f t="shared" si="87"/>
        <v>0</v>
      </c>
      <c r="M22" s="37">
        <f t="shared" si="87"/>
        <v>0</v>
      </c>
      <c r="N22" s="37">
        <f t="shared" si="87"/>
        <v>0</v>
      </c>
      <c r="O22" s="37">
        <f t="shared" si="87"/>
        <v>0</v>
      </c>
      <c r="P22" s="37">
        <f t="shared" si="87"/>
        <v>0</v>
      </c>
      <c r="Q22" s="37">
        <f t="shared" si="87"/>
        <v>0</v>
      </c>
      <c r="R22" s="37">
        <f t="shared" si="87"/>
        <v>0</v>
      </c>
      <c r="S22" s="37">
        <f t="shared" si="87"/>
        <v>0</v>
      </c>
      <c r="T22" s="37">
        <f t="shared" si="87"/>
        <v>0</v>
      </c>
      <c r="U22" s="37">
        <f t="shared" si="87"/>
        <v>0</v>
      </c>
      <c r="V22" s="37">
        <f t="shared" si="87"/>
        <v>0</v>
      </c>
      <c r="W22" s="37">
        <f t="shared" si="87"/>
        <v>0</v>
      </c>
      <c r="X22" s="37">
        <f t="shared" si="87"/>
        <v>0</v>
      </c>
      <c r="Y22" s="37">
        <f t="shared" si="87"/>
        <v>0</v>
      </c>
      <c r="Z22" s="37">
        <f t="shared" si="87"/>
        <v>0</v>
      </c>
      <c r="AA22" s="37">
        <f t="shared" si="87"/>
        <v>0</v>
      </c>
      <c r="AB22" s="37">
        <f t="shared" si="87"/>
        <v>0</v>
      </c>
      <c r="AC22" s="37">
        <f t="shared" si="87"/>
        <v>0</v>
      </c>
      <c r="AD22" s="37">
        <f t="shared" si="87"/>
        <v>0</v>
      </c>
      <c r="AE22" s="37">
        <f t="shared" si="87"/>
        <v>0</v>
      </c>
      <c r="AF22" s="37">
        <f t="shared" si="87"/>
        <v>0</v>
      </c>
      <c r="AG22" s="37">
        <f t="shared" si="87"/>
        <v>0</v>
      </c>
      <c r="AH22" s="37">
        <f t="shared" ref="AH22:AN22" si="88">AH6-AH14</f>
        <v>0</v>
      </c>
      <c r="AI22" s="37">
        <f t="shared" si="88"/>
        <v>0</v>
      </c>
      <c r="AJ22" s="37">
        <f t="shared" si="88"/>
        <v>0</v>
      </c>
      <c r="AK22" s="37">
        <f t="shared" si="88"/>
        <v>0</v>
      </c>
      <c r="AL22" s="37">
        <f t="shared" si="88"/>
        <v>0</v>
      </c>
      <c r="AM22" s="37">
        <f t="shared" si="88"/>
        <v>0</v>
      </c>
      <c r="AN22" s="37">
        <f t="shared" si="88"/>
        <v>0</v>
      </c>
    </row>
    <row r="23" spans="2:40" x14ac:dyDescent="0.2">
      <c r="B23" s="32" t="s">
        <v>9</v>
      </c>
      <c r="C23" s="122">
        <f t="shared" si="84"/>
        <v>0</v>
      </c>
      <c r="D23" s="122">
        <f t="shared" ref="D23:AG23" si="89">SUM(D21:D22)</f>
        <v>0</v>
      </c>
      <c r="E23" s="122">
        <f t="shared" si="89"/>
        <v>0</v>
      </c>
      <c r="F23" s="122">
        <f t="shared" si="89"/>
        <v>0</v>
      </c>
      <c r="G23" s="122">
        <f t="shared" si="89"/>
        <v>0</v>
      </c>
      <c r="H23" s="122">
        <f t="shared" si="89"/>
        <v>0</v>
      </c>
      <c r="I23" s="122">
        <f t="shared" si="89"/>
        <v>0</v>
      </c>
      <c r="J23" s="122">
        <f t="shared" si="89"/>
        <v>0</v>
      </c>
      <c r="K23" s="122">
        <f t="shared" si="89"/>
        <v>0</v>
      </c>
      <c r="L23" s="122">
        <f t="shared" si="89"/>
        <v>0</v>
      </c>
      <c r="M23" s="122">
        <f t="shared" si="89"/>
        <v>0</v>
      </c>
      <c r="N23" s="122">
        <f t="shared" si="89"/>
        <v>0</v>
      </c>
      <c r="O23" s="122">
        <f t="shared" si="89"/>
        <v>0</v>
      </c>
      <c r="P23" s="122">
        <f t="shared" si="89"/>
        <v>0</v>
      </c>
      <c r="Q23" s="122">
        <f t="shared" si="89"/>
        <v>0</v>
      </c>
      <c r="R23" s="122">
        <f t="shared" si="89"/>
        <v>0</v>
      </c>
      <c r="S23" s="122">
        <f t="shared" si="89"/>
        <v>0</v>
      </c>
      <c r="T23" s="122">
        <f t="shared" si="89"/>
        <v>0</v>
      </c>
      <c r="U23" s="122">
        <f t="shared" si="89"/>
        <v>0</v>
      </c>
      <c r="V23" s="122">
        <f t="shared" si="89"/>
        <v>0</v>
      </c>
      <c r="W23" s="122">
        <f t="shared" si="89"/>
        <v>0</v>
      </c>
      <c r="X23" s="122">
        <f t="shared" si="89"/>
        <v>0</v>
      </c>
      <c r="Y23" s="122">
        <f t="shared" si="89"/>
        <v>0</v>
      </c>
      <c r="Z23" s="122">
        <f t="shared" si="89"/>
        <v>0</v>
      </c>
      <c r="AA23" s="122">
        <f t="shared" si="89"/>
        <v>0</v>
      </c>
      <c r="AB23" s="122">
        <f t="shared" si="89"/>
        <v>0</v>
      </c>
      <c r="AC23" s="122">
        <f t="shared" si="89"/>
        <v>0</v>
      </c>
      <c r="AD23" s="122">
        <f t="shared" si="89"/>
        <v>0</v>
      </c>
      <c r="AE23" s="122">
        <f t="shared" si="89"/>
        <v>0</v>
      </c>
      <c r="AF23" s="122">
        <f t="shared" si="89"/>
        <v>0</v>
      </c>
      <c r="AG23" s="122">
        <f t="shared" si="89"/>
        <v>0</v>
      </c>
      <c r="AH23" s="122">
        <f t="shared" ref="AH23:AN23" si="90">SUM(AH21:AH22)</f>
        <v>0</v>
      </c>
      <c r="AI23" s="122">
        <f t="shared" si="90"/>
        <v>0</v>
      </c>
      <c r="AJ23" s="122">
        <f t="shared" si="90"/>
        <v>0</v>
      </c>
      <c r="AK23" s="122">
        <f t="shared" si="90"/>
        <v>0</v>
      </c>
      <c r="AL23" s="122">
        <f t="shared" si="90"/>
        <v>0</v>
      </c>
      <c r="AM23" s="122">
        <f t="shared" si="90"/>
        <v>0</v>
      </c>
      <c r="AN23" s="122">
        <f t="shared" si="90"/>
        <v>0</v>
      </c>
    </row>
    <row r="26" spans="2:40" x14ac:dyDescent="0.2">
      <c r="B26" s="31"/>
      <c r="C26" s="31"/>
      <c r="D26" s="31" t="s">
        <v>10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</row>
    <row r="27" spans="2:40" x14ac:dyDescent="0.2">
      <c r="B27" s="32" t="s">
        <v>445</v>
      </c>
      <c r="C27" s="32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33">
        <v>27</v>
      </c>
      <c r="AE27" s="33">
        <v>28</v>
      </c>
      <c r="AF27" s="33">
        <v>29</v>
      </c>
      <c r="AG27" s="33">
        <v>30</v>
      </c>
      <c r="AH27" s="33">
        <v>31</v>
      </c>
      <c r="AI27" s="33">
        <v>32</v>
      </c>
      <c r="AJ27" s="33">
        <v>33</v>
      </c>
      <c r="AK27" s="33">
        <v>34</v>
      </c>
      <c r="AL27" s="33">
        <v>35</v>
      </c>
      <c r="AM27" s="33">
        <v>36</v>
      </c>
      <c r="AN27" s="33">
        <v>37</v>
      </c>
    </row>
    <row r="28" spans="2:40" x14ac:dyDescent="0.2">
      <c r="B28" s="34" t="s">
        <v>33</v>
      </c>
      <c r="C28" s="268" t="s">
        <v>9</v>
      </c>
      <c r="D28" s="35">
        <f>D4</f>
        <v>2026</v>
      </c>
      <c r="E28" s="35">
        <f>D28+$D$3</f>
        <v>2027</v>
      </c>
      <c r="F28" s="35">
        <f t="shared" ref="F28" si="91">E28+$D$3</f>
        <v>2028</v>
      </c>
      <c r="G28" s="35">
        <f t="shared" ref="G28" si="92">F28+$D$3</f>
        <v>2029</v>
      </c>
      <c r="H28" s="35">
        <f t="shared" ref="H28" si="93">G28+$D$3</f>
        <v>2030</v>
      </c>
      <c r="I28" s="35">
        <f t="shared" ref="I28" si="94">H28+$D$3</f>
        <v>2031</v>
      </c>
      <c r="J28" s="35">
        <f t="shared" ref="J28" si="95">I28+$D$3</f>
        <v>2032</v>
      </c>
      <c r="K28" s="35">
        <f t="shared" ref="K28" si="96">J28+$D$3</f>
        <v>2033</v>
      </c>
      <c r="L28" s="35">
        <f t="shared" ref="L28" si="97">K28+$D$3</f>
        <v>2034</v>
      </c>
      <c r="M28" s="35">
        <f t="shared" ref="M28" si="98">L28+$D$3</f>
        <v>2035</v>
      </c>
      <c r="N28" s="35">
        <f t="shared" ref="N28" si="99">M28+$D$3</f>
        <v>2036</v>
      </c>
      <c r="O28" s="35">
        <f t="shared" ref="O28" si="100">N28+$D$3</f>
        <v>2037</v>
      </c>
      <c r="P28" s="35">
        <f t="shared" ref="P28" si="101">O28+$D$3</f>
        <v>2038</v>
      </c>
      <c r="Q28" s="35">
        <f t="shared" ref="Q28" si="102">P28+$D$3</f>
        <v>2039</v>
      </c>
      <c r="R28" s="35">
        <f t="shared" ref="R28" si="103">Q28+$D$3</f>
        <v>2040</v>
      </c>
      <c r="S28" s="35">
        <f t="shared" ref="S28" si="104">R28+$D$3</f>
        <v>2041</v>
      </c>
      <c r="T28" s="35">
        <f t="shared" ref="T28" si="105">S28+$D$3</f>
        <v>2042</v>
      </c>
      <c r="U28" s="35">
        <f t="shared" ref="U28" si="106">T28+$D$3</f>
        <v>2043</v>
      </c>
      <c r="V28" s="35">
        <f t="shared" ref="V28" si="107">U28+$D$3</f>
        <v>2044</v>
      </c>
      <c r="W28" s="35">
        <f t="shared" ref="W28" si="108">V28+$D$3</f>
        <v>2045</v>
      </c>
      <c r="X28" s="35">
        <f t="shared" ref="X28" si="109">W28+$D$3</f>
        <v>2046</v>
      </c>
      <c r="Y28" s="35">
        <f t="shared" ref="Y28" si="110">X28+$D$3</f>
        <v>2047</v>
      </c>
      <c r="Z28" s="35">
        <f t="shared" ref="Z28" si="111">Y28+$D$3</f>
        <v>2048</v>
      </c>
      <c r="AA28" s="35">
        <f t="shared" ref="AA28" si="112">Z28+$D$3</f>
        <v>2049</v>
      </c>
      <c r="AB28" s="35">
        <f t="shared" ref="AB28" si="113">AA28+$D$3</f>
        <v>2050</v>
      </c>
      <c r="AC28" s="35">
        <f t="shared" ref="AC28" si="114">AB28+$D$3</f>
        <v>2051</v>
      </c>
      <c r="AD28" s="35">
        <f t="shared" ref="AD28" si="115">AC28+$D$3</f>
        <v>2052</v>
      </c>
      <c r="AE28" s="35">
        <f t="shared" ref="AE28" si="116">AD28+$D$3</f>
        <v>2053</v>
      </c>
      <c r="AF28" s="35">
        <f t="shared" ref="AF28" si="117">AE28+$D$3</f>
        <v>2054</v>
      </c>
      <c r="AG28" s="35">
        <f t="shared" ref="AG28" si="118">AF28+$D$3</f>
        <v>2055</v>
      </c>
      <c r="AH28" s="35">
        <f t="shared" ref="AH28" si="119">AG28+$D$3</f>
        <v>2056</v>
      </c>
      <c r="AI28" s="35">
        <f t="shared" ref="AI28" si="120">AH28+$D$3</f>
        <v>2057</v>
      </c>
      <c r="AJ28" s="35">
        <f t="shared" ref="AJ28" si="121">AI28+$D$3</f>
        <v>2058</v>
      </c>
      <c r="AK28" s="35">
        <f t="shared" ref="AK28" si="122">AJ28+$D$3</f>
        <v>2059</v>
      </c>
      <c r="AL28" s="35">
        <f t="shared" ref="AL28" si="123">AK28+$D$3</f>
        <v>2060</v>
      </c>
      <c r="AM28" s="35">
        <f t="shared" ref="AM28" si="124">AL28+$D$3</f>
        <v>2061</v>
      </c>
      <c r="AN28" s="35">
        <f t="shared" ref="AN28" si="125">AM28+$D$3</f>
        <v>2062</v>
      </c>
    </row>
    <row r="29" spans="2:40" x14ac:dyDescent="0.2">
      <c r="B29" s="31" t="s">
        <v>405</v>
      </c>
      <c r="C29" s="37">
        <f t="shared" ref="C29:C36" si="126">SUM(D29:AQ29)</f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v>0</v>
      </c>
    </row>
    <row r="30" spans="2:40" x14ac:dyDescent="0.2">
      <c r="B30" s="31" t="s">
        <v>406</v>
      </c>
      <c r="C30" s="37">
        <f t="shared" si="126"/>
        <v>0</v>
      </c>
      <c r="D30" s="121">
        <f>'11a_A Znečisť. l.(voz.)NOV200'!D18</f>
        <v>0</v>
      </c>
      <c r="E30" s="121">
        <f>'11a_A Znečisť. l.(voz.)NOV200'!E18</f>
        <v>0</v>
      </c>
      <c r="F30" s="121">
        <f>'11a_A Znečisť. l.(voz.)NOV200'!F18</f>
        <v>0</v>
      </c>
      <c r="G30" s="121">
        <f>'11a_A Znečisť. l.(voz.)NOV200'!G18</f>
        <v>0</v>
      </c>
      <c r="H30" s="121">
        <f>'11a_A Znečisť. l.(voz.)NOV200'!H18</f>
        <v>0</v>
      </c>
      <c r="I30" s="121">
        <f>'11a_A Znečisť. l.(voz.)NOV200'!I18</f>
        <v>0</v>
      </c>
      <c r="J30" s="121">
        <f>'11a_A Znečisť. l.(voz.)NOV200'!J18</f>
        <v>0</v>
      </c>
      <c r="K30" s="121">
        <f>'11a_A Znečisť. l.(voz.)NOV200'!K18</f>
        <v>0</v>
      </c>
      <c r="L30" s="121">
        <f>'11a_A Znečisť. l.(voz.)NOV200'!L18</f>
        <v>0</v>
      </c>
      <c r="M30" s="121">
        <f>'11a_A Znečisť. l.(voz.)NOV200'!M18</f>
        <v>0</v>
      </c>
      <c r="N30" s="121">
        <f>'11a_A Znečisť. l.(voz.)NOV200'!N18</f>
        <v>0</v>
      </c>
      <c r="O30" s="121">
        <f>'11a_A Znečisť. l.(voz.)NOV200'!O18</f>
        <v>0</v>
      </c>
      <c r="P30" s="121">
        <f>'11a_A Znečisť. l.(voz.)NOV200'!P18</f>
        <v>0</v>
      </c>
      <c r="Q30" s="121">
        <f>'11a_A Znečisť. l.(voz.)NOV200'!Q18</f>
        <v>0</v>
      </c>
      <c r="R30" s="121">
        <f>'11a_A Znečisť. l.(voz.)NOV200'!R18</f>
        <v>0</v>
      </c>
      <c r="S30" s="121">
        <f>'11a_A Znečisť. l.(voz.)NOV200'!S18</f>
        <v>0</v>
      </c>
      <c r="T30" s="121">
        <f>'11a_A Znečisť. l.(voz.)NOV200'!T18</f>
        <v>0</v>
      </c>
      <c r="U30" s="121">
        <f>'11a_A Znečisť. l.(voz.)NOV200'!U18</f>
        <v>0</v>
      </c>
      <c r="V30" s="121">
        <f>'11a_A Znečisť. l.(voz.)NOV200'!V18</f>
        <v>0</v>
      </c>
      <c r="W30" s="121">
        <f>'11a_A Znečisť. l.(voz.)NOV200'!W18</f>
        <v>0</v>
      </c>
      <c r="X30" s="121">
        <f>'11a_A Znečisť. l.(voz.)NOV200'!X18</f>
        <v>0</v>
      </c>
      <c r="Y30" s="121">
        <f>'11a_A Znečisť. l.(voz.)NOV200'!Y18</f>
        <v>0</v>
      </c>
      <c r="Z30" s="121">
        <f>'11a_A Znečisť. l.(voz.)NOV200'!Z18</f>
        <v>0</v>
      </c>
      <c r="AA30" s="121">
        <f>'11a_A Znečisť. l.(voz.)NOV200'!AA18</f>
        <v>0</v>
      </c>
      <c r="AB30" s="121">
        <f>'11a_A Znečisť. l.(voz.)NOV200'!AB18</f>
        <v>0</v>
      </c>
      <c r="AC30" s="121">
        <f>'11a_A Znečisť. l.(voz.)NOV200'!AC18</f>
        <v>0</v>
      </c>
      <c r="AD30" s="121">
        <f>'11a_A Znečisť. l.(voz.)NOV200'!AD18</f>
        <v>0</v>
      </c>
      <c r="AE30" s="121">
        <f>'11a_A Znečisť. l.(voz.)NOV200'!AE18</f>
        <v>0</v>
      </c>
      <c r="AF30" s="121">
        <f>'11a_A Znečisť. l.(voz.)NOV200'!AF18</f>
        <v>0</v>
      </c>
      <c r="AG30" s="121">
        <f>'11a_A Znečisť. l.(voz.)NOV200'!AG18</f>
        <v>0</v>
      </c>
      <c r="AH30" s="121">
        <f>'11a_A Znečisť. l.(voz.)NOV200'!AH18</f>
        <v>0</v>
      </c>
      <c r="AI30" s="121">
        <f>'11a_A Znečisť. l.(voz.)NOV200'!AI18</f>
        <v>0</v>
      </c>
      <c r="AJ30" s="121">
        <f>'11a_A Znečisť. l.(voz.)NOV200'!AJ18</f>
        <v>0</v>
      </c>
      <c r="AK30" s="121">
        <f>'11a_A Znečisť. l.(voz.)NOV200'!AK18</f>
        <v>0</v>
      </c>
      <c r="AL30" s="121">
        <f>'11a_A Znečisť. l.(voz.)NOV200'!AL18</f>
        <v>0</v>
      </c>
      <c r="AM30" s="121">
        <f>'11a_A Znečisť. l.(voz.)NOV200'!AM18</f>
        <v>0</v>
      </c>
      <c r="AN30" s="121">
        <f>'11a_A Znečisť. l.(voz.)NOV200'!AN18</f>
        <v>0</v>
      </c>
    </row>
    <row r="31" spans="2:40" x14ac:dyDescent="0.2">
      <c r="B31" s="31" t="s">
        <v>407</v>
      </c>
      <c r="C31" s="37">
        <f t="shared" si="126"/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v>0</v>
      </c>
    </row>
    <row r="32" spans="2:40" x14ac:dyDescent="0.2">
      <c r="B32" s="31" t="s">
        <v>408</v>
      </c>
      <c r="C32" s="37">
        <f t="shared" si="126"/>
        <v>0</v>
      </c>
      <c r="D32" s="121">
        <f>'11a_A Znečisť. l.(voz.)NOV200'!D20</f>
        <v>0</v>
      </c>
      <c r="E32" s="121">
        <f>'11a_A Znečisť. l.(voz.)NOV200'!E20</f>
        <v>0</v>
      </c>
      <c r="F32" s="121">
        <f>'11a_A Znečisť. l.(voz.)NOV200'!F20</f>
        <v>0</v>
      </c>
      <c r="G32" s="121">
        <f>'11a_A Znečisť. l.(voz.)NOV200'!G20</f>
        <v>0</v>
      </c>
      <c r="H32" s="121">
        <f>'11a_A Znečisť. l.(voz.)NOV200'!H20</f>
        <v>0</v>
      </c>
      <c r="I32" s="121">
        <f>'11a_A Znečisť. l.(voz.)NOV200'!I20</f>
        <v>0</v>
      </c>
      <c r="J32" s="121">
        <f>'11a_A Znečisť. l.(voz.)NOV200'!J20</f>
        <v>0</v>
      </c>
      <c r="K32" s="121">
        <f>'11a_A Znečisť. l.(voz.)NOV200'!K20</f>
        <v>0</v>
      </c>
      <c r="L32" s="121">
        <f>'11a_A Znečisť. l.(voz.)NOV200'!L20</f>
        <v>0</v>
      </c>
      <c r="M32" s="121">
        <f>'11a_A Znečisť. l.(voz.)NOV200'!M20</f>
        <v>0</v>
      </c>
      <c r="N32" s="121">
        <f>'11a_A Znečisť. l.(voz.)NOV200'!N20</f>
        <v>0</v>
      </c>
      <c r="O32" s="121">
        <f>'11a_A Znečisť. l.(voz.)NOV200'!O20</f>
        <v>0</v>
      </c>
      <c r="P32" s="121">
        <f>'11a_A Znečisť. l.(voz.)NOV200'!P20</f>
        <v>0</v>
      </c>
      <c r="Q32" s="121">
        <f>'11a_A Znečisť. l.(voz.)NOV200'!Q20</f>
        <v>0</v>
      </c>
      <c r="R32" s="121">
        <f>'11a_A Znečisť. l.(voz.)NOV200'!R20</f>
        <v>0</v>
      </c>
      <c r="S32" s="121">
        <f>'11a_A Znečisť. l.(voz.)NOV200'!S20</f>
        <v>0</v>
      </c>
      <c r="T32" s="121">
        <f>'11a_A Znečisť. l.(voz.)NOV200'!T20</f>
        <v>0</v>
      </c>
      <c r="U32" s="121">
        <f>'11a_A Znečisť. l.(voz.)NOV200'!U20</f>
        <v>0</v>
      </c>
      <c r="V32" s="121">
        <f>'11a_A Znečisť. l.(voz.)NOV200'!V20</f>
        <v>0</v>
      </c>
      <c r="W32" s="121">
        <f>'11a_A Znečisť. l.(voz.)NOV200'!W20</f>
        <v>0</v>
      </c>
      <c r="X32" s="121">
        <f>'11a_A Znečisť. l.(voz.)NOV200'!X20</f>
        <v>0</v>
      </c>
      <c r="Y32" s="121">
        <f>'11a_A Znečisť. l.(voz.)NOV200'!Y20</f>
        <v>0</v>
      </c>
      <c r="Z32" s="121">
        <f>'11a_A Znečisť. l.(voz.)NOV200'!Z20</f>
        <v>0</v>
      </c>
      <c r="AA32" s="121">
        <f>'11a_A Znečisť. l.(voz.)NOV200'!AA20</f>
        <v>0</v>
      </c>
      <c r="AB32" s="121">
        <f>'11a_A Znečisť. l.(voz.)NOV200'!AB20</f>
        <v>0</v>
      </c>
      <c r="AC32" s="121">
        <f>'11a_A Znečisť. l.(voz.)NOV200'!AC20</f>
        <v>0</v>
      </c>
      <c r="AD32" s="121">
        <f>'11a_A Znečisť. l.(voz.)NOV200'!AD20</f>
        <v>0</v>
      </c>
      <c r="AE32" s="121">
        <f>'11a_A Znečisť. l.(voz.)NOV200'!AE20</f>
        <v>0</v>
      </c>
      <c r="AF32" s="121">
        <f>'11a_A Znečisť. l.(voz.)NOV200'!AF20</f>
        <v>0</v>
      </c>
      <c r="AG32" s="121">
        <f>'11a_A Znečisť. l.(voz.)NOV200'!AG20</f>
        <v>0</v>
      </c>
      <c r="AH32" s="121">
        <f>'11a_A Znečisť. l.(voz.)NOV200'!AH20</f>
        <v>0</v>
      </c>
      <c r="AI32" s="121">
        <f>'11a_A Znečisť. l.(voz.)NOV200'!AI20</f>
        <v>0</v>
      </c>
      <c r="AJ32" s="121">
        <f>'11a_A Znečisť. l.(voz.)NOV200'!AJ20</f>
        <v>0</v>
      </c>
      <c r="AK32" s="121">
        <f>'11a_A Znečisť. l.(voz.)NOV200'!AK20</f>
        <v>0</v>
      </c>
      <c r="AL32" s="121">
        <f>'11a_A Znečisť. l.(voz.)NOV200'!AL20</f>
        <v>0</v>
      </c>
      <c r="AM32" s="121">
        <f>'11a_A Znečisť. l.(voz.)NOV200'!AM20</f>
        <v>0</v>
      </c>
      <c r="AN32" s="121">
        <f>'11a_A Znečisť. l.(voz.)NOV200'!AN20</f>
        <v>0</v>
      </c>
    </row>
    <row r="33" spans="2:40" x14ac:dyDescent="0.2">
      <c r="B33" s="31" t="s">
        <v>136</v>
      </c>
      <c r="C33" s="37">
        <f t="shared" si="126"/>
        <v>0</v>
      </c>
      <c r="D33" s="121">
        <f>'11a_A Znečisť. l.(voz.)NOV200'!D22</f>
        <v>0</v>
      </c>
      <c r="E33" s="121">
        <f>'11a_A Znečisť. l.(voz.)NOV200'!E22</f>
        <v>0</v>
      </c>
      <c r="F33" s="121">
        <f>'11a_A Znečisť. l.(voz.)NOV200'!F22</f>
        <v>0</v>
      </c>
      <c r="G33" s="121">
        <f>'11a_A Znečisť. l.(voz.)NOV200'!G22</f>
        <v>0</v>
      </c>
      <c r="H33" s="121">
        <f>'11a_A Znečisť. l.(voz.)NOV200'!H22</f>
        <v>0</v>
      </c>
      <c r="I33" s="121">
        <f>'11a_A Znečisť. l.(voz.)NOV200'!I22</f>
        <v>0</v>
      </c>
      <c r="J33" s="121">
        <f>'11a_A Znečisť. l.(voz.)NOV200'!J22</f>
        <v>0</v>
      </c>
      <c r="K33" s="121">
        <f>'11a_A Znečisť. l.(voz.)NOV200'!K22</f>
        <v>0</v>
      </c>
      <c r="L33" s="121">
        <f>'11a_A Znečisť. l.(voz.)NOV200'!L22</f>
        <v>0</v>
      </c>
      <c r="M33" s="121">
        <f>'11a_A Znečisť. l.(voz.)NOV200'!M22</f>
        <v>0</v>
      </c>
      <c r="N33" s="121">
        <f>'11a_A Znečisť. l.(voz.)NOV200'!N22</f>
        <v>0</v>
      </c>
      <c r="O33" s="121">
        <f>'11a_A Znečisť. l.(voz.)NOV200'!O22</f>
        <v>0</v>
      </c>
      <c r="P33" s="121">
        <f>'11a_A Znečisť. l.(voz.)NOV200'!P22</f>
        <v>0</v>
      </c>
      <c r="Q33" s="121">
        <f>'11a_A Znečisť. l.(voz.)NOV200'!Q22</f>
        <v>0</v>
      </c>
      <c r="R33" s="121">
        <f>'11a_A Znečisť. l.(voz.)NOV200'!R22</f>
        <v>0</v>
      </c>
      <c r="S33" s="121">
        <f>'11a_A Znečisť. l.(voz.)NOV200'!S22</f>
        <v>0</v>
      </c>
      <c r="T33" s="121">
        <f>'11a_A Znečisť. l.(voz.)NOV200'!T22</f>
        <v>0</v>
      </c>
      <c r="U33" s="121">
        <f>'11a_A Znečisť. l.(voz.)NOV200'!U22</f>
        <v>0</v>
      </c>
      <c r="V33" s="121">
        <f>'11a_A Znečisť. l.(voz.)NOV200'!V22</f>
        <v>0</v>
      </c>
      <c r="W33" s="121">
        <f>'11a_A Znečisť. l.(voz.)NOV200'!W22</f>
        <v>0</v>
      </c>
      <c r="X33" s="121">
        <f>'11a_A Znečisť. l.(voz.)NOV200'!X22</f>
        <v>0</v>
      </c>
      <c r="Y33" s="121">
        <f>'11a_A Znečisť. l.(voz.)NOV200'!Y22</f>
        <v>0</v>
      </c>
      <c r="Z33" s="121">
        <f>'11a_A Znečisť. l.(voz.)NOV200'!Z22</f>
        <v>0</v>
      </c>
      <c r="AA33" s="121">
        <f>'11a_A Znečisť. l.(voz.)NOV200'!AA22</f>
        <v>0</v>
      </c>
      <c r="AB33" s="121">
        <f>'11a_A Znečisť. l.(voz.)NOV200'!AB22</f>
        <v>0</v>
      </c>
      <c r="AC33" s="121">
        <f>'11a_A Znečisť. l.(voz.)NOV200'!AC22</f>
        <v>0</v>
      </c>
      <c r="AD33" s="121">
        <f>'11a_A Znečisť. l.(voz.)NOV200'!AD22</f>
        <v>0</v>
      </c>
      <c r="AE33" s="121">
        <f>'11a_A Znečisť. l.(voz.)NOV200'!AE22</f>
        <v>0</v>
      </c>
      <c r="AF33" s="121">
        <f>'11a_A Znečisť. l.(voz.)NOV200'!AF22</f>
        <v>0</v>
      </c>
      <c r="AG33" s="121">
        <f>'11a_A Znečisť. l.(voz.)NOV200'!AG22</f>
        <v>0</v>
      </c>
      <c r="AH33" s="121">
        <f>'11a_A Znečisť. l.(voz.)NOV200'!AH22</f>
        <v>0</v>
      </c>
      <c r="AI33" s="121">
        <f>'11a_A Znečisť. l.(voz.)NOV200'!AI22</f>
        <v>0</v>
      </c>
      <c r="AJ33" s="121">
        <f>'11a_A Znečisť. l.(voz.)NOV200'!AJ22</f>
        <v>0</v>
      </c>
      <c r="AK33" s="121">
        <f>'11a_A Znečisť. l.(voz.)NOV200'!AK22</f>
        <v>0</v>
      </c>
      <c r="AL33" s="121">
        <f>'11a_A Znečisť. l.(voz.)NOV200'!AL22</f>
        <v>0</v>
      </c>
      <c r="AM33" s="121">
        <f>'11a_A Znečisť. l.(voz.)NOV200'!AM22</f>
        <v>0</v>
      </c>
      <c r="AN33" s="121">
        <f>'11a_A Znečisť. l.(voz.)NOV200'!AN22</f>
        <v>0</v>
      </c>
    </row>
    <row r="34" spans="2:40" ht="11.85" customHeight="1" x14ac:dyDescent="0.2">
      <c r="B34" s="31" t="s">
        <v>133</v>
      </c>
      <c r="C34" s="37">
        <f t="shared" si="126"/>
        <v>0</v>
      </c>
      <c r="D34" s="121">
        <f>'11a_A Znečisť. l.(voz.)NOV200'!D24</f>
        <v>0</v>
      </c>
      <c r="E34" s="121">
        <f>'11a_A Znečisť. l.(voz.)NOV200'!E24</f>
        <v>0</v>
      </c>
      <c r="F34" s="121">
        <f>'11a_A Znečisť. l.(voz.)NOV200'!F24</f>
        <v>0</v>
      </c>
      <c r="G34" s="121">
        <f>'11a_A Znečisť. l.(voz.)NOV200'!G24</f>
        <v>0</v>
      </c>
      <c r="H34" s="121">
        <f>'11a_A Znečisť. l.(voz.)NOV200'!H24</f>
        <v>0</v>
      </c>
      <c r="I34" s="121">
        <f>'11a_A Znečisť. l.(voz.)NOV200'!I24</f>
        <v>0</v>
      </c>
      <c r="J34" s="121">
        <f>'11a_A Znečisť. l.(voz.)NOV200'!J24</f>
        <v>0</v>
      </c>
      <c r="K34" s="121">
        <f>'11a_A Znečisť. l.(voz.)NOV200'!K24</f>
        <v>0</v>
      </c>
      <c r="L34" s="121">
        <f>'11a_A Znečisť. l.(voz.)NOV200'!L24</f>
        <v>0</v>
      </c>
      <c r="M34" s="121">
        <f>'11a_A Znečisť. l.(voz.)NOV200'!M24</f>
        <v>0</v>
      </c>
      <c r="N34" s="121">
        <f>'11a_A Znečisť. l.(voz.)NOV200'!N24</f>
        <v>0</v>
      </c>
      <c r="O34" s="121">
        <f>'11a_A Znečisť. l.(voz.)NOV200'!O24</f>
        <v>0</v>
      </c>
      <c r="P34" s="121">
        <f>'11a_A Znečisť. l.(voz.)NOV200'!P24</f>
        <v>0</v>
      </c>
      <c r="Q34" s="121">
        <f>'11a_A Znečisť. l.(voz.)NOV200'!Q24</f>
        <v>0</v>
      </c>
      <c r="R34" s="121">
        <f>'11a_A Znečisť. l.(voz.)NOV200'!R24</f>
        <v>0</v>
      </c>
      <c r="S34" s="121">
        <f>'11a_A Znečisť. l.(voz.)NOV200'!S24</f>
        <v>0</v>
      </c>
      <c r="T34" s="121">
        <f>'11a_A Znečisť. l.(voz.)NOV200'!T24</f>
        <v>0</v>
      </c>
      <c r="U34" s="121">
        <f>'11a_A Znečisť. l.(voz.)NOV200'!U24</f>
        <v>0</v>
      </c>
      <c r="V34" s="121">
        <f>'11a_A Znečisť. l.(voz.)NOV200'!V24</f>
        <v>0</v>
      </c>
      <c r="W34" s="121">
        <f>'11a_A Znečisť. l.(voz.)NOV200'!W24</f>
        <v>0</v>
      </c>
      <c r="X34" s="121">
        <f>'11a_A Znečisť. l.(voz.)NOV200'!X24</f>
        <v>0</v>
      </c>
      <c r="Y34" s="121">
        <f>'11a_A Znečisť. l.(voz.)NOV200'!Y24</f>
        <v>0</v>
      </c>
      <c r="Z34" s="121">
        <f>'11a_A Znečisť. l.(voz.)NOV200'!Z24</f>
        <v>0</v>
      </c>
      <c r="AA34" s="121">
        <f>'11a_A Znečisť. l.(voz.)NOV200'!AA24</f>
        <v>0</v>
      </c>
      <c r="AB34" s="121">
        <f>'11a_A Znečisť. l.(voz.)NOV200'!AB24</f>
        <v>0</v>
      </c>
      <c r="AC34" s="121">
        <f>'11a_A Znečisť. l.(voz.)NOV200'!AC24</f>
        <v>0</v>
      </c>
      <c r="AD34" s="121">
        <f>'11a_A Znečisť. l.(voz.)NOV200'!AD24</f>
        <v>0</v>
      </c>
      <c r="AE34" s="121">
        <f>'11a_A Znečisť. l.(voz.)NOV200'!AE24</f>
        <v>0</v>
      </c>
      <c r="AF34" s="121">
        <f>'11a_A Znečisť. l.(voz.)NOV200'!AF24</f>
        <v>0</v>
      </c>
      <c r="AG34" s="121">
        <f>'11a_A Znečisť. l.(voz.)NOV200'!AG24</f>
        <v>0</v>
      </c>
      <c r="AH34" s="121">
        <f>'11a_A Znečisť. l.(voz.)NOV200'!AH24</f>
        <v>0</v>
      </c>
      <c r="AI34" s="121">
        <f>'11a_A Znečisť. l.(voz.)NOV200'!AI24</f>
        <v>0</v>
      </c>
      <c r="AJ34" s="121">
        <f>'11a_A Znečisť. l.(voz.)NOV200'!AJ24</f>
        <v>0</v>
      </c>
      <c r="AK34" s="121">
        <f>'11a_A Znečisť. l.(voz.)NOV200'!AK24</f>
        <v>0</v>
      </c>
      <c r="AL34" s="121">
        <f>'11a_A Znečisť. l.(voz.)NOV200'!AL24</f>
        <v>0</v>
      </c>
      <c r="AM34" s="121">
        <f>'11a_A Znečisť. l.(voz.)NOV200'!AM24</f>
        <v>0</v>
      </c>
      <c r="AN34" s="121">
        <f>'11a_A Znečisť. l.(voz.)NOV200'!AN24</f>
        <v>0</v>
      </c>
    </row>
    <row r="35" spans="2:40" x14ac:dyDescent="0.2">
      <c r="B35" s="31" t="s">
        <v>137</v>
      </c>
      <c r="C35" s="37">
        <f t="shared" si="126"/>
        <v>0</v>
      </c>
      <c r="D35" s="121">
        <f>'11a_A Znečisť. l.(voz.)NOV200'!D26</f>
        <v>0</v>
      </c>
      <c r="E35" s="121">
        <f>'11a_A Znečisť. l.(voz.)NOV200'!E26</f>
        <v>0</v>
      </c>
      <c r="F35" s="121">
        <f>'11a_A Znečisť. l.(voz.)NOV200'!F26</f>
        <v>0</v>
      </c>
      <c r="G35" s="121">
        <f>'11a_A Znečisť. l.(voz.)NOV200'!G26</f>
        <v>0</v>
      </c>
      <c r="H35" s="121">
        <f>'11a_A Znečisť. l.(voz.)NOV200'!H26</f>
        <v>0</v>
      </c>
      <c r="I35" s="121">
        <f>'11a_A Znečisť. l.(voz.)NOV200'!I26</f>
        <v>0</v>
      </c>
      <c r="J35" s="121">
        <f>'11a_A Znečisť. l.(voz.)NOV200'!J26</f>
        <v>0</v>
      </c>
      <c r="K35" s="121">
        <f>'11a_A Znečisť. l.(voz.)NOV200'!K26</f>
        <v>0</v>
      </c>
      <c r="L35" s="121">
        <f>'11a_A Znečisť. l.(voz.)NOV200'!L26</f>
        <v>0</v>
      </c>
      <c r="M35" s="121">
        <f>'11a_A Znečisť. l.(voz.)NOV200'!M26</f>
        <v>0</v>
      </c>
      <c r="N35" s="121">
        <f>'11a_A Znečisť. l.(voz.)NOV200'!N26</f>
        <v>0</v>
      </c>
      <c r="O35" s="121">
        <f>'11a_A Znečisť. l.(voz.)NOV200'!O26</f>
        <v>0</v>
      </c>
      <c r="P35" s="121">
        <f>'11a_A Znečisť. l.(voz.)NOV200'!P26</f>
        <v>0</v>
      </c>
      <c r="Q35" s="121">
        <f>'11a_A Znečisť. l.(voz.)NOV200'!Q26</f>
        <v>0</v>
      </c>
      <c r="R35" s="121">
        <f>'11a_A Znečisť. l.(voz.)NOV200'!R26</f>
        <v>0</v>
      </c>
      <c r="S35" s="121">
        <f>'11a_A Znečisť. l.(voz.)NOV200'!S26</f>
        <v>0</v>
      </c>
      <c r="T35" s="121">
        <f>'11a_A Znečisť. l.(voz.)NOV200'!T26</f>
        <v>0</v>
      </c>
      <c r="U35" s="121">
        <f>'11a_A Znečisť. l.(voz.)NOV200'!U26</f>
        <v>0</v>
      </c>
      <c r="V35" s="121">
        <f>'11a_A Znečisť. l.(voz.)NOV200'!V26</f>
        <v>0</v>
      </c>
      <c r="W35" s="121">
        <f>'11a_A Znečisť. l.(voz.)NOV200'!W26</f>
        <v>0</v>
      </c>
      <c r="X35" s="121">
        <f>'11a_A Znečisť. l.(voz.)NOV200'!X26</f>
        <v>0</v>
      </c>
      <c r="Y35" s="121">
        <f>'11a_A Znečisť. l.(voz.)NOV200'!Y26</f>
        <v>0</v>
      </c>
      <c r="Z35" s="121">
        <f>'11a_A Znečisť. l.(voz.)NOV200'!Z26</f>
        <v>0</v>
      </c>
      <c r="AA35" s="121">
        <f>'11a_A Znečisť. l.(voz.)NOV200'!AA26</f>
        <v>0</v>
      </c>
      <c r="AB35" s="121">
        <f>'11a_A Znečisť. l.(voz.)NOV200'!AB26</f>
        <v>0</v>
      </c>
      <c r="AC35" s="121">
        <f>'11a_A Znečisť. l.(voz.)NOV200'!AC26</f>
        <v>0</v>
      </c>
      <c r="AD35" s="121">
        <f>'11a_A Znečisť. l.(voz.)NOV200'!AD26</f>
        <v>0</v>
      </c>
      <c r="AE35" s="121">
        <f>'11a_A Znečisť. l.(voz.)NOV200'!AE26</f>
        <v>0</v>
      </c>
      <c r="AF35" s="121">
        <f>'11a_A Znečisť. l.(voz.)NOV200'!AF26</f>
        <v>0</v>
      </c>
      <c r="AG35" s="121">
        <f>'11a_A Znečisť. l.(voz.)NOV200'!AG26</f>
        <v>0</v>
      </c>
      <c r="AH35" s="121">
        <f>'11a_A Znečisť. l.(voz.)NOV200'!AH26</f>
        <v>0</v>
      </c>
      <c r="AI35" s="121">
        <f>'11a_A Znečisť. l.(voz.)NOV200'!AI26</f>
        <v>0</v>
      </c>
      <c r="AJ35" s="121">
        <f>'11a_A Znečisť. l.(voz.)NOV200'!AJ26</f>
        <v>0</v>
      </c>
      <c r="AK35" s="121">
        <f>'11a_A Znečisť. l.(voz.)NOV200'!AK26</f>
        <v>0</v>
      </c>
      <c r="AL35" s="121">
        <f>'11a_A Znečisť. l.(voz.)NOV200'!AL26</f>
        <v>0</v>
      </c>
      <c r="AM35" s="121">
        <f>'11a_A Znečisť. l.(voz.)NOV200'!AM26</f>
        <v>0</v>
      </c>
      <c r="AN35" s="121">
        <f>'11a_A Znečisť. l.(voz.)NOV200'!AN26</f>
        <v>0</v>
      </c>
    </row>
    <row r="36" spans="2:40" x14ac:dyDescent="0.2">
      <c r="B36" s="32" t="s">
        <v>9</v>
      </c>
      <c r="C36" s="122">
        <f t="shared" si="126"/>
        <v>0</v>
      </c>
      <c r="D36" s="122">
        <f t="shared" ref="D36:AG36" si="127">SUM(D29:D35)</f>
        <v>0</v>
      </c>
      <c r="E36" s="122">
        <f t="shared" si="127"/>
        <v>0</v>
      </c>
      <c r="F36" s="122">
        <f t="shared" si="127"/>
        <v>0</v>
      </c>
      <c r="G36" s="122">
        <f t="shared" si="127"/>
        <v>0</v>
      </c>
      <c r="H36" s="122">
        <f t="shared" si="127"/>
        <v>0</v>
      </c>
      <c r="I36" s="122">
        <f t="shared" si="127"/>
        <v>0</v>
      </c>
      <c r="J36" s="122">
        <f t="shared" si="127"/>
        <v>0</v>
      </c>
      <c r="K36" s="122">
        <f t="shared" si="127"/>
        <v>0</v>
      </c>
      <c r="L36" s="122">
        <f t="shared" si="127"/>
        <v>0</v>
      </c>
      <c r="M36" s="122">
        <f t="shared" si="127"/>
        <v>0</v>
      </c>
      <c r="N36" s="122">
        <f t="shared" si="127"/>
        <v>0</v>
      </c>
      <c r="O36" s="122">
        <f t="shared" si="127"/>
        <v>0</v>
      </c>
      <c r="P36" s="122">
        <f t="shared" si="127"/>
        <v>0</v>
      </c>
      <c r="Q36" s="122">
        <f t="shared" si="127"/>
        <v>0</v>
      </c>
      <c r="R36" s="122">
        <f t="shared" si="127"/>
        <v>0</v>
      </c>
      <c r="S36" s="122">
        <f t="shared" si="127"/>
        <v>0</v>
      </c>
      <c r="T36" s="122">
        <f t="shared" si="127"/>
        <v>0</v>
      </c>
      <c r="U36" s="122">
        <f t="shared" si="127"/>
        <v>0</v>
      </c>
      <c r="V36" s="122">
        <f t="shared" si="127"/>
        <v>0</v>
      </c>
      <c r="W36" s="122">
        <f t="shared" si="127"/>
        <v>0</v>
      </c>
      <c r="X36" s="122">
        <f t="shared" si="127"/>
        <v>0</v>
      </c>
      <c r="Y36" s="122">
        <f t="shared" si="127"/>
        <v>0</v>
      </c>
      <c r="Z36" s="122">
        <f t="shared" si="127"/>
        <v>0</v>
      </c>
      <c r="AA36" s="122">
        <f t="shared" si="127"/>
        <v>0</v>
      </c>
      <c r="AB36" s="122">
        <f t="shared" si="127"/>
        <v>0</v>
      </c>
      <c r="AC36" s="122">
        <f t="shared" si="127"/>
        <v>0</v>
      </c>
      <c r="AD36" s="122">
        <f t="shared" si="127"/>
        <v>0</v>
      </c>
      <c r="AE36" s="122">
        <f t="shared" si="127"/>
        <v>0</v>
      </c>
      <c r="AF36" s="122">
        <f t="shared" si="127"/>
        <v>0</v>
      </c>
      <c r="AG36" s="122">
        <f t="shared" si="127"/>
        <v>0</v>
      </c>
      <c r="AH36" s="122">
        <f t="shared" ref="AH36:AN36" si="128">SUM(AH29:AH35)</f>
        <v>0</v>
      </c>
      <c r="AI36" s="122">
        <f t="shared" si="128"/>
        <v>0</v>
      </c>
      <c r="AJ36" s="122">
        <f t="shared" si="128"/>
        <v>0</v>
      </c>
      <c r="AK36" s="122">
        <f t="shared" si="128"/>
        <v>0</v>
      </c>
      <c r="AL36" s="122">
        <f t="shared" si="128"/>
        <v>0</v>
      </c>
      <c r="AM36" s="122">
        <f t="shared" si="128"/>
        <v>0</v>
      </c>
      <c r="AN36" s="122">
        <f t="shared" si="128"/>
        <v>0</v>
      </c>
    </row>
    <row r="39" spans="2:40" x14ac:dyDescent="0.2">
      <c r="B39" s="31"/>
      <c r="C39" s="31"/>
      <c r="D39" s="31" t="s">
        <v>10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2:40" x14ac:dyDescent="0.2">
      <c r="B40" s="32" t="s">
        <v>446</v>
      </c>
      <c r="C40" s="32"/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  <c r="J40" s="33">
        <v>7</v>
      </c>
      <c r="K40" s="33">
        <v>8</v>
      </c>
      <c r="L40" s="33">
        <v>9</v>
      </c>
      <c r="M40" s="33">
        <v>10</v>
      </c>
      <c r="N40" s="33">
        <v>11</v>
      </c>
      <c r="O40" s="33">
        <v>12</v>
      </c>
      <c r="P40" s="33">
        <v>13</v>
      </c>
      <c r="Q40" s="33">
        <v>14</v>
      </c>
      <c r="R40" s="33">
        <v>15</v>
      </c>
      <c r="S40" s="33">
        <v>16</v>
      </c>
      <c r="T40" s="33">
        <v>17</v>
      </c>
      <c r="U40" s="33">
        <v>18</v>
      </c>
      <c r="V40" s="33">
        <v>19</v>
      </c>
      <c r="W40" s="33">
        <v>20</v>
      </c>
      <c r="X40" s="33">
        <v>21</v>
      </c>
      <c r="Y40" s="33">
        <v>22</v>
      </c>
      <c r="Z40" s="33">
        <v>23</v>
      </c>
      <c r="AA40" s="33">
        <v>24</v>
      </c>
      <c r="AB40" s="33">
        <v>25</v>
      </c>
      <c r="AC40" s="33">
        <v>26</v>
      </c>
      <c r="AD40" s="33">
        <v>27</v>
      </c>
      <c r="AE40" s="33">
        <v>28</v>
      </c>
      <c r="AF40" s="33">
        <v>29</v>
      </c>
      <c r="AG40" s="33">
        <v>30</v>
      </c>
      <c r="AH40" s="33">
        <v>31</v>
      </c>
      <c r="AI40" s="33">
        <v>32</v>
      </c>
      <c r="AJ40" s="33">
        <v>33</v>
      </c>
      <c r="AK40" s="33">
        <v>34</v>
      </c>
      <c r="AL40" s="33">
        <v>35</v>
      </c>
      <c r="AM40" s="33">
        <v>36</v>
      </c>
      <c r="AN40" s="33">
        <v>37</v>
      </c>
    </row>
    <row r="41" spans="2:40" x14ac:dyDescent="0.2">
      <c r="B41" s="34" t="s">
        <v>34</v>
      </c>
      <c r="C41" s="268" t="s">
        <v>9</v>
      </c>
      <c r="D41" s="35">
        <f t="shared" ref="D41:AG41" si="129">D4</f>
        <v>2026</v>
      </c>
      <c r="E41" s="35">
        <f t="shared" si="129"/>
        <v>2027</v>
      </c>
      <c r="F41" s="35">
        <f t="shared" si="129"/>
        <v>2028</v>
      </c>
      <c r="G41" s="35">
        <f t="shared" si="129"/>
        <v>2029</v>
      </c>
      <c r="H41" s="35">
        <f t="shared" si="129"/>
        <v>2030</v>
      </c>
      <c r="I41" s="35">
        <f t="shared" si="129"/>
        <v>2031</v>
      </c>
      <c r="J41" s="35">
        <f t="shared" si="129"/>
        <v>2032</v>
      </c>
      <c r="K41" s="35">
        <f t="shared" si="129"/>
        <v>2033</v>
      </c>
      <c r="L41" s="35">
        <f t="shared" si="129"/>
        <v>2034</v>
      </c>
      <c r="M41" s="35">
        <f t="shared" si="129"/>
        <v>2035</v>
      </c>
      <c r="N41" s="35">
        <f t="shared" si="129"/>
        <v>2036</v>
      </c>
      <c r="O41" s="35">
        <f t="shared" si="129"/>
        <v>2037</v>
      </c>
      <c r="P41" s="35">
        <f t="shared" si="129"/>
        <v>2038</v>
      </c>
      <c r="Q41" s="35">
        <f t="shared" si="129"/>
        <v>2039</v>
      </c>
      <c r="R41" s="35">
        <f t="shared" si="129"/>
        <v>2040</v>
      </c>
      <c r="S41" s="35">
        <f t="shared" si="129"/>
        <v>2041</v>
      </c>
      <c r="T41" s="35">
        <f t="shared" si="129"/>
        <v>2042</v>
      </c>
      <c r="U41" s="35">
        <f t="shared" si="129"/>
        <v>2043</v>
      </c>
      <c r="V41" s="35">
        <f t="shared" si="129"/>
        <v>2044</v>
      </c>
      <c r="W41" s="35">
        <f t="shared" si="129"/>
        <v>2045</v>
      </c>
      <c r="X41" s="35">
        <f t="shared" si="129"/>
        <v>2046</v>
      </c>
      <c r="Y41" s="35">
        <f t="shared" si="129"/>
        <v>2047</v>
      </c>
      <c r="Z41" s="35">
        <f t="shared" si="129"/>
        <v>2048</v>
      </c>
      <c r="AA41" s="35">
        <f t="shared" si="129"/>
        <v>2049</v>
      </c>
      <c r="AB41" s="35">
        <f t="shared" si="129"/>
        <v>2050</v>
      </c>
      <c r="AC41" s="35">
        <f t="shared" si="129"/>
        <v>2051</v>
      </c>
      <c r="AD41" s="35">
        <f t="shared" si="129"/>
        <v>2052</v>
      </c>
      <c r="AE41" s="35">
        <f t="shared" si="129"/>
        <v>2053</v>
      </c>
      <c r="AF41" s="35">
        <f t="shared" si="129"/>
        <v>2054</v>
      </c>
      <c r="AG41" s="35">
        <f t="shared" si="129"/>
        <v>2055</v>
      </c>
      <c r="AH41" s="35">
        <f t="shared" ref="AH41:AN41" si="130">AH4</f>
        <v>2056</v>
      </c>
      <c r="AI41" s="35">
        <f t="shared" si="130"/>
        <v>2057</v>
      </c>
      <c r="AJ41" s="35">
        <f t="shared" si="130"/>
        <v>2058</v>
      </c>
      <c r="AK41" s="35">
        <f t="shared" si="130"/>
        <v>2059</v>
      </c>
      <c r="AL41" s="35">
        <f t="shared" si="130"/>
        <v>2060</v>
      </c>
      <c r="AM41" s="35">
        <f t="shared" si="130"/>
        <v>2061</v>
      </c>
      <c r="AN41" s="35">
        <f t="shared" si="130"/>
        <v>2062</v>
      </c>
    </row>
    <row r="42" spans="2:40" x14ac:dyDescent="0.2">
      <c r="B42" s="31" t="s">
        <v>405</v>
      </c>
      <c r="C42" s="37">
        <f t="shared" ref="C42:C49" si="131">SUM(D42:AQ42)</f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v>0</v>
      </c>
    </row>
    <row r="43" spans="2:40" x14ac:dyDescent="0.2">
      <c r="B43" s="31" t="s">
        <v>406</v>
      </c>
      <c r="C43" s="37">
        <f t="shared" si="131"/>
        <v>0</v>
      </c>
      <c r="D43" s="121">
        <f>'11a_A Znečisť. l.(voz.)NOV200'!D32</f>
        <v>0</v>
      </c>
      <c r="E43" s="121">
        <f>'11a_A Znečisť. l.(voz.)NOV200'!E32</f>
        <v>0</v>
      </c>
      <c r="F43" s="121">
        <f>'11a_A Znečisť. l.(voz.)NOV200'!F32</f>
        <v>0</v>
      </c>
      <c r="G43" s="121">
        <f>'11a_A Znečisť. l.(voz.)NOV200'!G32</f>
        <v>0</v>
      </c>
      <c r="H43" s="121">
        <f>'11a_A Znečisť. l.(voz.)NOV200'!H32</f>
        <v>0</v>
      </c>
      <c r="I43" s="121">
        <f>'11a_A Znečisť. l.(voz.)NOV200'!I32</f>
        <v>0</v>
      </c>
      <c r="J43" s="121">
        <f>'11a_A Znečisť. l.(voz.)NOV200'!J32</f>
        <v>0</v>
      </c>
      <c r="K43" s="121">
        <f>'11a_A Znečisť. l.(voz.)NOV200'!K32</f>
        <v>0</v>
      </c>
      <c r="L43" s="121">
        <f>'11a_A Znečisť. l.(voz.)NOV200'!L32</f>
        <v>0</v>
      </c>
      <c r="M43" s="121">
        <f>'11a_A Znečisť. l.(voz.)NOV200'!M32</f>
        <v>0</v>
      </c>
      <c r="N43" s="121">
        <f>'11a_A Znečisť. l.(voz.)NOV200'!N32</f>
        <v>0</v>
      </c>
      <c r="O43" s="121">
        <f>'11a_A Znečisť. l.(voz.)NOV200'!O32</f>
        <v>0</v>
      </c>
      <c r="P43" s="121">
        <f>'11a_A Znečisť. l.(voz.)NOV200'!P32</f>
        <v>0</v>
      </c>
      <c r="Q43" s="121">
        <f>'11a_A Znečisť. l.(voz.)NOV200'!Q32</f>
        <v>0</v>
      </c>
      <c r="R43" s="121">
        <f>'11a_A Znečisť. l.(voz.)NOV200'!R32</f>
        <v>0</v>
      </c>
      <c r="S43" s="121">
        <f>'11a_A Znečisť. l.(voz.)NOV200'!S32</f>
        <v>0</v>
      </c>
      <c r="T43" s="121">
        <f>'11a_A Znečisť. l.(voz.)NOV200'!T32</f>
        <v>0</v>
      </c>
      <c r="U43" s="121">
        <f>'11a_A Znečisť. l.(voz.)NOV200'!U32</f>
        <v>0</v>
      </c>
      <c r="V43" s="121">
        <f>'11a_A Znečisť. l.(voz.)NOV200'!V32</f>
        <v>0</v>
      </c>
      <c r="W43" s="121">
        <f>'11a_A Znečisť. l.(voz.)NOV200'!W32</f>
        <v>0</v>
      </c>
      <c r="X43" s="121">
        <f>'11a_A Znečisť. l.(voz.)NOV200'!X32</f>
        <v>0</v>
      </c>
      <c r="Y43" s="121">
        <f>'11a_A Znečisť. l.(voz.)NOV200'!Y32</f>
        <v>0</v>
      </c>
      <c r="Z43" s="121">
        <f>'11a_A Znečisť. l.(voz.)NOV200'!Z32</f>
        <v>0</v>
      </c>
      <c r="AA43" s="121">
        <f>'11a_A Znečisť. l.(voz.)NOV200'!AA32</f>
        <v>0</v>
      </c>
      <c r="AB43" s="121">
        <f>'11a_A Znečisť. l.(voz.)NOV200'!AB32</f>
        <v>0</v>
      </c>
      <c r="AC43" s="121">
        <f>'11a_A Znečisť. l.(voz.)NOV200'!AC32</f>
        <v>0</v>
      </c>
      <c r="AD43" s="121">
        <f>'11a_A Znečisť. l.(voz.)NOV200'!AD32</f>
        <v>0</v>
      </c>
      <c r="AE43" s="121">
        <f>'11a_A Znečisť. l.(voz.)NOV200'!AE32</f>
        <v>0</v>
      </c>
      <c r="AF43" s="121">
        <f>'11a_A Znečisť. l.(voz.)NOV200'!AF32</f>
        <v>0</v>
      </c>
      <c r="AG43" s="121">
        <f>'11a_A Znečisť. l.(voz.)NOV200'!AG32</f>
        <v>0</v>
      </c>
      <c r="AH43" s="121">
        <f>'11a_A Znečisť. l.(voz.)NOV200'!AH32</f>
        <v>0</v>
      </c>
      <c r="AI43" s="121">
        <f>'11a_A Znečisť. l.(voz.)NOV200'!AI32</f>
        <v>0</v>
      </c>
      <c r="AJ43" s="121">
        <f>'11a_A Znečisť. l.(voz.)NOV200'!AJ32</f>
        <v>0</v>
      </c>
      <c r="AK43" s="121">
        <f>'11a_A Znečisť. l.(voz.)NOV200'!AK32</f>
        <v>0</v>
      </c>
      <c r="AL43" s="121">
        <f>'11a_A Znečisť. l.(voz.)NOV200'!AL32</f>
        <v>0</v>
      </c>
      <c r="AM43" s="121">
        <f>'11a_A Znečisť. l.(voz.)NOV200'!AM32</f>
        <v>0</v>
      </c>
      <c r="AN43" s="121">
        <f>'11a_A Znečisť. l.(voz.)NOV200'!AN32</f>
        <v>0</v>
      </c>
    </row>
    <row r="44" spans="2:40" x14ac:dyDescent="0.2">
      <c r="B44" s="31" t="s">
        <v>407</v>
      </c>
      <c r="C44" s="37">
        <f t="shared" si="131"/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1"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v>0</v>
      </c>
    </row>
    <row r="45" spans="2:40" x14ac:dyDescent="0.2">
      <c r="B45" s="31" t="s">
        <v>408</v>
      </c>
      <c r="C45" s="37">
        <f t="shared" si="131"/>
        <v>0</v>
      </c>
      <c r="D45" s="121">
        <f>'11a_A Znečisť. l.(voz.)NOV200'!D34</f>
        <v>0</v>
      </c>
      <c r="E45" s="121">
        <f>'11a_A Znečisť. l.(voz.)NOV200'!E34</f>
        <v>0</v>
      </c>
      <c r="F45" s="121">
        <f>'11a_A Znečisť. l.(voz.)NOV200'!F34</f>
        <v>0</v>
      </c>
      <c r="G45" s="121">
        <f>'11a_A Znečisť. l.(voz.)NOV200'!G34</f>
        <v>0</v>
      </c>
      <c r="H45" s="121">
        <f>'11a_A Znečisť. l.(voz.)NOV200'!H34</f>
        <v>0</v>
      </c>
      <c r="I45" s="121">
        <f>'11a_A Znečisť. l.(voz.)NOV200'!I34</f>
        <v>0</v>
      </c>
      <c r="J45" s="121">
        <f>'11a_A Znečisť. l.(voz.)NOV200'!J34</f>
        <v>0</v>
      </c>
      <c r="K45" s="121">
        <f>'11a_A Znečisť. l.(voz.)NOV200'!K34</f>
        <v>0</v>
      </c>
      <c r="L45" s="121">
        <f>'11a_A Znečisť. l.(voz.)NOV200'!L34</f>
        <v>0</v>
      </c>
      <c r="M45" s="121">
        <f>'11a_A Znečisť. l.(voz.)NOV200'!M34</f>
        <v>0</v>
      </c>
      <c r="N45" s="121">
        <f>'11a_A Znečisť. l.(voz.)NOV200'!N34</f>
        <v>0</v>
      </c>
      <c r="O45" s="121">
        <f>'11a_A Znečisť. l.(voz.)NOV200'!O34</f>
        <v>0</v>
      </c>
      <c r="P45" s="121">
        <f>'11a_A Znečisť. l.(voz.)NOV200'!P34</f>
        <v>0</v>
      </c>
      <c r="Q45" s="121">
        <f>'11a_A Znečisť. l.(voz.)NOV200'!Q34</f>
        <v>0</v>
      </c>
      <c r="R45" s="121">
        <f>'11a_A Znečisť. l.(voz.)NOV200'!R34</f>
        <v>0</v>
      </c>
      <c r="S45" s="121">
        <f>'11a_A Znečisť. l.(voz.)NOV200'!S34</f>
        <v>0</v>
      </c>
      <c r="T45" s="121">
        <f>'11a_A Znečisť. l.(voz.)NOV200'!T34</f>
        <v>0</v>
      </c>
      <c r="U45" s="121">
        <f>'11a_A Znečisť. l.(voz.)NOV200'!U34</f>
        <v>0</v>
      </c>
      <c r="V45" s="121">
        <f>'11a_A Znečisť. l.(voz.)NOV200'!V34</f>
        <v>0</v>
      </c>
      <c r="W45" s="121">
        <f>'11a_A Znečisť. l.(voz.)NOV200'!W34</f>
        <v>0</v>
      </c>
      <c r="X45" s="121">
        <f>'11a_A Znečisť. l.(voz.)NOV200'!X34</f>
        <v>0</v>
      </c>
      <c r="Y45" s="121">
        <f>'11a_A Znečisť. l.(voz.)NOV200'!Y34</f>
        <v>0</v>
      </c>
      <c r="Z45" s="121">
        <f>'11a_A Znečisť. l.(voz.)NOV200'!Z34</f>
        <v>0</v>
      </c>
      <c r="AA45" s="121">
        <f>'11a_A Znečisť. l.(voz.)NOV200'!AA34</f>
        <v>0</v>
      </c>
      <c r="AB45" s="121">
        <f>'11a_A Znečisť. l.(voz.)NOV200'!AB34</f>
        <v>0</v>
      </c>
      <c r="AC45" s="121">
        <f>'11a_A Znečisť. l.(voz.)NOV200'!AC34</f>
        <v>0</v>
      </c>
      <c r="AD45" s="121">
        <f>'11a_A Znečisť. l.(voz.)NOV200'!AD34</f>
        <v>0</v>
      </c>
      <c r="AE45" s="121">
        <f>'11a_A Znečisť. l.(voz.)NOV200'!AE34</f>
        <v>0</v>
      </c>
      <c r="AF45" s="121">
        <f>'11a_A Znečisť. l.(voz.)NOV200'!AF34</f>
        <v>0</v>
      </c>
      <c r="AG45" s="121">
        <f>'11a_A Znečisť. l.(voz.)NOV200'!AG34</f>
        <v>0</v>
      </c>
      <c r="AH45" s="121">
        <f>'11a_A Znečisť. l.(voz.)NOV200'!AH34</f>
        <v>0</v>
      </c>
      <c r="AI45" s="121">
        <f>'11a_A Znečisť. l.(voz.)NOV200'!AI34</f>
        <v>0</v>
      </c>
      <c r="AJ45" s="121">
        <f>'11a_A Znečisť. l.(voz.)NOV200'!AJ34</f>
        <v>0</v>
      </c>
      <c r="AK45" s="121">
        <f>'11a_A Znečisť. l.(voz.)NOV200'!AK34</f>
        <v>0</v>
      </c>
      <c r="AL45" s="121">
        <f>'11a_A Znečisť. l.(voz.)NOV200'!AL34</f>
        <v>0</v>
      </c>
      <c r="AM45" s="121">
        <f>'11a_A Znečisť. l.(voz.)NOV200'!AM34</f>
        <v>0</v>
      </c>
      <c r="AN45" s="121">
        <f>'11a_A Znečisť. l.(voz.)NOV200'!AN34</f>
        <v>0</v>
      </c>
    </row>
    <row r="46" spans="2:40" x14ac:dyDescent="0.2">
      <c r="B46" s="31" t="s">
        <v>136</v>
      </c>
      <c r="C46" s="37">
        <f t="shared" si="131"/>
        <v>0</v>
      </c>
      <c r="D46" s="121">
        <f>'11a_A Znečisť. l.(voz.)NOV200'!D37</f>
        <v>0</v>
      </c>
      <c r="E46" s="121">
        <f>'11a_A Znečisť. l.(voz.)NOV200'!E37</f>
        <v>0</v>
      </c>
      <c r="F46" s="121">
        <f>'11a_A Znečisť. l.(voz.)NOV200'!F37</f>
        <v>0</v>
      </c>
      <c r="G46" s="121">
        <f>'11a_A Znečisť. l.(voz.)NOV200'!G37</f>
        <v>0</v>
      </c>
      <c r="H46" s="121">
        <f>'11a_A Znečisť. l.(voz.)NOV200'!H37</f>
        <v>0</v>
      </c>
      <c r="I46" s="121">
        <f>'11a_A Znečisť. l.(voz.)NOV200'!I37</f>
        <v>0</v>
      </c>
      <c r="J46" s="121">
        <f>'11a_A Znečisť. l.(voz.)NOV200'!J37</f>
        <v>0</v>
      </c>
      <c r="K46" s="121">
        <f>'11a_A Znečisť. l.(voz.)NOV200'!K37</f>
        <v>0</v>
      </c>
      <c r="L46" s="121">
        <f>'11a_A Znečisť. l.(voz.)NOV200'!L37</f>
        <v>0</v>
      </c>
      <c r="M46" s="121">
        <f>'11a_A Znečisť. l.(voz.)NOV200'!M37</f>
        <v>0</v>
      </c>
      <c r="N46" s="121">
        <f>'11a_A Znečisť. l.(voz.)NOV200'!N37</f>
        <v>0</v>
      </c>
      <c r="O46" s="121">
        <f>'11a_A Znečisť. l.(voz.)NOV200'!O37</f>
        <v>0</v>
      </c>
      <c r="P46" s="121">
        <f>'11a_A Znečisť. l.(voz.)NOV200'!P37</f>
        <v>0</v>
      </c>
      <c r="Q46" s="121">
        <f>'11a_A Znečisť. l.(voz.)NOV200'!Q37</f>
        <v>0</v>
      </c>
      <c r="R46" s="121">
        <f>'11a_A Znečisť. l.(voz.)NOV200'!R37</f>
        <v>0</v>
      </c>
      <c r="S46" s="121">
        <f>'11a_A Znečisť. l.(voz.)NOV200'!S37</f>
        <v>0</v>
      </c>
      <c r="T46" s="121">
        <f>'11a_A Znečisť. l.(voz.)NOV200'!T37</f>
        <v>0</v>
      </c>
      <c r="U46" s="121">
        <f>'11a_A Znečisť. l.(voz.)NOV200'!U37</f>
        <v>0</v>
      </c>
      <c r="V46" s="121">
        <f>'11a_A Znečisť. l.(voz.)NOV200'!V37</f>
        <v>0</v>
      </c>
      <c r="W46" s="121">
        <f>'11a_A Znečisť. l.(voz.)NOV200'!W37</f>
        <v>0</v>
      </c>
      <c r="X46" s="121">
        <f>'11a_A Znečisť. l.(voz.)NOV200'!X37</f>
        <v>0</v>
      </c>
      <c r="Y46" s="121">
        <f>'11a_A Znečisť. l.(voz.)NOV200'!Y37</f>
        <v>0</v>
      </c>
      <c r="Z46" s="121">
        <f>'11a_A Znečisť. l.(voz.)NOV200'!Z37</f>
        <v>0</v>
      </c>
      <c r="AA46" s="121">
        <f>'11a_A Znečisť. l.(voz.)NOV200'!AA37</f>
        <v>0</v>
      </c>
      <c r="AB46" s="121">
        <f>'11a_A Znečisť. l.(voz.)NOV200'!AB37</f>
        <v>0</v>
      </c>
      <c r="AC46" s="121">
        <f>'11a_A Znečisť. l.(voz.)NOV200'!AC37</f>
        <v>0</v>
      </c>
      <c r="AD46" s="121">
        <f>'11a_A Znečisť. l.(voz.)NOV200'!AD37</f>
        <v>0</v>
      </c>
      <c r="AE46" s="121">
        <f>'11a_A Znečisť. l.(voz.)NOV200'!AE37</f>
        <v>0</v>
      </c>
      <c r="AF46" s="121">
        <f>'11a_A Znečisť. l.(voz.)NOV200'!AF37</f>
        <v>0</v>
      </c>
      <c r="AG46" s="121">
        <f>'11a_A Znečisť. l.(voz.)NOV200'!AG37</f>
        <v>0</v>
      </c>
      <c r="AH46" s="121">
        <f>'11a_A Znečisť. l.(voz.)NOV200'!AH37</f>
        <v>0</v>
      </c>
      <c r="AI46" s="121">
        <f>'11a_A Znečisť. l.(voz.)NOV200'!AI37</f>
        <v>0</v>
      </c>
      <c r="AJ46" s="121">
        <f>'11a_A Znečisť. l.(voz.)NOV200'!AJ37</f>
        <v>0</v>
      </c>
      <c r="AK46" s="121">
        <f>'11a_A Znečisť. l.(voz.)NOV200'!AK37</f>
        <v>0</v>
      </c>
      <c r="AL46" s="121">
        <f>'11a_A Znečisť. l.(voz.)NOV200'!AL37</f>
        <v>0</v>
      </c>
      <c r="AM46" s="121">
        <f>'11a_A Znečisť. l.(voz.)NOV200'!AM37</f>
        <v>0</v>
      </c>
      <c r="AN46" s="121">
        <f>'11a_A Znečisť. l.(voz.)NOV200'!AN37</f>
        <v>0</v>
      </c>
    </row>
    <row r="47" spans="2:40" ht="11.85" customHeight="1" x14ac:dyDescent="0.2">
      <c r="B47" s="31" t="s">
        <v>133</v>
      </c>
      <c r="C47" s="37">
        <f t="shared" si="131"/>
        <v>0</v>
      </c>
      <c r="D47" s="121">
        <f>'11a_A Znečisť. l.(voz.)NOV200'!D40</f>
        <v>0</v>
      </c>
      <c r="E47" s="121">
        <f>'11a_A Znečisť. l.(voz.)NOV200'!E40</f>
        <v>0</v>
      </c>
      <c r="F47" s="121">
        <f>'11a_A Znečisť. l.(voz.)NOV200'!F40</f>
        <v>0</v>
      </c>
      <c r="G47" s="121">
        <f>'11a_A Znečisť. l.(voz.)NOV200'!G40</f>
        <v>0</v>
      </c>
      <c r="H47" s="121">
        <f>'11a_A Znečisť. l.(voz.)NOV200'!H40</f>
        <v>0</v>
      </c>
      <c r="I47" s="121">
        <f>'11a_A Znečisť. l.(voz.)NOV200'!I40</f>
        <v>0</v>
      </c>
      <c r="J47" s="121">
        <f>'11a_A Znečisť. l.(voz.)NOV200'!J40</f>
        <v>0</v>
      </c>
      <c r="K47" s="121">
        <f>'11a_A Znečisť. l.(voz.)NOV200'!K40</f>
        <v>0</v>
      </c>
      <c r="L47" s="121">
        <f>'11a_A Znečisť. l.(voz.)NOV200'!L40</f>
        <v>0</v>
      </c>
      <c r="M47" s="121">
        <f>'11a_A Znečisť. l.(voz.)NOV200'!M40</f>
        <v>0</v>
      </c>
      <c r="N47" s="121">
        <f>'11a_A Znečisť. l.(voz.)NOV200'!N40</f>
        <v>0</v>
      </c>
      <c r="O47" s="121">
        <f>'11a_A Znečisť. l.(voz.)NOV200'!O40</f>
        <v>0</v>
      </c>
      <c r="P47" s="121">
        <f>'11a_A Znečisť. l.(voz.)NOV200'!P40</f>
        <v>0</v>
      </c>
      <c r="Q47" s="121">
        <f>'11a_A Znečisť. l.(voz.)NOV200'!Q40</f>
        <v>0</v>
      </c>
      <c r="R47" s="121">
        <f>'11a_A Znečisť. l.(voz.)NOV200'!R40</f>
        <v>0</v>
      </c>
      <c r="S47" s="121">
        <f>'11a_A Znečisť. l.(voz.)NOV200'!S40</f>
        <v>0</v>
      </c>
      <c r="T47" s="121">
        <f>'11a_A Znečisť. l.(voz.)NOV200'!T40</f>
        <v>0</v>
      </c>
      <c r="U47" s="121">
        <f>'11a_A Znečisť. l.(voz.)NOV200'!U40</f>
        <v>0</v>
      </c>
      <c r="V47" s="121">
        <f>'11a_A Znečisť. l.(voz.)NOV200'!V40</f>
        <v>0</v>
      </c>
      <c r="W47" s="121">
        <f>'11a_A Znečisť. l.(voz.)NOV200'!W40</f>
        <v>0</v>
      </c>
      <c r="X47" s="121">
        <f>'11a_A Znečisť. l.(voz.)NOV200'!X40</f>
        <v>0</v>
      </c>
      <c r="Y47" s="121">
        <f>'11a_A Znečisť. l.(voz.)NOV200'!Y40</f>
        <v>0</v>
      </c>
      <c r="Z47" s="121">
        <f>'11a_A Znečisť. l.(voz.)NOV200'!Z40</f>
        <v>0</v>
      </c>
      <c r="AA47" s="121">
        <f>'11a_A Znečisť. l.(voz.)NOV200'!AA40</f>
        <v>0</v>
      </c>
      <c r="AB47" s="121">
        <f>'11a_A Znečisť. l.(voz.)NOV200'!AB40</f>
        <v>0</v>
      </c>
      <c r="AC47" s="121">
        <f>'11a_A Znečisť. l.(voz.)NOV200'!AC40</f>
        <v>0</v>
      </c>
      <c r="AD47" s="121">
        <f>'11a_A Znečisť. l.(voz.)NOV200'!AD40</f>
        <v>0</v>
      </c>
      <c r="AE47" s="121">
        <f>'11a_A Znečisť. l.(voz.)NOV200'!AE40</f>
        <v>0</v>
      </c>
      <c r="AF47" s="121">
        <f>'11a_A Znečisť. l.(voz.)NOV200'!AF40</f>
        <v>0</v>
      </c>
      <c r="AG47" s="121">
        <f>'11a_A Znečisť. l.(voz.)NOV200'!AG40</f>
        <v>0</v>
      </c>
      <c r="AH47" s="121">
        <f>'11a_A Znečisť. l.(voz.)NOV200'!AH40</f>
        <v>0</v>
      </c>
      <c r="AI47" s="121">
        <f>'11a_A Znečisť. l.(voz.)NOV200'!AI40</f>
        <v>0</v>
      </c>
      <c r="AJ47" s="121">
        <f>'11a_A Znečisť. l.(voz.)NOV200'!AJ40</f>
        <v>0</v>
      </c>
      <c r="AK47" s="121">
        <f>'11a_A Znečisť. l.(voz.)NOV200'!AK40</f>
        <v>0</v>
      </c>
      <c r="AL47" s="121">
        <f>'11a_A Znečisť. l.(voz.)NOV200'!AL40</f>
        <v>0</v>
      </c>
      <c r="AM47" s="121">
        <f>'11a_A Znečisť. l.(voz.)NOV200'!AM40</f>
        <v>0</v>
      </c>
      <c r="AN47" s="121">
        <f>'11a_A Znečisť. l.(voz.)NOV200'!AN40</f>
        <v>0</v>
      </c>
    </row>
    <row r="48" spans="2:40" x14ac:dyDescent="0.2">
      <c r="B48" s="31" t="s">
        <v>137</v>
      </c>
      <c r="C48" s="37">
        <f t="shared" si="131"/>
        <v>0</v>
      </c>
      <c r="D48" s="121">
        <f>'11a_A Znečisť. l.(voz.)NOV200'!D40</f>
        <v>0</v>
      </c>
      <c r="E48" s="121">
        <f>'11a_A Znečisť. l.(voz.)NOV200'!E40</f>
        <v>0</v>
      </c>
      <c r="F48" s="121">
        <f>'11a_A Znečisť. l.(voz.)NOV200'!F40</f>
        <v>0</v>
      </c>
      <c r="G48" s="121">
        <f>'11a_A Znečisť. l.(voz.)NOV200'!G40</f>
        <v>0</v>
      </c>
      <c r="H48" s="121">
        <f>'11a_A Znečisť. l.(voz.)NOV200'!H40</f>
        <v>0</v>
      </c>
      <c r="I48" s="121">
        <f>'11a_A Znečisť. l.(voz.)NOV200'!I40</f>
        <v>0</v>
      </c>
      <c r="J48" s="121">
        <f>'11a_A Znečisť. l.(voz.)NOV200'!J40</f>
        <v>0</v>
      </c>
      <c r="K48" s="121">
        <f>'11a_A Znečisť. l.(voz.)NOV200'!K40</f>
        <v>0</v>
      </c>
      <c r="L48" s="121">
        <f>'11a_A Znečisť. l.(voz.)NOV200'!L40</f>
        <v>0</v>
      </c>
      <c r="M48" s="121">
        <f>'11a_A Znečisť. l.(voz.)NOV200'!M40</f>
        <v>0</v>
      </c>
      <c r="N48" s="121">
        <f>'11a_A Znečisť. l.(voz.)NOV200'!N40</f>
        <v>0</v>
      </c>
      <c r="O48" s="121">
        <f>'11a_A Znečisť. l.(voz.)NOV200'!O40</f>
        <v>0</v>
      </c>
      <c r="P48" s="121">
        <f>'11a_A Znečisť. l.(voz.)NOV200'!P40</f>
        <v>0</v>
      </c>
      <c r="Q48" s="121">
        <f>'11a_A Znečisť. l.(voz.)NOV200'!Q40</f>
        <v>0</v>
      </c>
      <c r="R48" s="121">
        <f>'11a_A Znečisť. l.(voz.)NOV200'!R40</f>
        <v>0</v>
      </c>
      <c r="S48" s="121">
        <f>'11a_A Znečisť. l.(voz.)NOV200'!S40</f>
        <v>0</v>
      </c>
      <c r="T48" s="121">
        <f>'11a_A Znečisť. l.(voz.)NOV200'!T40</f>
        <v>0</v>
      </c>
      <c r="U48" s="121">
        <f>'11a_A Znečisť. l.(voz.)NOV200'!U40</f>
        <v>0</v>
      </c>
      <c r="V48" s="121">
        <f>'11a_A Znečisť. l.(voz.)NOV200'!V40</f>
        <v>0</v>
      </c>
      <c r="W48" s="121">
        <f>'11a_A Znečisť. l.(voz.)NOV200'!W40</f>
        <v>0</v>
      </c>
      <c r="X48" s="121">
        <f>'11a_A Znečisť. l.(voz.)NOV200'!X40</f>
        <v>0</v>
      </c>
      <c r="Y48" s="121">
        <f>'11a_A Znečisť. l.(voz.)NOV200'!Y40</f>
        <v>0</v>
      </c>
      <c r="Z48" s="121">
        <f>'11a_A Znečisť. l.(voz.)NOV200'!Z40</f>
        <v>0</v>
      </c>
      <c r="AA48" s="121">
        <f>'11a_A Znečisť. l.(voz.)NOV200'!AA40</f>
        <v>0</v>
      </c>
      <c r="AB48" s="121">
        <f>'11a_A Znečisť. l.(voz.)NOV200'!AB40</f>
        <v>0</v>
      </c>
      <c r="AC48" s="121">
        <f>'11a_A Znečisť. l.(voz.)NOV200'!AC40</f>
        <v>0</v>
      </c>
      <c r="AD48" s="121">
        <f>'11a_A Znečisť. l.(voz.)NOV200'!AD40</f>
        <v>0</v>
      </c>
      <c r="AE48" s="121">
        <f>'11a_A Znečisť. l.(voz.)NOV200'!AE40</f>
        <v>0</v>
      </c>
      <c r="AF48" s="121">
        <f>'11a_A Znečisť. l.(voz.)NOV200'!AF40</f>
        <v>0</v>
      </c>
      <c r="AG48" s="121">
        <f>'11a_A Znečisť. l.(voz.)NOV200'!AG40</f>
        <v>0</v>
      </c>
      <c r="AH48" s="121">
        <f>'11a_A Znečisť. l.(voz.)NOV200'!AH40</f>
        <v>0</v>
      </c>
      <c r="AI48" s="121">
        <f>'11a_A Znečisť. l.(voz.)NOV200'!AI40</f>
        <v>0</v>
      </c>
      <c r="AJ48" s="121">
        <f>'11a_A Znečisť. l.(voz.)NOV200'!AJ40</f>
        <v>0</v>
      </c>
      <c r="AK48" s="121">
        <f>'11a_A Znečisť. l.(voz.)NOV200'!AK40</f>
        <v>0</v>
      </c>
      <c r="AL48" s="121">
        <f>'11a_A Znečisť. l.(voz.)NOV200'!AL40</f>
        <v>0</v>
      </c>
      <c r="AM48" s="121">
        <f>'11a_A Znečisť. l.(voz.)NOV200'!AM40</f>
        <v>0</v>
      </c>
      <c r="AN48" s="121">
        <f>'11a_A Znečisť. l.(voz.)NOV200'!AN40</f>
        <v>0</v>
      </c>
    </row>
    <row r="49" spans="2:40" x14ac:dyDescent="0.2">
      <c r="B49" s="32" t="s">
        <v>35</v>
      </c>
      <c r="C49" s="122">
        <f t="shared" si="131"/>
        <v>0</v>
      </c>
      <c r="D49" s="122">
        <f t="shared" ref="D49:AG49" si="132">SUM(D42:D48)</f>
        <v>0</v>
      </c>
      <c r="E49" s="122">
        <f t="shared" si="132"/>
        <v>0</v>
      </c>
      <c r="F49" s="122">
        <f t="shared" si="132"/>
        <v>0</v>
      </c>
      <c r="G49" s="122">
        <f t="shared" si="132"/>
        <v>0</v>
      </c>
      <c r="H49" s="122">
        <f t="shared" si="132"/>
        <v>0</v>
      </c>
      <c r="I49" s="122">
        <f t="shared" si="132"/>
        <v>0</v>
      </c>
      <c r="J49" s="122">
        <f t="shared" si="132"/>
        <v>0</v>
      </c>
      <c r="K49" s="122">
        <f t="shared" si="132"/>
        <v>0</v>
      </c>
      <c r="L49" s="122">
        <f t="shared" si="132"/>
        <v>0</v>
      </c>
      <c r="M49" s="122">
        <f t="shared" si="132"/>
        <v>0</v>
      </c>
      <c r="N49" s="122">
        <f t="shared" si="132"/>
        <v>0</v>
      </c>
      <c r="O49" s="122">
        <f t="shared" si="132"/>
        <v>0</v>
      </c>
      <c r="P49" s="122">
        <f t="shared" si="132"/>
        <v>0</v>
      </c>
      <c r="Q49" s="122">
        <f t="shared" si="132"/>
        <v>0</v>
      </c>
      <c r="R49" s="122">
        <f t="shared" si="132"/>
        <v>0</v>
      </c>
      <c r="S49" s="122">
        <f t="shared" si="132"/>
        <v>0</v>
      </c>
      <c r="T49" s="122">
        <f t="shared" si="132"/>
        <v>0</v>
      </c>
      <c r="U49" s="122">
        <f t="shared" si="132"/>
        <v>0</v>
      </c>
      <c r="V49" s="122">
        <f t="shared" si="132"/>
        <v>0</v>
      </c>
      <c r="W49" s="122">
        <f t="shared" si="132"/>
        <v>0</v>
      </c>
      <c r="X49" s="122">
        <f t="shared" si="132"/>
        <v>0</v>
      </c>
      <c r="Y49" s="122">
        <f t="shared" si="132"/>
        <v>0</v>
      </c>
      <c r="Z49" s="122">
        <f t="shared" si="132"/>
        <v>0</v>
      </c>
      <c r="AA49" s="122">
        <f t="shared" si="132"/>
        <v>0</v>
      </c>
      <c r="AB49" s="122">
        <f t="shared" si="132"/>
        <v>0</v>
      </c>
      <c r="AC49" s="122">
        <f t="shared" si="132"/>
        <v>0</v>
      </c>
      <c r="AD49" s="122">
        <f t="shared" si="132"/>
        <v>0</v>
      </c>
      <c r="AE49" s="122">
        <f t="shared" si="132"/>
        <v>0</v>
      </c>
      <c r="AF49" s="122">
        <f t="shared" si="132"/>
        <v>0</v>
      </c>
      <c r="AG49" s="122">
        <f t="shared" si="132"/>
        <v>0</v>
      </c>
      <c r="AH49" s="122">
        <f t="shared" ref="AH49:AN49" si="133">SUM(AH42:AH48)</f>
        <v>0</v>
      </c>
      <c r="AI49" s="122">
        <f t="shared" si="133"/>
        <v>0</v>
      </c>
      <c r="AJ49" s="122">
        <f t="shared" si="133"/>
        <v>0</v>
      </c>
      <c r="AK49" s="122">
        <f t="shared" si="133"/>
        <v>0</v>
      </c>
      <c r="AL49" s="122">
        <f t="shared" si="133"/>
        <v>0</v>
      </c>
      <c r="AM49" s="122">
        <f t="shared" si="133"/>
        <v>0</v>
      </c>
      <c r="AN49" s="122">
        <f t="shared" si="133"/>
        <v>0</v>
      </c>
    </row>
    <row r="52" spans="2:40" x14ac:dyDescent="0.2">
      <c r="B52" s="31"/>
      <c r="C52" s="31"/>
      <c r="D52" s="31" t="s">
        <v>10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</row>
    <row r="53" spans="2:40" x14ac:dyDescent="0.2">
      <c r="B53" s="32" t="s">
        <v>447</v>
      </c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</row>
    <row r="54" spans="2:40" x14ac:dyDescent="0.2">
      <c r="B54" s="34" t="s">
        <v>63</v>
      </c>
      <c r="C54" s="268" t="s">
        <v>9</v>
      </c>
      <c r="D54" s="35">
        <f t="shared" ref="D54:AG54" si="134">D4</f>
        <v>2026</v>
      </c>
      <c r="E54" s="35">
        <f t="shared" si="134"/>
        <v>2027</v>
      </c>
      <c r="F54" s="35">
        <f t="shared" si="134"/>
        <v>2028</v>
      </c>
      <c r="G54" s="35">
        <f t="shared" si="134"/>
        <v>2029</v>
      </c>
      <c r="H54" s="35">
        <f t="shared" si="134"/>
        <v>2030</v>
      </c>
      <c r="I54" s="35">
        <f t="shared" si="134"/>
        <v>2031</v>
      </c>
      <c r="J54" s="35">
        <f t="shared" si="134"/>
        <v>2032</v>
      </c>
      <c r="K54" s="35">
        <f t="shared" si="134"/>
        <v>2033</v>
      </c>
      <c r="L54" s="35">
        <f t="shared" si="134"/>
        <v>2034</v>
      </c>
      <c r="M54" s="35">
        <f t="shared" si="134"/>
        <v>2035</v>
      </c>
      <c r="N54" s="35">
        <f t="shared" si="134"/>
        <v>2036</v>
      </c>
      <c r="O54" s="35">
        <f t="shared" si="134"/>
        <v>2037</v>
      </c>
      <c r="P54" s="35">
        <f t="shared" si="134"/>
        <v>2038</v>
      </c>
      <c r="Q54" s="35">
        <f t="shared" si="134"/>
        <v>2039</v>
      </c>
      <c r="R54" s="35">
        <f t="shared" si="134"/>
        <v>2040</v>
      </c>
      <c r="S54" s="35">
        <f t="shared" si="134"/>
        <v>2041</v>
      </c>
      <c r="T54" s="35">
        <f t="shared" si="134"/>
        <v>2042</v>
      </c>
      <c r="U54" s="35">
        <f t="shared" si="134"/>
        <v>2043</v>
      </c>
      <c r="V54" s="35">
        <f t="shared" si="134"/>
        <v>2044</v>
      </c>
      <c r="W54" s="35">
        <f t="shared" si="134"/>
        <v>2045</v>
      </c>
      <c r="X54" s="35">
        <f t="shared" si="134"/>
        <v>2046</v>
      </c>
      <c r="Y54" s="35">
        <f t="shared" si="134"/>
        <v>2047</v>
      </c>
      <c r="Z54" s="35">
        <f t="shared" si="134"/>
        <v>2048</v>
      </c>
      <c r="AA54" s="35">
        <f t="shared" si="134"/>
        <v>2049</v>
      </c>
      <c r="AB54" s="35">
        <f t="shared" si="134"/>
        <v>2050</v>
      </c>
      <c r="AC54" s="35">
        <f t="shared" si="134"/>
        <v>2051</v>
      </c>
      <c r="AD54" s="35">
        <f t="shared" si="134"/>
        <v>2052</v>
      </c>
      <c r="AE54" s="35">
        <f t="shared" si="134"/>
        <v>2053</v>
      </c>
      <c r="AF54" s="35">
        <f t="shared" si="134"/>
        <v>2054</v>
      </c>
      <c r="AG54" s="35">
        <f t="shared" si="134"/>
        <v>2055</v>
      </c>
      <c r="AH54" s="35">
        <f t="shared" ref="AH54:AN54" si="135">AH4</f>
        <v>2056</v>
      </c>
      <c r="AI54" s="35">
        <f t="shared" si="135"/>
        <v>2057</v>
      </c>
      <c r="AJ54" s="35">
        <f t="shared" si="135"/>
        <v>2058</v>
      </c>
      <c r="AK54" s="35">
        <f t="shared" si="135"/>
        <v>2059</v>
      </c>
      <c r="AL54" s="35">
        <f t="shared" si="135"/>
        <v>2060</v>
      </c>
      <c r="AM54" s="35">
        <f t="shared" si="135"/>
        <v>2061</v>
      </c>
      <c r="AN54" s="35">
        <f t="shared" si="135"/>
        <v>2062</v>
      </c>
    </row>
    <row r="55" spans="2:40" x14ac:dyDescent="0.2">
      <c r="B55" s="31" t="s">
        <v>405</v>
      </c>
      <c r="C55" s="37">
        <f t="shared" ref="C55:C62" si="136">SUM(D55:AQ55)</f>
        <v>0</v>
      </c>
      <c r="D55" s="37">
        <f>D29-D42</f>
        <v>0</v>
      </c>
      <c r="E55" s="37">
        <f t="shared" ref="E55:AG61" si="137">E29-E42</f>
        <v>0</v>
      </c>
      <c r="F55" s="37">
        <f t="shared" si="137"/>
        <v>0</v>
      </c>
      <c r="G55" s="37">
        <f t="shared" si="137"/>
        <v>0</v>
      </c>
      <c r="H55" s="37">
        <f t="shared" si="137"/>
        <v>0</v>
      </c>
      <c r="I55" s="37">
        <f t="shared" si="137"/>
        <v>0</v>
      </c>
      <c r="J55" s="37">
        <f t="shared" si="137"/>
        <v>0</v>
      </c>
      <c r="K55" s="37">
        <f t="shared" si="137"/>
        <v>0</v>
      </c>
      <c r="L55" s="37">
        <f t="shared" si="137"/>
        <v>0</v>
      </c>
      <c r="M55" s="37">
        <f t="shared" si="137"/>
        <v>0</v>
      </c>
      <c r="N55" s="37">
        <f t="shared" si="137"/>
        <v>0</v>
      </c>
      <c r="O55" s="37">
        <f t="shared" si="137"/>
        <v>0</v>
      </c>
      <c r="P55" s="37">
        <f t="shared" si="137"/>
        <v>0</v>
      </c>
      <c r="Q55" s="37">
        <f t="shared" si="137"/>
        <v>0</v>
      </c>
      <c r="R55" s="37">
        <f t="shared" si="137"/>
        <v>0</v>
      </c>
      <c r="S55" s="37">
        <f t="shared" si="137"/>
        <v>0</v>
      </c>
      <c r="T55" s="37">
        <f t="shared" si="137"/>
        <v>0</v>
      </c>
      <c r="U55" s="37">
        <f t="shared" si="137"/>
        <v>0</v>
      </c>
      <c r="V55" s="37">
        <f t="shared" si="137"/>
        <v>0</v>
      </c>
      <c r="W55" s="37">
        <f t="shared" si="137"/>
        <v>0</v>
      </c>
      <c r="X55" s="37">
        <f t="shared" si="137"/>
        <v>0</v>
      </c>
      <c r="Y55" s="37">
        <f t="shared" si="137"/>
        <v>0</v>
      </c>
      <c r="Z55" s="37">
        <f t="shared" si="137"/>
        <v>0</v>
      </c>
      <c r="AA55" s="37">
        <f t="shared" si="137"/>
        <v>0</v>
      </c>
      <c r="AB55" s="37">
        <f t="shared" si="137"/>
        <v>0</v>
      </c>
      <c r="AC55" s="37">
        <f t="shared" si="137"/>
        <v>0</v>
      </c>
      <c r="AD55" s="37">
        <f t="shared" si="137"/>
        <v>0</v>
      </c>
      <c r="AE55" s="37">
        <f t="shared" si="137"/>
        <v>0</v>
      </c>
      <c r="AF55" s="37">
        <f t="shared" si="137"/>
        <v>0</v>
      </c>
      <c r="AG55" s="37">
        <f t="shared" si="137"/>
        <v>0</v>
      </c>
      <c r="AH55" s="37">
        <f t="shared" ref="AH55:AN55" si="138">AH29-AH42</f>
        <v>0</v>
      </c>
      <c r="AI55" s="37">
        <f t="shared" si="138"/>
        <v>0</v>
      </c>
      <c r="AJ55" s="37">
        <f t="shared" si="138"/>
        <v>0</v>
      </c>
      <c r="AK55" s="37">
        <f t="shared" si="138"/>
        <v>0</v>
      </c>
      <c r="AL55" s="37">
        <f t="shared" si="138"/>
        <v>0</v>
      </c>
      <c r="AM55" s="37">
        <f t="shared" si="138"/>
        <v>0</v>
      </c>
      <c r="AN55" s="37">
        <f t="shared" si="138"/>
        <v>0</v>
      </c>
    </row>
    <row r="56" spans="2:40" x14ac:dyDescent="0.2">
      <c r="B56" s="31" t="s">
        <v>406</v>
      </c>
      <c r="C56" s="37">
        <f t="shared" si="136"/>
        <v>0</v>
      </c>
      <c r="D56" s="37">
        <f t="shared" ref="D56:S61" si="139">D30-D43</f>
        <v>0</v>
      </c>
      <c r="E56" s="37">
        <f t="shared" si="139"/>
        <v>0</v>
      </c>
      <c r="F56" s="37">
        <f t="shared" si="139"/>
        <v>0</v>
      </c>
      <c r="G56" s="37">
        <f t="shared" si="139"/>
        <v>0</v>
      </c>
      <c r="H56" s="37">
        <f t="shared" si="139"/>
        <v>0</v>
      </c>
      <c r="I56" s="37">
        <f t="shared" si="139"/>
        <v>0</v>
      </c>
      <c r="J56" s="37">
        <f t="shared" si="139"/>
        <v>0</v>
      </c>
      <c r="K56" s="37">
        <f t="shared" si="139"/>
        <v>0</v>
      </c>
      <c r="L56" s="37">
        <f t="shared" si="139"/>
        <v>0</v>
      </c>
      <c r="M56" s="37">
        <f t="shared" si="139"/>
        <v>0</v>
      </c>
      <c r="N56" s="37">
        <f t="shared" si="139"/>
        <v>0</v>
      </c>
      <c r="O56" s="37">
        <f t="shared" si="139"/>
        <v>0</v>
      </c>
      <c r="P56" s="37">
        <f t="shared" si="139"/>
        <v>0</v>
      </c>
      <c r="Q56" s="37">
        <f t="shared" si="139"/>
        <v>0</v>
      </c>
      <c r="R56" s="37">
        <f t="shared" si="139"/>
        <v>0</v>
      </c>
      <c r="S56" s="37">
        <f t="shared" si="139"/>
        <v>0</v>
      </c>
      <c r="T56" s="37">
        <f t="shared" si="137"/>
        <v>0</v>
      </c>
      <c r="U56" s="37">
        <f t="shared" si="137"/>
        <v>0</v>
      </c>
      <c r="V56" s="37">
        <f t="shared" si="137"/>
        <v>0</v>
      </c>
      <c r="W56" s="37">
        <f t="shared" si="137"/>
        <v>0</v>
      </c>
      <c r="X56" s="37">
        <f t="shared" si="137"/>
        <v>0</v>
      </c>
      <c r="Y56" s="37">
        <f t="shared" si="137"/>
        <v>0</v>
      </c>
      <c r="Z56" s="37">
        <f t="shared" si="137"/>
        <v>0</v>
      </c>
      <c r="AA56" s="37">
        <f t="shared" si="137"/>
        <v>0</v>
      </c>
      <c r="AB56" s="37">
        <f t="shared" si="137"/>
        <v>0</v>
      </c>
      <c r="AC56" s="37">
        <f t="shared" si="137"/>
        <v>0</v>
      </c>
      <c r="AD56" s="37">
        <f t="shared" si="137"/>
        <v>0</v>
      </c>
      <c r="AE56" s="37">
        <f t="shared" si="137"/>
        <v>0</v>
      </c>
      <c r="AF56" s="37">
        <f t="shared" si="137"/>
        <v>0</v>
      </c>
      <c r="AG56" s="37">
        <f t="shared" si="137"/>
        <v>0</v>
      </c>
      <c r="AH56" s="37">
        <f t="shared" ref="AH56:AN56" si="140">AH30-AH43</f>
        <v>0</v>
      </c>
      <c r="AI56" s="37">
        <f t="shared" si="140"/>
        <v>0</v>
      </c>
      <c r="AJ56" s="37">
        <f t="shared" si="140"/>
        <v>0</v>
      </c>
      <c r="AK56" s="37">
        <f t="shared" si="140"/>
        <v>0</v>
      </c>
      <c r="AL56" s="37">
        <f t="shared" si="140"/>
        <v>0</v>
      </c>
      <c r="AM56" s="37">
        <f t="shared" si="140"/>
        <v>0</v>
      </c>
      <c r="AN56" s="37">
        <f t="shared" si="140"/>
        <v>0</v>
      </c>
    </row>
    <row r="57" spans="2:40" x14ac:dyDescent="0.2">
      <c r="B57" s="31" t="s">
        <v>407</v>
      </c>
      <c r="C57" s="37">
        <f t="shared" si="136"/>
        <v>0</v>
      </c>
      <c r="D57" s="37">
        <f t="shared" si="139"/>
        <v>0</v>
      </c>
      <c r="E57" s="37">
        <f t="shared" si="137"/>
        <v>0</v>
      </c>
      <c r="F57" s="37">
        <f t="shared" si="137"/>
        <v>0</v>
      </c>
      <c r="G57" s="37">
        <f t="shared" si="137"/>
        <v>0</v>
      </c>
      <c r="H57" s="37">
        <f t="shared" si="137"/>
        <v>0</v>
      </c>
      <c r="I57" s="37">
        <f t="shared" si="137"/>
        <v>0</v>
      </c>
      <c r="J57" s="37">
        <f t="shared" si="137"/>
        <v>0</v>
      </c>
      <c r="K57" s="37">
        <f t="shared" si="137"/>
        <v>0</v>
      </c>
      <c r="L57" s="37">
        <f t="shared" si="137"/>
        <v>0</v>
      </c>
      <c r="M57" s="37">
        <f t="shared" si="137"/>
        <v>0</v>
      </c>
      <c r="N57" s="37">
        <f t="shared" si="137"/>
        <v>0</v>
      </c>
      <c r="O57" s="37">
        <f t="shared" si="137"/>
        <v>0</v>
      </c>
      <c r="P57" s="37">
        <f t="shared" si="137"/>
        <v>0</v>
      </c>
      <c r="Q57" s="37">
        <f t="shared" si="137"/>
        <v>0</v>
      </c>
      <c r="R57" s="37">
        <f t="shared" si="137"/>
        <v>0</v>
      </c>
      <c r="S57" s="37">
        <f t="shared" si="137"/>
        <v>0</v>
      </c>
      <c r="T57" s="37">
        <f t="shared" si="137"/>
        <v>0</v>
      </c>
      <c r="U57" s="37">
        <f t="shared" si="137"/>
        <v>0</v>
      </c>
      <c r="V57" s="37">
        <f t="shared" si="137"/>
        <v>0</v>
      </c>
      <c r="W57" s="37">
        <f t="shared" si="137"/>
        <v>0</v>
      </c>
      <c r="X57" s="37">
        <f t="shared" si="137"/>
        <v>0</v>
      </c>
      <c r="Y57" s="37">
        <f t="shared" si="137"/>
        <v>0</v>
      </c>
      <c r="Z57" s="37">
        <f t="shared" si="137"/>
        <v>0</v>
      </c>
      <c r="AA57" s="37">
        <f t="shared" si="137"/>
        <v>0</v>
      </c>
      <c r="AB57" s="37">
        <f t="shared" si="137"/>
        <v>0</v>
      </c>
      <c r="AC57" s="37">
        <f t="shared" si="137"/>
        <v>0</v>
      </c>
      <c r="AD57" s="37">
        <f t="shared" si="137"/>
        <v>0</v>
      </c>
      <c r="AE57" s="37">
        <f t="shared" si="137"/>
        <v>0</v>
      </c>
      <c r="AF57" s="37">
        <f t="shared" si="137"/>
        <v>0</v>
      </c>
      <c r="AG57" s="37">
        <f t="shared" si="137"/>
        <v>0</v>
      </c>
      <c r="AH57" s="37">
        <f t="shared" ref="AH57:AN57" si="141">AH31-AH44</f>
        <v>0</v>
      </c>
      <c r="AI57" s="37">
        <f t="shared" si="141"/>
        <v>0</v>
      </c>
      <c r="AJ57" s="37">
        <f t="shared" si="141"/>
        <v>0</v>
      </c>
      <c r="AK57" s="37">
        <f t="shared" si="141"/>
        <v>0</v>
      </c>
      <c r="AL57" s="37">
        <f t="shared" si="141"/>
        <v>0</v>
      </c>
      <c r="AM57" s="37">
        <f t="shared" si="141"/>
        <v>0</v>
      </c>
      <c r="AN57" s="37">
        <f t="shared" si="141"/>
        <v>0</v>
      </c>
    </row>
    <row r="58" spans="2:40" x14ac:dyDescent="0.2">
      <c r="B58" s="31" t="s">
        <v>408</v>
      </c>
      <c r="C58" s="37">
        <f t="shared" si="136"/>
        <v>0</v>
      </c>
      <c r="D58" s="37">
        <f t="shared" si="139"/>
        <v>0</v>
      </c>
      <c r="E58" s="37">
        <f t="shared" si="137"/>
        <v>0</v>
      </c>
      <c r="F58" s="37">
        <f t="shared" si="137"/>
        <v>0</v>
      </c>
      <c r="G58" s="37">
        <f t="shared" si="137"/>
        <v>0</v>
      </c>
      <c r="H58" s="37">
        <f t="shared" si="137"/>
        <v>0</v>
      </c>
      <c r="I58" s="37">
        <f t="shared" si="137"/>
        <v>0</v>
      </c>
      <c r="J58" s="37">
        <f t="shared" si="137"/>
        <v>0</v>
      </c>
      <c r="K58" s="37">
        <f t="shared" si="137"/>
        <v>0</v>
      </c>
      <c r="L58" s="37">
        <f t="shared" si="137"/>
        <v>0</v>
      </c>
      <c r="M58" s="37">
        <f t="shared" si="137"/>
        <v>0</v>
      </c>
      <c r="N58" s="37">
        <f t="shared" si="137"/>
        <v>0</v>
      </c>
      <c r="O58" s="37">
        <f t="shared" si="137"/>
        <v>0</v>
      </c>
      <c r="P58" s="37">
        <f t="shared" si="137"/>
        <v>0</v>
      </c>
      <c r="Q58" s="37">
        <f t="shared" si="137"/>
        <v>0</v>
      </c>
      <c r="R58" s="37">
        <f t="shared" si="137"/>
        <v>0</v>
      </c>
      <c r="S58" s="37">
        <f t="shared" si="137"/>
        <v>0</v>
      </c>
      <c r="T58" s="37">
        <f t="shared" si="137"/>
        <v>0</v>
      </c>
      <c r="U58" s="37">
        <f t="shared" si="137"/>
        <v>0</v>
      </c>
      <c r="V58" s="37">
        <f t="shared" si="137"/>
        <v>0</v>
      </c>
      <c r="W58" s="37">
        <f t="shared" si="137"/>
        <v>0</v>
      </c>
      <c r="X58" s="37">
        <f t="shared" si="137"/>
        <v>0</v>
      </c>
      <c r="Y58" s="37">
        <f t="shared" si="137"/>
        <v>0</v>
      </c>
      <c r="Z58" s="37">
        <f t="shared" si="137"/>
        <v>0</v>
      </c>
      <c r="AA58" s="37">
        <f t="shared" si="137"/>
        <v>0</v>
      </c>
      <c r="AB58" s="37">
        <f t="shared" si="137"/>
        <v>0</v>
      </c>
      <c r="AC58" s="37">
        <f t="shared" si="137"/>
        <v>0</v>
      </c>
      <c r="AD58" s="37">
        <f t="shared" si="137"/>
        <v>0</v>
      </c>
      <c r="AE58" s="37">
        <f t="shared" si="137"/>
        <v>0</v>
      </c>
      <c r="AF58" s="37">
        <f t="shared" si="137"/>
        <v>0</v>
      </c>
      <c r="AG58" s="37">
        <f t="shared" si="137"/>
        <v>0</v>
      </c>
      <c r="AH58" s="37">
        <f t="shared" ref="AH58:AN58" si="142">AH32-AH45</f>
        <v>0</v>
      </c>
      <c r="AI58" s="37">
        <f t="shared" si="142"/>
        <v>0</v>
      </c>
      <c r="AJ58" s="37">
        <f t="shared" si="142"/>
        <v>0</v>
      </c>
      <c r="AK58" s="37">
        <f t="shared" si="142"/>
        <v>0</v>
      </c>
      <c r="AL58" s="37">
        <f t="shared" si="142"/>
        <v>0</v>
      </c>
      <c r="AM58" s="37">
        <f t="shared" si="142"/>
        <v>0</v>
      </c>
      <c r="AN58" s="37">
        <f t="shared" si="142"/>
        <v>0</v>
      </c>
    </row>
    <row r="59" spans="2:40" x14ac:dyDescent="0.2">
      <c r="B59" s="31" t="s">
        <v>136</v>
      </c>
      <c r="C59" s="37">
        <f t="shared" si="136"/>
        <v>0</v>
      </c>
      <c r="D59" s="37">
        <f t="shared" si="139"/>
        <v>0</v>
      </c>
      <c r="E59" s="37">
        <f t="shared" si="137"/>
        <v>0</v>
      </c>
      <c r="F59" s="37">
        <f t="shared" si="137"/>
        <v>0</v>
      </c>
      <c r="G59" s="37">
        <f t="shared" si="137"/>
        <v>0</v>
      </c>
      <c r="H59" s="37">
        <f t="shared" si="137"/>
        <v>0</v>
      </c>
      <c r="I59" s="37">
        <f t="shared" si="137"/>
        <v>0</v>
      </c>
      <c r="J59" s="37">
        <f t="shared" si="137"/>
        <v>0</v>
      </c>
      <c r="K59" s="37">
        <f t="shared" si="137"/>
        <v>0</v>
      </c>
      <c r="L59" s="37">
        <f t="shared" si="137"/>
        <v>0</v>
      </c>
      <c r="M59" s="37">
        <f t="shared" si="137"/>
        <v>0</v>
      </c>
      <c r="N59" s="37">
        <f t="shared" si="137"/>
        <v>0</v>
      </c>
      <c r="O59" s="37">
        <f t="shared" si="137"/>
        <v>0</v>
      </c>
      <c r="P59" s="37">
        <f t="shared" si="137"/>
        <v>0</v>
      </c>
      <c r="Q59" s="37">
        <f t="shared" si="137"/>
        <v>0</v>
      </c>
      <c r="R59" s="37">
        <f t="shared" si="137"/>
        <v>0</v>
      </c>
      <c r="S59" s="37">
        <f t="shared" si="137"/>
        <v>0</v>
      </c>
      <c r="T59" s="37">
        <f t="shared" si="137"/>
        <v>0</v>
      </c>
      <c r="U59" s="37">
        <f t="shared" si="137"/>
        <v>0</v>
      </c>
      <c r="V59" s="37">
        <f t="shared" si="137"/>
        <v>0</v>
      </c>
      <c r="W59" s="37">
        <f t="shared" si="137"/>
        <v>0</v>
      </c>
      <c r="X59" s="37">
        <f t="shared" si="137"/>
        <v>0</v>
      </c>
      <c r="Y59" s="37">
        <f t="shared" si="137"/>
        <v>0</v>
      </c>
      <c r="Z59" s="37">
        <f t="shared" si="137"/>
        <v>0</v>
      </c>
      <c r="AA59" s="37">
        <f t="shared" si="137"/>
        <v>0</v>
      </c>
      <c r="AB59" s="37">
        <f t="shared" si="137"/>
        <v>0</v>
      </c>
      <c r="AC59" s="37">
        <f t="shared" si="137"/>
        <v>0</v>
      </c>
      <c r="AD59" s="37">
        <f t="shared" si="137"/>
        <v>0</v>
      </c>
      <c r="AE59" s="37">
        <f t="shared" si="137"/>
        <v>0</v>
      </c>
      <c r="AF59" s="37">
        <f t="shared" si="137"/>
        <v>0</v>
      </c>
      <c r="AG59" s="37">
        <f t="shared" si="137"/>
        <v>0</v>
      </c>
      <c r="AH59" s="37">
        <f t="shared" ref="AH59:AN59" si="143">AH33-AH46</f>
        <v>0</v>
      </c>
      <c r="AI59" s="37">
        <f t="shared" si="143"/>
        <v>0</v>
      </c>
      <c r="AJ59" s="37">
        <f t="shared" si="143"/>
        <v>0</v>
      </c>
      <c r="AK59" s="37">
        <f t="shared" si="143"/>
        <v>0</v>
      </c>
      <c r="AL59" s="37">
        <f t="shared" si="143"/>
        <v>0</v>
      </c>
      <c r="AM59" s="37">
        <f t="shared" si="143"/>
        <v>0</v>
      </c>
      <c r="AN59" s="37">
        <f t="shared" si="143"/>
        <v>0</v>
      </c>
    </row>
    <row r="60" spans="2:40" ht="11.85" customHeight="1" x14ac:dyDescent="0.2">
      <c r="B60" s="31" t="s">
        <v>133</v>
      </c>
      <c r="C60" s="37">
        <f t="shared" si="136"/>
        <v>0</v>
      </c>
      <c r="D60" s="37">
        <f t="shared" si="139"/>
        <v>0</v>
      </c>
      <c r="E60" s="37">
        <f t="shared" si="137"/>
        <v>0</v>
      </c>
      <c r="F60" s="37">
        <f t="shared" si="137"/>
        <v>0</v>
      </c>
      <c r="G60" s="37">
        <f t="shared" si="137"/>
        <v>0</v>
      </c>
      <c r="H60" s="37">
        <f t="shared" si="137"/>
        <v>0</v>
      </c>
      <c r="I60" s="37">
        <f t="shared" si="137"/>
        <v>0</v>
      </c>
      <c r="J60" s="37">
        <f t="shared" si="137"/>
        <v>0</v>
      </c>
      <c r="K60" s="37">
        <f t="shared" si="137"/>
        <v>0</v>
      </c>
      <c r="L60" s="37">
        <f t="shared" si="137"/>
        <v>0</v>
      </c>
      <c r="M60" s="37">
        <f t="shared" si="137"/>
        <v>0</v>
      </c>
      <c r="N60" s="37">
        <f t="shared" si="137"/>
        <v>0</v>
      </c>
      <c r="O60" s="37">
        <f t="shared" si="137"/>
        <v>0</v>
      </c>
      <c r="P60" s="37">
        <f t="shared" si="137"/>
        <v>0</v>
      </c>
      <c r="Q60" s="37">
        <f t="shared" si="137"/>
        <v>0</v>
      </c>
      <c r="R60" s="37">
        <f t="shared" si="137"/>
        <v>0</v>
      </c>
      <c r="S60" s="37">
        <f t="shared" si="137"/>
        <v>0</v>
      </c>
      <c r="T60" s="37">
        <f t="shared" si="137"/>
        <v>0</v>
      </c>
      <c r="U60" s="37">
        <f t="shared" si="137"/>
        <v>0</v>
      </c>
      <c r="V60" s="37">
        <f t="shared" si="137"/>
        <v>0</v>
      </c>
      <c r="W60" s="37">
        <f t="shared" si="137"/>
        <v>0</v>
      </c>
      <c r="X60" s="37">
        <f t="shared" si="137"/>
        <v>0</v>
      </c>
      <c r="Y60" s="37">
        <f t="shared" si="137"/>
        <v>0</v>
      </c>
      <c r="Z60" s="37">
        <f t="shared" si="137"/>
        <v>0</v>
      </c>
      <c r="AA60" s="37">
        <f t="shared" si="137"/>
        <v>0</v>
      </c>
      <c r="AB60" s="37">
        <f t="shared" si="137"/>
        <v>0</v>
      </c>
      <c r="AC60" s="37">
        <f t="shared" si="137"/>
        <v>0</v>
      </c>
      <c r="AD60" s="37">
        <f t="shared" si="137"/>
        <v>0</v>
      </c>
      <c r="AE60" s="37">
        <f t="shared" si="137"/>
        <v>0</v>
      </c>
      <c r="AF60" s="37">
        <f t="shared" si="137"/>
        <v>0</v>
      </c>
      <c r="AG60" s="37">
        <f t="shared" si="137"/>
        <v>0</v>
      </c>
      <c r="AH60" s="37">
        <f t="shared" ref="AH60:AN60" si="144">AH34-AH47</f>
        <v>0</v>
      </c>
      <c r="AI60" s="37">
        <f t="shared" si="144"/>
        <v>0</v>
      </c>
      <c r="AJ60" s="37">
        <f t="shared" si="144"/>
        <v>0</v>
      </c>
      <c r="AK60" s="37">
        <f t="shared" si="144"/>
        <v>0</v>
      </c>
      <c r="AL60" s="37">
        <f t="shared" si="144"/>
        <v>0</v>
      </c>
      <c r="AM60" s="37">
        <f t="shared" si="144"/>
        <v>0</v>
      </c>
      <c r="AN60" s="37">
        <f t="shared" si="144"/>
        <v>0</v>
      </c>
    </row>
    <row r="61" spans="2:40" x14ac:dyDescent="0.2">
      <c r="B61" s="31" t="s">
        <v>137</v>
      </c>
      <c r="C61" s="37">
        <f t="shared" si="136"/>
        <v>0</v>
      </c>
      <c r="D61" s="37">
        <f t="shared" si="139"/>
        <v>0</v>
      </c>
      <c r="E61" s="37">
        <f t="shared" si="137"/>
        <v>0</v>
      </c>
      <c r="F61" s="37">
        <f t="shared" si="137"/>
        <v>0</v>
      </c>
      <c r="G61" s="37">
        <f t="shared" si="137"/>
        <v>0</v>
      </c>
      <c r="H61" s="37">
        <f t="shared" si="137"/>
        <v>0</v>
      </c>
      <c r="I61" s="37">
        <f t="shared" si="137"/>
        <v>0</v>
      </c>
      <c r="J61" s="37">
        <f t="shared" si="137"/>
        <v>0</v>
      </c>
      <c r="K61" s="37">
        <f t="shared" si="137"/>
        <v>0</v>
      </c>
      <c r="L61" s="37">
        <f t="shared" si="137"/>
        <v>0</v>
      </c>
      <c r="M61" s="37">
        <f t="shared" si="137"/>
        <v>0</v>
      </c>
      <c r="N61" s="37">
        <f t="shared" si="137"/>
        <v>0</v>
      </c>
      <c r="O61" s="37">
        <f t="shared" si="137"/>
        <v>0</v>
      </c>
      <c r="P61" s="37">
        <f t="shared" si="137"/>
        <v>0</v>
      </c>
      <c r="Q61" s="37">
        <f t="shared" si="137"/>
        <v>0</v>
      </c>
      <c r="R61" s="37">
        <f t="shared" si="137"/>
        <v>0</v>
      </c>
      <c r="S61" s="37">
        <f t="shared" si="137"/>
        <v>0</v>
      </c>
      <c r="T61" s="37">
        <f t="shared" si="137"/>
        <v>0</v>
      </c>
      <c r="U61" s="37">
        <f t="shared" si="137"/>
        <v>0</v>
      </c>
      <c r="V61" s="37">
        <f t="shared" si="137"/>
        <v>0</v>
      </c>
      <c r="W61" s="37">
        <f t="shared" si="137"/>
        <v>0</v>
      </c>
      <c r="X61" s="37">
        <f t="shared" si="137"/>
        <v>0</v>
      </c>
      <c r="Y61" s="37">
        <f t="shared" si="137"/>
        <v>0</v>
      </c>
      <c r="Z61" s="37">
        <f t="shared" si="137"/>
        <v>0</v>
      </c>
      <c r="AA61" s="37">
        <f t="shared" si="137"/>
        <v>0</v>
      </c>
      <c r="AB61" s="37">
        <f t="shared" si="137"/>
        <v>0</v>
      </c>
      <c r="AC61" s="37">
        <f t="shared" si="137"/>
        <v>0</v>
      </c>
      <c r="AD61" s="37">
        <f t="shared" si="137"/>
        <v>0</v>
      </c>
      <c r="AE61" s="37">
        <f t="shared" si="137"/>
        <v>0</v>
      </c>
      <c r="AF61" s="37">
        <f t="shared" si="137"/>
        <v>0</v>
      </c>
      <c r="AG61" s="37">
        <f t="shared" si="137"/>
        <v>0</v>
      </c>
      <c r="AH61" s="37">
        <f t="shared" ref="AH61:AN61" si="145">AH35-AH48</f>
        <v>0</v>
      </c>
      <c r="AI61" s="37">
        <f t="shared" si="145"/>
        <v>0</v>
      </c>
      <c r="AJ61" s="37">
        <f t="shared" si="145"/>
        <v>0</v>
      </c>
      <c r="AK61" s="37">
        <f t="shared" si="145"/>
        <v>0</v>
      </c>
      <c r="AL61" s="37">
        <f t="shared" si="145"/>
        <v>0</v>
      </c>
      <c r="AM61" s="37">
        <f t="shared" si="145"/>
        <v>0</v>
      </c>
      <c r="AN61" s="37">
        <f t="shared" si="145"/>
        <v>0</v>
      </c>
    </row>
    <row r="62" spans="2:40" x14ac:dyDescent="0.2">
      <c r="B62" s="162" t="s">
        <v>59</v>
      </c>
      <c r="C62" s="163">
        <f t="shared" si="136"/>
        <v>0</v>
      </c>
      <c r="D62" s="164">
        <f>SUM(D55:D61)</f>
        <v>0</v>
      </c>
      <c r="E62" s="163">
        <f t="shared" ref="E62:AG62" si="146">SUM(E55:E61)</f>
        <v>0</v>
      </c>
      <c r="F62" s="163">
        <f t="shared" si="146"/>
        <v>0</v>
      </c>
      <c r="G62" s="163">
        <f t="shared" si="146"/>
        <v>0</v>
      </c>
      <c r="H62" s="163">
        <f t="shared" si="146"/>
        <v>0</v>
      </c>
      <c r="I62" s="163">
        <f t="shared" si="146"/>
        <v>0</v>
      </c>
      <c r="J62" s="163">
        <f t="shared" si="146"/>
        <v>0</v>
      </c>
      <c r="K62" s="163">
        <f t="shared" si="146"/>
        <v>0</v>
      </c>
      <c r="L62" s="163">
        <f t="shared" si="146"/>
        <v>0</v>
      </c>
      <c r="M62" s="163">
        <f t="shared" si="146"/>
        <v>0</v>
      </c>
      <c r="N62" s="163">
        <f t="shared" si="146"/>
        <v>0</v>
      </c>
      <c r="O62" s="163">
        <f t="shared" si="146"/>
        <v>0</v>
      </c>
      <c r="P62" s="163">
        <f t="shared" si="146"/>
        <v>0</v>
      </c>
      <c r="Q62" s="163">
        <f t="shared" si="146"/>
        <v>0</v>
      </c>
      <c r="R62" s="163">
        <f t="shared" si="146"/>
        <v>0</v>
      </c>
      <c r="S62" s="163">
        <f t="shared" si="146"/>
        <v>0</v>
      </c>
      <c r="T62" s="163">
        <f t="shared" si="146"/>
        <v>0</v>
      </c>
      <c r="U62" s="163">
        <f t="shared" si="146"/>
        <v>0</v>
      </c>
      <c r="V62" s="163">
        <f t="shared" si="146"/>
        <v>0</v>
      </c>
      <c r="W62" s="163">
        <f t="shared" si="146"/>
        <v>0</v>
      </c>
      <c r="X62" s="163">
        <f t="shared" si="146"/>
        <v>0</v>
      </c>
      <c r="Y62" s="163">
        <f t="shared" si="146"/>
        <v>0</v>
      </c>
      <c r="Z62" s="163">
        <f t="shared" si="146"/>
        <v>0</v>
      </c>
      <c r="AA62" s="163">
        <f t="shared" si="146"/>
        <v>0</v>
      </c>
      <c r="AB62" s="163">
        <f t="shared" si="146"/>
        <v>0</v>
      </c>
      <c r="AC62" s="163">
        <f t="shared" si="146"/>
        <v>0</v>
      </c>
      <c r="AD62" s="163">
        <f t="shared" si="146"/>
        <v>0</v>
      </c>
      <c r="AE62" s="163">
        <f t="shared" si="146"/>
        <v>0</v>
      </c>
      <c r="AF62" s="163">
        <f t="shared" si="146"/>
        <v>0</v>
      </c>
      <c r="AG62" s="163">
        <f t="shared" si="146"/>
        <v>0</v>
      </c>
      <c r="AH62" s="163">
        <f t="shared" ref="AH62:AN62" si="147">SUM(AH55:AH61)</f>
        <v>0</v>
      </c>
      <c r="AI62" s="163">
        <f t="shared" si="147"/>
        <v>0</v>
      </c>
      <c r="AJ62" s="163">
        <f t="shared" si="147"/>
        <v>0</v>
      </c>
      <c r="AK62" s="163">
        <f t="shared" si="147"/>
        <v>0</v>
      </c>
      <c r="AL62" s="163">
        <f t="shared" si="147"/>
        <v>0</v>
      </c>
      <c r="AM62" s="163">
        <f t="shared" si="147"/>
        <v>0</v>
      </c>
      <c r="AN62" s="163">
        <f t="shared" si="147"/>
        <v>0</v>
      </c>
    </row>
    <row r="65" spans="2:40" x14ac:dyDescent="0.2">
      <c r="B65" s="123"/>
      <c r="C65" s="31"/>
      <c r="D65" s="31" t="s">
        <v>10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</row>
    <row r="66" spans="2:40" x14ac:dyDescent="0.2">
      <c r="B66" s="733" t="s">
        <v>448</v>
      </c>
      <c r="C66" s="32"/>
      <c r="D66" s="33">
        <v>1</v>
      </c>
      <c r="E66" s="33">
        <v>2</v>
      </c>
      <c r="F66" s="33">
        <v>3</v>
      </c>
      <c r="G66" s="33">
        <v>4</v>
      </c>
      <c r="H66" s="33">
        <v>5</v>
      </c>
      <c r="I66" s="33">
        <v>6</v>
      </c>
      <c r="J66" s="33">
        <v>7</v>
      </c>
      <c r="K66" s="33">
        <v>8</v>
      </c>
      <c r="L66" s="33">
        <v>9</v>
      </c>
      <c r="M66" s="33">
        <v>10</v>
      </c>
      <c r="N66" s="33">
        <v>11</v>
      </c>
      <c r="O66" s="33">
        <v>12</v>
      </c>
      <c r="P66" s="33">
        <v>13</v>
      </c>
      <c r="Q66" s="33">
        <v>14</v>
      </c>
      <c r="R66" s="33">
        <v>15</v>
      </c>
      <c r="S66" s="33">
        <v>16</v>
      </c>
      <c r="T66" s="33">
        <v>17</v>
      </c>
      <c r="U66" s="33">
        <v>18</v>
      </c>
      <c r="V66" s="33">
        <v>19</v>
      </c>
      <c r="W66" s="33">
        <v>20</v>
      </c>
      <c r="X66" s="33">
        <v>21</v>
      </c>
      <c r="Y66" s="33">
        <v>22</v>
      </c>
      <c r="Z66" s="33">
        <v>23</v>
      </c>
      <c r="AA66" s="33">
        <v>24</v>
      </c>
      <c r="AB66" s="33">
        <v>25</v>
      </c>
      <c r="AC66" s="33">
        <v>26</v>
      </c>
      <c r="AD66" s="33">
        <v>27</v>
      </c>
      <c r="AE66" s="33">
        <v>28</v>
      </c>
      <c r="AF66" s="33">
        <v>29</v>
      </c>
      <c r="AG66" s="33">
        <v>30</v>
      </c>
      <c r="AH66" s="33">
        <v>31</v>
      </c>
      <c r="AI66" s="33">
        <v>32</v>
      </c>
      <c r="AJ66" s="33">
        <v>33</v>
      </c>
      <c r="AK66" s="33">
        <v>34</v>
      </c>
      <c r="AL66" s="33">
        <v>35</v>
      </c>
      <c r="AM66" s="33">
        <v>36</v>
      </c>
      <c r="AN66" s="33">
        <v>37</v>
      </c>
    </row>
    <row r="67" spans="2:40" x14ac:dyDescent="0.2">
      <c r="B67" s="734"/>
      <c r="C67" s="268" t="s">
        <v>9</v>
      </c>
      <c r="D67" s="35">
        <f t="shared" ref="D67:AG67" si="148">D4</f>
        <v>2026</v>
      </c>
      <c r="E67" s="35">
        <f t="shared" si="148"/>
        <v>2027</v>
      </c>
      <c r="F67" s="35">
        <f t="shared" si="148"/>
        <v>2028</v>
      </c>
      <c r="G67" s="35">
        <f t="shared" si="148"/>
        <v>2029</v>
      </c>
      <c r="H67" s="35">
        <f t="shared" si="148"/>
        <v>2030</v>
      </c>
      <c r="I67" s="35">
        <f t="shared" si="148"/>
        <v>2031</v>
      </c>
      <c r="J67" s="35">
        <f t="shared" si="148"/>
        <v>2032</v>
      </c>
      <c r="K67" s="35">
        <f t="shared" si="148"/>
        <v>2033</v>
      </c>
      <c r="L67" s="35">
        <f t="shared" si="148"/>
        <v>2034</v>
      </c>
      <c r="M67" s="35">
        <f t="shared" si="148"/>
        <v>2035</v>
      </c>
      <c r="N67" s="35">
        <f t="shared" si="148"/>
        <v>2036</v>
      </c>
      <c r="O67" s="35">
        <f t="shared" si="148"/>
        <v>2037</v>
      </c>
      <c r="P67" s="35">
        <f t="shared" si="148"/>
        <v>2038</v>
      </c>
      <c r="Q67" s="35">
        <f t="shared" si="148"/>
        <v>2039</v>
      </c>
      <c r="R67" s="35">
        <f t="shared" si="148"/>
        <v>2040</v>
      </c>
      <c r="S67" s="35">
        <f t="shared" si="148"/>
        <v>2041</v>
      </c>
      <c r="T67" s="35">
        <f t="shared" si="148"/>
        <v>2042</v>
      </c>
      <c r="U67" s="35">
        <f t="shared" si="148"/>
        <v>2043</v>
      </c>
      <c r="V67" s="35">
        <f t="shared" si="148"/>
        <v>2044</v>
      </c>
      <c r="W67" s="35">
        <f t="shared" si="148"/>
        <v>2045</v>
      </c>
      <c r="X67" s="35">
        <f t="shared" si="148"/>
        <v>2046</v>
      </c>
      <c r="Y67" s="35">
        <f t="shared" si="148"/>
        <v>2047</v>
      </c>
      <c r="Z67" s="35">
        <f t="shared" si="148"/>
        <v>2048</v>
      </c>
      <c r="AA67" s="35">
        <f t="shared" si="148"/>
        <v>2049</v>
      </c>
      <c r="AB67" s="35">
        <f t="shared" si="148"/>
        <v>2050</v>
      </c>
      <c r="AC67" s="35">
        <f t="shared" si="148"/>
        <v>2051</v>
      </c>
      <c r="AD67" s="35">
        <f t="shared" si="148"/>
        <v>2052</v>
      </c>
      <c r="AE67" s="35">
        <f t="shared" si="148"/>
        <v>2053</v>
      </c>
      <c r="AF67" s="35">
        <f t="shared" si="148"/>
        <v>2054</v>
      </c>
      <c r="AG67" s="35">
        <f t="shared" si="148"/>
        <v>2055</v>
      </c>
      <c r="AH67" s="35">
        <f t="shared" ref="AH67:AN67" si="149">AH4</f>
        <v>2056</v>
      </c>
      <c r="AI67" s="35">
        <f t="shared" si="149"/>
        <v>2057</v>
      </c>
      <c r="AJ67" s="35">
        <f t="shared" si="149"/>
        <v>2058</v>
      </c>
      <c r="AK67" s="35">
        <f t="shared" si="149"/>
        <v>2059</v>
      </c>
      <c r="AL67" s="35">
        <f t="shared" si="149"/>
        <v>2060</v>
      </c>
      <c r="AM67" s="35">
        <f t="shared" si="149"/>
        <v>2061</v>
      </c>
      <c r="AN67" s="35">
        <f t="shared" si="149"/>
        <v>2062</v>
      </c>
    </row>
    <row r="68" spans="2:40" x14ac:dyDescent="0.2">
      <c r="B68" s="31" t="s">
        <v>405</v>
      </c>
      <c r="C68" s="37">
        <f t="shared" ref="C68:C75" si="150">SUM(D68:AQ68)</f>
        <v>0</v>
      </c>
      <c r="D68" s="37">
        <f>D55*Parametre!C88</f>
        <v>0</v>
      </c>
      <c r="E68" s="37">
        <f>E55*Parametre!D88</f>
        <v>0</v>
      </c>
      <c r="F68" s="37">
        <f>F55*Parametre!E88</f>
        <v>0</v>
      </c>
      <c r="G68" s="37">
        <f>G55*Parametre!F88</f>
        <v>0</v>
      </c>
      <c r="H68" s="37">
        <f>H55*Parametre!G88</f>
        <v>0</v>
      </c>
      <c r="I68" s="37">
        <f>I55*Parametre!H88</f>
        <v>0</v>
      </c>
      <c r="J68" s="37">
        <f>J55*Parametre!I88</f>
        <v>0</v>
      </c>
      <c r="K68" s="37">
        <f>K55*Parametre!J88</f>
        <v>0</v>
      </c>
      <c r="L68" s="37">
        <f>L55*Parametre!K88</f>
        <v>0</v>
      </c>
      <c r="M68" s="37">
        <f>M55*Parametre!L88</f>
        <v>0</v>
      </c>
      <c r="N68" s="37">
        <f>N55*Parametre!M88</f>
        <v>0</v>
      </c>
      <c r="O68" s="37">
        <f>O55*Parametre!N88</f>
        <v>0</v>
      </c>
      <c r="P68" s="37">
        <f>P55*Parametre!O88</f>
        <v>0</v>
      </c>
      <c r="Q68" s="37">
        <f>Q55*Parametre!P88</f>
        <v>0</v>
      </c>
      <c r="R68" s="37">
        <f>R55*Parametre!Q88</f>
        <v>0</v>
      </c>
      <c r="S68" s="37">
        <f>S55*Parametre!R88</f>
        <v>0</v>
      </c>
      <c r="T68" s="37">
        <f>T55*Parametre!S88</f>
        <v>0</v>
      </c>
      <c r="U68" s="37">
        <f>U55*Parametre!T88</f>
        <v>0</v>
      </c>
      <c r="V68" s="37">
        <f>V55*Parametre!U88</f>
        <v>0</v>
      </c>
      <c r="W68" s="37">
        <f>W55*Parametre!V88</f>
        <v>0</v>
      </c>
      <c r="X68" s="37">
        <f>X55*Parametre!W88</f>
        <v>0</v>
      </c>
      <c r="Y68" s="37">
        <f>Y55*Parametre!X88</f>
        <v>0</v>
      </c>
      <c r="Z68" s="37">
        <f>Z55*Parametre!Y88</f>
        <v>0</v>
      </c>
      <c r="AA68" s="37">
        <f>AA55*Parametre!Z88</f>
        <v>0</v>
      </c>
      <c r="AB68" s="37">
        <f>AB55*Parametre!AA88</f>
        <v>0</v>
      </c>
      <c r="AC68" s="37">
        <f>AC55*Parametre!AB88</f>
        <v>0</v>
      </c>
      <c r="AD68" s="37">
        <f>AD55*Parametre!AC88</f>
        <v>0</v>
      </c>
      <c r="AE68" s="37">
        <f>AE55*Parametre!AD88</f>
        <v>0</v>
      </c>
      <c r="AF68" s="37">
        <f>AF55*Parametre!AE88</f>
        <v>0</v>
      </c>
      <c r="AG68" s="37">
        <f>AG55*Parametre!AF88</f>
        <v>0</v>
      </c>
      <c r="AH68" s="37">
        <f>AH55*Parametre!AG88</f>
        <v>0</v>
      </c>
      <c r="AI68" s="37">
        <f>AI55*Parametre!AH88</f>
        <v>0</v>
      </c>
      <c r="AJ68" s="37">
        <f>AJ55*Parametre!AI88</f>
        <v>0</v>
      </c>
      <c r="AK68" s="37">
        <f>AK55*Parametre!AJ88</f>
        <v>0</v>
      </c>
      <c r="AL68" s="37">
        <f>AL55*Parametre!AK88</f>
        <v>0</v>
      </c>
      <c r="AM68" s="37">
        <f>AM55*Parametre!AL88</f>
        <v>0</v>
      </c>
      <c r="AN68" s="37">
        <f>AN55*Parametre!AM88</f>
        <v>0</v>
      </c>
    </row>
    <row r="69" spans="2:40" x14ac:dyDescent="0.2">
      <c r="B69" s="31" t="s">
        <v>406</v>
      </c>
      <c r="C69" s="37">
        <f t="shared" si="150"/>
        <v>0</v>
      </c>
      <c r="D69" s="37">
        <f>D56*Parametre!C89</f>
        <v>0</v>
      </c>
      <c r="E69" s="37">
        <f>E56*Parametre!D89</f>
        <v>0</v>
      </c>
      <c r="F69" s="37">
        <f>F56*Parametre!E89</f>
        <v>0</v>
      </c>
      <c r="G69" s="37">
        <f>G56*Parametre!F89</f>
        <v>0</v>
      </c>
      <c r="H69" s="37">
        <f>H56*Parametre!G89</f>
        <v>0</v>
      </c>
      <c r="I69" s="37">
        <f>I56*Parametre!H89</f>
        <v>0</v>
      </c>
      <c r="J69" s="37">
        <f>J56*Parametre!I89</f>
        <v>0</v>
      </c>
      <c r="K69" s="37">
        <f>K56*Parametre!J89</f>
        <v>0</v>
      </c>
      <c r="L69" s="37">
        <f>L56*Parametre!K89</f>
        <v>0</v>
      </c>
      <c r="M69" s="37">
        <f>M56*Parametre!L89</f>
        <v>0</v>
      </c>
      <c r="N69" s="37">
        <f>N56*Parametre!M89</f>
        <v>0</v>
      </c>
      <c r="O69" s="37">
        <f>O56*Parametre!N89</f>
        <v>0</v>
      </c>
      <c r="P69" s="37">
        <f>P56*Parametre!O89</f>
        <v>0</v>
      </c>
      <c r="Q69" s="37">
        <f>Q56*Parametre!P89</f>
        <v>0</v>
      </c>
      <c r="R69" s="37">
        <f>R56*Parametre!Q89</f>
        <v>0</v>
      </c>
      <c r="S69" s="37">
        <f>S56*Parametre!R89</f>
        <v>0</v>
      </c>
      <c r="T69" s="37">
        <f>T56*Parametre!S89</f>
        <v>0</v>
      </c>
      <c r="U69" s="37">
        <f>U56*Parametre!T89</f>
        <v>0</v>
      </c>
      <c r="V69" s="37">
        <f>V56*Parametre!U89</f>
        <v>0</v>
      </c>
      <c r="W69" s="37">
        <f>W56*Parametre!V89</f>
        <v>0</v>
      </c>
      <c r="X69" s="37">
        <f>X56*Parametre!W89</f>
        <v>0</v>
      </c>
      <c r="Y69" s="37">
        <f>Y56*Parametre!X89</f>
        <v>0</v>
      </c>
      <c r="Z69" s="37">
        <f>Z56*Parametre!Y89</f>
        <v>0</v>
      </c>
      <c r="AA69" s="37">
        <f>AA56*Parametre!Z89</f>
        <v>0</v>
      </c>
      <c r="AB69" s="37">
        <f>AB56*Parametre!AA89</f>
        <v>0</v>
      </c>
      <c r="AC69" s="37">
        <f>AC56*Parametre!AB89</f>
        <v>0</v>
      </c>
      <c r="AD69" s="37">
        <f>AD56*Parametre!AC89</f>
        <v>0</v>
      </c>
      <c r="AE69" s="37">
        <f>AE56*Parametre!AD89</f>
        <v>0</v>
      </c>
      <c r="AF69" s="37">
        <f>AF56*Parametre!AE89</f>
        <v>0</v>
      </c>
      <c r="AG69" s="37">
        <f>AG56*Parametre!AF89</f>
        <v>0</v>
      </c>
      <c r="AH69" s="37">
        <f>AH56*Parametre!AG89</f>
        <v>0</v>
      </c>
      <c r="AI69" s="37">
        <f>AI56*Parametre!AH89</f>
        <v>0</v>
      </c>
      <c r="AJ69" s="37">
        <f>AJ56*Parametre!AI89</f>
        <v>0</v>
      </c>
      <c r="AK69" s="37">
        <f>AK56*Parametre!AJ89</f>
        <v>0</v>
      </c>
      <c r="AL69" s="37">
        <f>AL56*Parametre!AK89</f>
        <v>0</v>
      </c>
      <c r="AM69" s="37">
        <f>AM56*Parametre!AL89</f>
        <v>0</v>
      </c>
      <c r="AN69" s="37">
        <f>AN56*Parametre!AM89</f>
        <v>0</v>
      </c>
    </row>
    <row r="70" spans="2:40" x14ac:dyDescent="0.2">
      <c r="B70" s="31" t="s">
        <v>407</v>
      </c>
      <c r="C70" s="37">
        <f t="shared" si="150"/>
        <v>0</v>
      </c>
      <c r="D70" s="37">
        <f>D57*Parametre!C90</f>
        <v>0</v>
      </c>
      <c r="E70" s="37">
        <f>E57*Parametre!D90</f>
        <v>0</v>
      </c>
      <c r="F70" s="37">
        <f>F57*Parametre!E90</f>
        <v>0</v>
      </c>
      <c r="G70" s="37">
        <f>G57*Parametre!F90</f>
        <v>0</v>
      </c>
      <c r="H70" s="37">
        <f>H57*Parametre!G90</f>
        <v>0</v>
      </c>
      <c r="I70" s="37">
        <f>I57*Parametre!H90</f>
        <v>0</v>
      </c>
      <c r="J70" s="37">
        <f>J57*Parametre!I90</f>
        <v>0</v>
      </c>
      <c r="K70" s="37">
        <f>K57*Parametre!J90</f>
        <v>0</v>
      </c>
      <c r="L70" s="37">
        <f>L57*Parametre!K90</f>
        <v>0</v>
      </c>
      <c r="M70" s="37">
        <f>M57*Parametre!L90</f>
        <v>0</v>
      </c>
      <c r="N70" s="37">
        <f>N57*Parametre!M90</f>
        <v>0</v>
      </c>
      <c r="O70" s="37">
        <f>O57*Parametre!N90</f>
        <v>0</v>
      </c>
      <c r="P70" s="37">
        <f>P57*Parametre!O90</f>
        <v>0</v>
      </c>
      <c r="Q70" s="37">
        <f>Q57*Parametre!P90</f>
        <v>0</v>
      </c>
      <c r="R70" s="37">
        <f>R57*Parametre!Q90</f>
        <v>0</v>
      </c>
      <c r="S70" s="37">
        <f>S57*Parametre!R90</f>
        <v>0</v>
      </c>
      <c r="T70" s="37">
        <f>T57*Parametre!S90</f>
        <v>0</v>
      </c>
      <c r="U70" s="37">
        <f>U57*Parametre!T90</f>
        <v>0</v>
      </c>
      <c r="V70" s="37">
        <f>V57*Parametre!U90</f>
        <v>0</v>
      </c>
      <c r="W70" s="37">
        <f>W57*Parametre!V90</f>
        <v>0</v>
      </c>
      <c r="X70" s="37">
        <f>X57*Parametre!W90</f>
        <v>0</v>
      </c>
      <c r="Y70" s="37">
        <f>Y57*Parametre!X90</f>
        <v>0</v>
      </c>
      <c r="Z70" s="37">
        <f>Z57*Parametre!Y90</f>
        <v>0</v>
      </c>
      <c r="AA70" s="37">
        <f>AA57*Parametre!Z90</f>
        <v>0</v>
      </c>
      <c r="AB70" s="37">
        <f>AB57*Parametre!AA90</f>
        <v>0</v>
      </c>
      <c r="AC70" s="37">
        <f>AC57*Parametre!AB90</f>
        <v>0</v>
      </c>
      <c r="AD70" s="37">
        <f>AD57*Parametre!AC90</f>
        <v>0</v>
      </c>
      <c r="AE70" s="37">
        <f>AE57*Parametre!AD90</f>
        <v>0</v>
      </c>
      <c r="AF70" s="37">
        <f>AF57*Parametre!AE90</f>
        <v>0</v>
      </c>
      <c r="AG70" s="37">
        <f>AG57*Parametre!AF90</f>
        <v>0</v>
      </c>
      <c r="AH70" s="37">
        <f>AH57*Parametre!AG90</f>
        <v>0</v>
      </c>
      <c r="AI70" s="37">
        <f>AI57*Parametre!AH90</f>
        <v>0</v>
      </c>
      <c r="AJ70" s="37">
        <f>AJ57*Parametre!AI90</f>
        <v>0</v>
      </c>
      <c r="AK70" s="37">
        <f>AK57*Parametre!AJ90</f>
        <v>0</v>
      </c>
      <c r="AL70" s="37">
        <f>AL57*Parametre!AK90</f>
        <v>0</v>
      </c>
      <c r="AM70" s="37">
        <f>AM57*Parametre!AL90</f>
        <v>0</v>
      </c>
      <c r="AN70" s="37">
        <f>AN57*Parametre!AM90</f>
        <v>0</v>
      </c>
    </row>
    <row r="71" spans="2:40" x14ac:dyDescent="0.2">
      <c r="B71" s="31" t="s">
        <v>408</v>
      </c>
      <c r="C71" s="37">
        <f t="shared" si="150"/>
        <v>0</v>
      </c>
      <c r="D71" s="37">
        <f>D58*Parametre!C91</f>
        <v>0</v>
      </c>
      <c r="E71" s="37">
        <f>E58*Parametre!D91</f>
        <v>0</v>
      </c>
      <c r="F71" s="37">
        <f>F58*Parametre!E91</f>
        <v>0</v>
      </c>
      <c r="G71" s="37">
        <f>G58*Parametre!F91</f>
        <v>0</v>
      </c>
      <c r="H71" s="37">
        <f>H58*Parametre!G91</f>
        <v>0</v>
      </c>
      <c r="I71" s="37">
        <f>I58*Parametre!H91</f>
        <v>0</v>
      </c>
      <c r="J71" s="37">
        <f>J58*Parametre!I91</f>
        <v>0</v>
      </c>
      <c r="K71" s="37">
        <f>K58*Parametre!J91</f>
        <v>0</v>
      </c>
      <c r="L71" s="37">
        <f>L58*Parametre!K91</f>
        <v>0</v>
      </c>
      <c r="M71" s="37">
        <f>M58*Parametre!L91</f>
        <v>0</v>
      </c>
      <c r="N71" s="37">
        <f>N58*Parametre!M91</f>
        <v>0</v>
      </c>
      <c r="O71" s="37">
        <f>O58*Parametre!N91</f>
        <v>0</v>
      </c>
      <c r="P71" s="37">
        <f>P58*Parametre!O91</f>
        <v>0</v>
      </c>
      <c r="Q71" s="37">
        <f>Q58*Parametre!P91</f>
        <v>0</v>
      </c>
      <c r="R71" s="37">
        <f>R58*Parametre!Q91</f>
        <v>0</v>
      </c>
      <c r="S71" s="37">
        <f>S58*Parametre!R91</f>
        <v>0</v>
      </c>
      <c r="T71" s="37">
        <f>T58*Parametre!S91</f>
        <v>0</v>
      </c>
      <c r="U71" s="37">
        <f>U58*Parametre!T91</f>
        <v>0</v>
      </c>
      <c r="V71" s="37">
        <f>V58*Parametre!U91</f>
        <v>0</v>
      </c>
      <c r="W71" s="37">
        <f>W58*Parametre!V91</f>
        <v>0</v>
      </c>
      <c r="X71" s="37">
        <f>X58*Parametre!W91</f>
        <v>0</v>
      </c>
      <c r="Y71" s="37">
        <f>Y58*Parametre!X91</f>
        <v>0</v>
      </c>
      <c r="Z71" s="37">
        <f>Z58*Parametre!Y91</f>
        <v>0</v>
      </c>
      <c r="AA71" s="37">
        <f>AA58*Parametre!Z91</f>
        <v>0</v>
      </c>
      <c r="AB71" s="37">
        <f>AB58*Parametre!AA91</f>
        <v>0</v>
      </c>
      <c r="AC71" s="37">
        <f>AC58*Parametre!AB91</f>
        <v>0</v>
      </c>
      <c r="AD71" s="37">
        <f>AD58*Parametre!AC91</f>
        <v>0</v>
      </c>
      <c r="AE71" s="37">
        <f>AE58*Parametre!AD91</f>
        <v>0</v>
      </c>
      <c r="AF71" s="37">
        <f>AF58*Parametre!AE91</f>
        <v>0</v>
      </c>
      <c r="AG71" s="37">
        <f>AG58*Parametre!AF91</f>
        <v>0</v>
      </c>
      <c r="AH71" s="37">
        <f>AH58*Parametre!AG91</f>
        <v>0</v>
      </c>
      <c r="AI71" s="37">
        <f>AI58*Parametre!AH91</f>
        <v>0</v>
      </c>
      <c r="AJ71" s="37">
        <f>AJ58*Parametre!AI91</f>
        <v>0</v>
      </c>
      <c r="AK71" s="37">
        <f>AK58*Parametre!AJ91</f>
        <v>0</v>
      </c>
      <c r="AL71" s="37">
        <f>AL58*Parametre!AK91</f>
        <v>0</v>
      </c>
      <c r="AM71" s="37">
        <f>AM58*Parametre!AL91</f>
        <v>0</v>
      </c>
      <c r="AN71" s="37">
        <f>AN58*Parametre!AM91</f>
        <v>0</v>
      </c>
    </row>
    <row r="72" spans="2:40" x14ac:dyDescent="0.2">
      <c r="B72" s="31" t="s">
        <v>136</v>
      </c>
      <c r="C72" s="37">
        <f t="shared" si="150"/>
        <v>0</v>
      </c>
      <c r="D72" s="37">
        <f>D59*Parametre!C92</f>
        <v>0</v>
      </c>
      <c r="E72" s="37">
        <f>E59*Parametre!D92</f>
        <v>0</v>
      </c>
      <c r="F72" s="37">
        <f>F59*Parametre!E92</f>
        <v>0</v>
      </c>
      <c r="G72" s="37">
        <f>G59*Parametre!F92</f>
        <v>0</v>
      </c>
      <c r="H72" s="37">
        <f>H59*Parametre!G92</f>
        <v>0</v>
      </c>
      <c r="I72" s="37">
        <f>I59*Parametre!H92</f>
        <v>0</v>
      </c>
      <c r="J72" s="37">
        <f>J59*Parametre!I92</f>
        <v>0</v>
      </c>
      <c r="K72" s="37">
        <f>K59*Parametre!J92</f>
        <v>0</v>
      </c>
      <c r="L72" s="37">
        <f>L59*Parametre!K92</f>
        <v>0</v>
      </c>
      <c r="M72" s="37">
        <f>M59*Parametre!L92</f>
        <v>0</v>
      </c>
      <c r="N72" s="37">
        <f>N59*Parametre!M92</f>
        <v>0</v>
      </c>
      <c r="O72" s="37">
        <f>O59*Parametre!N92</f>
        <v>0</v>
      </c>
      <c r="P72" s="37">
        <f>P59*Parametre!O92</f>
        <v>0</v>
      </c>
      <c r="Q72" s="37">
        <f>Q59*Parametre!P92</f>
        <v>0</v>
      </c>
      <c r="R72" s="37">
        <f>R59*Parametre!Q92</f>
        <v>0</v>
      </c>
      <c r="S72" s="37">
        <f>S59*Parametre!R92</f>
        <v>0</v>
      </c>
      <c r="T72" s="37">
        <f>T59*Parametre!S92</f>
        <v>0</v>
      </c>
      <c r="U72" s="37">
        <f>U59*Parametre!T92</f>
        <v>0</v>
      </c>
      <c r="V72" s="37">
        <f>V59*Parametre!U92</f>
        <v>0</v>
      </c>
      <c r="W72" s="37">
        <f>W59*Parametre!V92</f>
        <v>0</v>
      </c>
      <c r="X72" s="37">
        <f>X59*Parametre!W92</f>
        <v>0</v>
      </c>
      <c r="Y72" s="37">
        <f>Y59*Parametre!X92</f>
        <v>0</v>
      </c>
      <c r="Z72" s="37">
        <f>Z59*Parametre!Y92</f>
        <v>0</v>
      </c>
      <c r="AA72" s="37">
        <f>AA59*Parametre!Z92</f>
        <v>0</v>
      </c>
      <c r="AB72" s="37">
        <f>AB59*Parametre!AA92</f>
        <v>0</v>
      </c>
      <c r="AC72" s="37">
        <f>AC59*Parametre!AB92</f>
        <v>0</v>
      </c>
      <c r="AD72" s="37">
        <f>AD59*Parametre!AC92</f>
        <v>0</v>
      </c>
      <c r="AE72" s="37">
        <f>AE59*Parametre!AD92</f>
        <v>0</v>
      </c>
      <c r="AF72" s="37">
        <f>AF59*Parametre!AE92</f>
        <v>0</v>
      </c>
      <c r="AG72" s="37">
        <f>AG59*Parametre!AF92</f>
        <v>0</v>
      </c>
      <c r="AH72" s="37">
        <f>AH59*Parametre!AG92</f>
        <v>0</v>
      </c>
      <c r="AI72" s="37">
        <f>AI59*Parametre!AH92</f>
        <v>0</v>
      </c>
      <c r="AJ72" s="37">
        <f>AJ59*Parametre!AI92</f>
        <v>0</v>
      </c>
      <c r="AK72" s="37">
        <f>AK59*Parametre!AJ92</f>
        <v>0</v>
      </c>
      <c r="AL72" s="37">
        <f>AL59*Parametre!AK92</f>
        <v>0</v>
      </c>
      <c r="AM72" s="37">
        <f>AM59*Parametre!AL92</f>
        <v>0</v>
      </c>
      <c r="AN72" s="37">
        <f>AN59*Parametre!AM92</f>
        <v>0</v>
      </c>
    </row>
    <row r="73" spans="2:40" ht="11.85" customHeight="1" x14ac:dyDescent="0.2">
      <c r="B73" s="31" t="s">
        <v>133</v>
      </c>
      <c r="C73" s="37">
        <f t="shared" si="150"/>
        <v>0</v>
      </c>
      <c r="D73" s="37">
        <f>D60*Parametre!C93</f>
        <v>0</v>
      </c>
      <c r="E73" s="37">
        <f>E60*Parametre!D93</f>
        <v>0</v>
      </c>
      <c r="F73" s="37">
        <f>F60*Parametre!E93</f>
        <v>0</v>
      </c>
      <c r="G73" s="37">
        <f>G60*Parametre!F93</f>
        <v>0</v>
      </c>
      <c r="H73" s="37">
        <f>H60*Parametre!G93</f>
        <v>0</v>
      </c>
      <c r="I73" s="37">
        <f>I60*Parametre!H93</f>
        <v>0</v>
      </c>
      <c r="J73" s="37">
        <f>J60*Parametre!I93</f>
        <v>0</v>
      </c>
      <c r="K73" s="37">
        <f>K60*Parametre!J93</f>
        <v>0</v>
      </c>
      <c r="L73" s="37">
        <f>L60*Parametre!K93</f>
        <v>0</v>
      </c>
      <c r="M73" s="37">
        <f>M60*Parametre!L93</f>
        <v>0</v>
      </c>
      <c r="N73" s="37">
        <f>N60*Parametre!M93</f>
        <v>0</v>
      </c>
      <c r="O73" s="37">
        <f>O60*Parametre!N93</f>
        <v>0</v>
      </c>
      <c r="P73" s="37">
        <f>P60*Parametre!O93</f>
        <v>0</v>
      </c>
      <c r="Q73" s="37">
        <f>Q60*Parametre!P93</f>
        <v>0</v>
      </c>
      <c r="R73" s="37">
        <f>R60*Parametre!Q93</f>
        <v>0</v>
      </c>
      <c r="S73" s="37">
        <f>S60*Parametre!R93</f>
        <v>0</v>
      </c>
      <c r="T73" s="37">
        <f>T60*Parametre!S93</f>
        <v>0</v>
      </c>
      <c r="U73" s="37">
        <f>U60*Parametre!T93</f>
        <v>0</v>
      </c>
      <c r="V73" s="37">
        <f>V60*Parametre!U93</f>
        <v>0</v>
      </c>
      <c r="W73" s="37">
        <f>W60*Parametre!V93</f>
        <v>0</v>
      </c>
      <c r="X73" s="37">
        <f>X60*Parametre!W93</f>
        <v>0</v>
      </c>
      <c r="Y73" s="37">
        <f>Y60*Parametre!X93</f>
        <v>0</v>
      </c>
      <c r="Z73" s="37">
        <f>Z60*Parametre!Y93</f>
        <v>0</v>
      </c>
      <c r="AA73" s="37">
        <f>AA60*Parametre!Z93</f>
        <v>0</v>
      </c>
      <c r="AB73" s="37">
        <f>AB60*Parametre!AA93</f>
        <v>0</v>
      </c>
      <c r="AC73" s="37">
        <f>AC60*Parametre!AB93</f>
        <v>0</v>
      </c>
      <c r="AD73" s="37">
        <f>AD60*Parametre!AC93</f>
        <v>0</v>
      </c>
      <c r="AE73" s="37">
        <f>AE60*Parametre!AD93</f>
        <v>0</v>
      </c>
      <c r="AF73" s="37">
        <f>AF60*Parametre!AE93</f>
        <v>0</v>
      </c>
      <c r="AG73" s="37">
        <f>AG60*Parametre!AF93</f>
        <v>0</v>
      </c>
      <c r="AH73" s="37">
        <f>AH60*Parametre!AG93</f>
        <v>0</v>
      </c>
      <c r="AI73" s="37">
        <f>AI60*Parametre!AH93</f>
        <v>0</v>
      </c>
      <c r="AJ73" s="37">
        <f>AJ60*Parametre!AI93</f>
        <v>0</v>
      </c>
      <c r="AK73" s="37">
        <f>AK60*Parametre!AJ93</f>
        <v>0</v>
      </c>
      <c r="AL73" s="37">
        <f>AL60*Parametre!AK93</f>
        <v>0</v>
      </c>
      <c r="AM73" s="37">
        <f>AM60*Parametre!AL93</f>
        <v>0</v>
      </c>
      <c r="AN73" s="37">
        <f>AN60*Parametre!AM93</f>
        <v>0</v>
      </c>
    </row>
    <row r="74" spans="2:40" x14ac:dyDescent="0.2">
      <c r="B74" s="31" t="s">
        <v>137</v>
      </c>
      <c r="C74" s="37">
        <f t="shared" si="150"/>
        <v>0</v>
      </c>
      <c r="D74" s="37">
        <f>D61*Parametre!C94</f>
        <v>0</v>
      </c>
      <c r="E74" s="37">
        <f>E61*Parametre!D94</f>
        <v>0</v>
      </c>
      <c r="F74" s="37">
        <f>F61*Parametre!E94</f>
        <v>0</v>
      </c>
      <c r="G74" s="37">
        <f>G61*Parametre!F94</f>
        <v>0</v>
      </c>
      <c r="H74" s="37">
        <f>H61*Parametre!G94</f>
        <v>0</v>
      </c>
      <c r="I74" s="37">
        <f>I61*Parametre!H94</f>
        <v>0</v>
      </c>
      <c r="J74" s="37">
        <f>J61*Parametre!I94</f>
        <v>0</v>
      </c>
      <c r="K74" s="37">
        <f>K61*Parametre!J94</f>
        <v>0</v>
      </c>
      <c r="L74" s="37">
        <f>L61*Parametre!K94</f>
        <v>0</v>
      </c>
      <c r="M74" s="37">
        <f>M61*Parametre!L94</f>
        <v>0</v>
      </c>
      <c r="N74" s="37">
        <f>N61*Parametre!M94</f>
        <v>0</v>
      </c>
      <c r="O74" s="37">
        <f>O61*Parametre!N94</f>
        <v>0</v>
      </c>
      <c r="P74" s="37">
        <f>P61*Parametre!O94</f>
        <v>0</v>
      </c>
      <c r="Q74" s="37">
        <f>Q61*Parametre!P94</f>
        <v>0</v>
      </c>
      <c r="R74" s="37">
        <f>R61*Parametre!Q94</f>
        <v>0</v>
      </c>
      <c r="S74" s="37">
        <f>S61*Parametre!R94</f>
        <v>0</v>
      </c>
      <c r="T74" s="37">
        <f>T61*Parametre!S94</f>
        <v>0</v>
      </c>
      <c r="U74" s="37">
        <f>U61*Parametre!T94</f>
        <v>0</v>
      </c>
      <c r="V74" s="37">
        <f>V61*Parametre!U94</f>
        <v>0</v>
      </c>
      <c r="W74" s="37">
        <f>W61*Parametre!V94</f>
        <v>0</v>
      </c>
      <c r="X74" s="37">
        <f>X61*Parametre!W94</f>
        <v>0</v>
      </c>
      <c r="Y74" s="37">
        <f>Y61*Parametre!X94</f>
        <v>0</v>
      </c>
      <c r="Z74" s="37">
        <f>Z61*Parametre!Y94</f>
        <v>0</v>
      </c>
      <c r="AA74" s="37">
        <f>AA61*Parametre!Z94</f>
        <v>0</v>
      </c>
      <c r="AB74" s="37">
        <f>AB61*Parametre!AA94</f>
        <v>0</v>
      </c>
      <c r="AC74" s="37">
        <f>AC61*Parametre!AB94</f>
        <v>0</v>
      </c>
      <c r="AD74" s="37">
        <f>AD61*Parametre!AC94</f>
        <v>0</v>
      </c>
      <c r="AE74" s="37">
        <f>AE61*Parametre!AD94</f>
        <v>0</v>
      </c>
      <c r="AF74" s="37">
        <f>AF61*Parametre!AE94</f>
        <v>0</v>
      </c>
      <c r="AG74" s="37">
        <f>AG61*Parametre!AF94</f>
        <v>0</v>
      </c>
      <c r="AH74" s="37">
        <f>AH61*Parametre!AG94</f>
        <v>0</v>
      </c>
      <c r="AI74" s="37">
        <f>AI61*Parametre!AH94</f>
        <v>0</v>
      </c>
      <c r="AJ74" s="37">
        <f>AJ61*Parametre!AI94</f>
        <v>0</v>
      </c>
      <c r="AK74" s="37">
        <f>AK61*Parametre!AJ94</f>
        <v>0</v>
      </c>
      <c r="AL74" s="37">
        <f>AL61*Parametre!AK94</f>
        <v>0</v>
      </c>
      <c r="AM74" s="37">
        <f>AM61*Parametre!AL94</f>
        <v>0</v>
      </c>
      <c r="AN74" s="37">
        <f>AN61*Parametre!AM94</f>
        <v>0</v>
      </c>
    </row>
    <row r="75" spans="2:40" x14ac:dyDescent="0.2">
      <c r="B75" s="159" t="s">
        <v>296</v>
      </c>
      <c r="C75" s="160">
        <f t="shared" si="150"/>
        <v>0</v>
      </c>
      <c r="D75" s="161">
        <f>SUM(D68:D74)</f>
        <v>0</v>
      </c>
      <c r="E75" s="160">
        <f t="shared" ref="E75:AG75" si="151">SUM(E68:E74)</f>
        <v>0</v>
      </c>
      <c r="F75" s="160">
        <f t="shared" si="151"/>
        <v>0</v>
      </c>
      <c r="G75" s="160">
        <f t="shared" si="151"/>
        <v>0</v>
      </c>
      <c r="H75" s="160">
        <f t="shared" si="151"/>
        <v>0</v>
      </c>
      <c r="I75" s="160">
        <f t="shared" si="151"/>
        <v>0</v>
      </c>
      <c r="J75" s="160">
        <f t="shared" si="151"/>
        <v>0</v>
      </c>
      <c r="K75" s="160">
        <f t="shared" si="151"/>
        <v>0</v>
      </c>
      <c r="L75" s="160">
        <f t="shared" si="151"/>
        <v>0</v>
      </c>
      <c r="M75" s="160">
        <f t="shared" si="151"/>
        <v>0</v>
      </c>
      <c r="N75" s="160">
        <f t="shared" si="151"/>
        <v>0</v>
      </c>
      <c r="O75" s="160">
        <f t="shared" si="151"/>
        <v>0</v>
      </c>
      <c r="P75" s="160">
        <f t="shared" si="151"/>
        <v>0</v>
      </c>
      <c r="Q75" s="160">
        <f t="shared" si="151"/>
        <v>0</v>
      </c>
      <c r="R75" s="160">
        <f t="shared" si="151"/>
        <v>0</v>
      </c>
      <c r="S75" s="160">
        <f t="shared" si="151"/>
        <v>0</v>
      </c>
      <c r="T75" s="160">
        <f t="shared" si="151"/>
        <v>0</v>
      </c>
      <c r="U75" s="160">
        <f t="shared" si="151"/>
        <v>0</v>
      </c>
      <c r="V75" s="160">
        <f t="shared" si="151"/>
        <v>0</v>
      </c>
      <c r="W75" s="160">
        <f t="shared" si="151"/>
        <v>0</v>
      </c>
      <c r="X75" s="160">
        <f t="shared" si="151"/>
        <v>0</v>
      </c>
      <c r="Y75" s="160">
        <f t="shared" si="151"/>
        <v>0</v>
      </c>
      <c r="Z75" s="160">
        <f t="shared" si="151"/>
        <v>0</v>
      </c>
      <c r="AA75" s="160">
        <f t="shared" si="151"/>
        <v>0</v>
      </c>
      <c r="AB75" s="160">
        <f t="shared" si="151"/>
        <v>0</v>
      </c>
      <c r="AC75" s="160">
        <f t="shared" si="151"/>
        <v>0</v>
      </c>
      <c r="AD75" s="160">
        <f t="shared" si="151"/>
        <v>0</v>
      </c>
      <c r="AE75" s="160">
        <f t="shared" si="151"/>
        <v>0</v>
      </c>
      <c r="AF75" s="160">
        <f t="shared" si="151"/>
        <v>0</v>
      </c>
      <c r="AG75" s="160">
        <f t="shared" si="151"/>
        <v>0</v>
      </c>
      <c r="AH75" s="160">
        <f t="shared" ref="AH75:AN75" si="152">SUM(AH68:AH74)</f>
        <v>0</v>
      </c>
      <c r="AI75" s="160">
        <f t="shared" si="152"/>
        <v>0</v>
      </c>
      <c r="AJ75" s="160">
        <f t="shared" si="152"/>
        <v>0</v>
      </c>
      <c r="AK75" s="160">
        <f t="shared" si="152"/>
        <v>0</v>
      </c>
      <c r="AL75" s="160">
        <f t="shared" si="152"/>
        <v>0</v>
      </c>
      <c r="AM75" s="160">
        <f t="shared" si="152"/>
        <v>0</v>
      </c>
      <c r="AN75" s="160">
        <f t="shared" si="152"/>
        <v>0</v>
      </c>
    </row>
    <row r="77" spans="2:40" x14ac:dyDescent="0.2">
      <c r="B77" s="30" t="s">
        <v>2</v>
      </c>
    </row>
    <row r="78" spans="2:40" x14ac:dyDescent="0.2">
      <c r="B78" s="30" t="s">
        <v>286</v>
      </c>
    </row>
    <row r="82" spans="3:3" x14ac:dyDescent="0.2">
      <c r="C82" s="309"/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49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B47D-5B97-41A8-AA9A-B657A14B7759}">
  <sheetPr>
    <tabColor theme="7" tint="0.59999389629810485"/>
  </sheetPr>
  <dimension ref="B3:AQ42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52.42578125" style="231" bestFit="1" customWidth="1"/>
    <col min="3" max="3" width="7.140625" style="231" bestFit="1" customWidth="1"/>
    <col min="4" max="43" width="4.42578125" style="231" bestFit="1" customWidth="1"/>
    <col min="44" max="16384" width="9.140625" style="231"/>
  </cols>
  <sheetData>
    <row r="3" spans="2:43" x14ac:dyDescent="0.2">
      <c r="B3" s="360" t="s">
        <v>630</v>
      </c>
      <c r="C3" s="402"/>
      <c r="D3" s="256" t="s">
        <v>10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</row>
    <row r="4" spans="2:43" x14ac:dyDescent="0.2">
      <c r="B4" s="360"/>
      <c r="C4" s="403"/>
      <c r="D4" s="256">
        <v>1</v>
      </c>
      <c r="E4" s="256">
        <v>2</v>
      </c>
      <c r="F4" s="256">
        <v>3</v>
      </c>
      <c r="G4" s="256">
        <v>4</v>
      </c>
      <c r="H4" s="256">
        <v>5</v>
      </c>
      <c r="I4" s="256">
        <v>6</v>
      </c>
      <c r="J4" s="256">
        <v>7</v>
      </c>
      <c r="K4" s="256">
        <v>8</v>
      </c>
      <c r="L4" s="256">
        <v>9</v>
      </c>
      <c r="M4" s="256">
        <v>10</v>
      </c>
      <c r="N4" s="256">
        <v>11</v>
      </c>
      <c r="O4" s="256">
        <v>12</v>
      </c>
      <c r="P4" s="256">
        <v>13</v>
      </c>
      <c r="Q4" s="256">
        <v>14</v>
      </c>
      <c r="R4" s="256">
        <v>15</v>
      </c>
      <c r="S4" s="256">
        <v>16</v>
      </c>
      <c r="T4" s="256">
        <v>17</v>
      </c>
      <c r="U4" s="256">
        <v>18</v>
      </c>
      <c r="V4" s="256">
        <v>19</v>
      </c>
      <c r="W4" s="256">
        <v>20</v>
      </c>
      <c r="X4" s="256">
        <v>21</v>
      </c>
      <c r="Y4" s="256">
        <v>22</v>
      </c>
      <c r="Z4" s="256">
        <v>23</v>
      </c>
      <c r="AA4" s="256">
        <v>24</v>
      </c>
      <c r="AB4" s="256">
        <v>25</v>
      </c>
      <c r="AC4" s="256">
        <v>26</v>
      </c>
      <c r="AD4" s="256">
        <v>27</v>
      </c>
      <c r="AE4" s="256">
        <v>28</v>
      </c>
      <c r="AF4" s="256">
        <v>29</v>
      </c>
      <c r="AG4" s="256">
        <v>30</v>
      </c>
      <c r="AH4" s="256">
        <v>31</v>
      </c>
      <c r="AI4" s="256">
        <v>32</v>
      </c>
      <c r="AJ4" s="256">
        <v>33</v>
      </c>
      <c r="AK4" s="256">
        <v>34</v>
      </c>
      <c r="AL4" s="256">
        <v>35</v>
      </c>
      <c r="AM4" s="256">
        <v>36</v>
      </c>
      <c r="AN4" s="256">
        <v>37</v>
      </c>
      <c r="AO4" s="256">
        <v>38</v>
      </c>
      <c r="AP4" s="256">
        <v>39</v>
      </c>
      <c r="AQ4" s="256">
        <v>40</v>
      </c>
    </row>
    <row r="5" spans="2:43" x14ac:dyDescent="0.2">
      <c r="B5" s="259" t="s">
        <v>33</v>
      </c>
      <c r="C5" s="259" t="s">
        <v>9</v>
      </c>
      <c r="D5" s="304">
        <v>2026</v>
      </c>
      <c r="E5" s="304">
        <f>$D$5+D4</f>
        <v>2027</v>
      </c>
      <c r="F5" s="304">
        <f t="shared" ref="F5:AN5" si="0">$D$5+E4</f>
        <v>2028</v>
      </c>
      <c r="G5" s="304">
        <f t="shared" si="0"/>
        <v>2029</v>
      </c>
      <c r="H5" s="304">
        <f t="shared" si="0"/>
        <v>2030</v>
      </c>
      <c r="I5" s="304">
        <f t="shared" si="0"/>
        <v>2031</v>
      </c>
      <c r="J5" s="304">
        <f t="shared" si="0"/>
        <v>2032</v>
      </c>
      <c r="K5" s="304">
        <f t="shared" si="0"/>
        <v>2033</v>
      </c>
      <c r="L5" s="304">
        <f t="shared" si="0"/>
        <v>2034</v>
      </c>
      <c r="M5" s="304">
        <f t="shared" si="0"/>
        <v>2035</v>
      </c>
      <c r="N5" s="304">
        <f t="shared" si="0"/>
        <v>2036</v>
      </c>
      <c r="O5" s="304">
        <f t="shared" si="0"/>
        <v>2037</v>
      </c>
      <c r="P5" s="304">
        <f t="shared" si="0"/>
        <v>2038</v>
      </c>
      <c r="Q5" s="304">
        <f t="shared" si="0"/>
        <v>2039</v>
      </c>
      <c r="R5" s="304">
        <f t="shared" si="0"/>
        <v>2040</v>
      </c>
      <c r="S5" s="304">
        <f t="shared" si="0"/>
        <v>2041</v>
      </c>
      <c r="T5" s="304">
        <f t="shared" si="0"/>
        <v>2042</v>
      </c>
      <c r="U5" s="304">
        <f t="shared" si="0"/>
        <v>2043</v>
      </c>
      <c r="V5" s="304">
        <f t="shared" si="0"/>
        <v>2044</v>
      </c>
      <c r="W5" s="304">
        <f t="shared" si="0"/>
        <v>2045</v>
      </c>
      <c r="X5" s="304">
        <f t="shared" si="0"/>
        <v>2046</v>
      </c>
      <c r="Y5" s="304">
        <f t="shared" si="0"/>
        <v>2047</v>
      </c>
      <c r="Z5" s="304">
        <f t="shared" si="0"/>
        <v>2048</v>
      </c>
      <c r="AA5" s="304">
        <f t="shared" si="0"/>
        <v>2049</v>
      </c>
      <c r="AB5" s="304">
        <f t="shared" si="0"/>
        <v>2050</v>
      </c>
      <c r="AC5" s="304">
        <f t="shared" si="0"/>
        <v>2051</v>
      </c>
      <c r="AD5" s="304">
        <f t="shared" si="0"/>
        <v>2052</v>
      </c>
      <c r="AE5" s="304">
        <f t="shared" si="0"/>
        <v>2053</v>
      </c>
      <c r="AF5" s="304">
        <f t="shared" si="0"/>
        <v>2054</v>
      </c>
      <c r="AG5" s="304">
        <f t="shared" si="0"/>
        <v>2055</v>
      </c>
      <c r="AH5" s="304">
        <f t="shared" si="0"/>
        <v>2056</v>
      </c>
      <c r="AI5" s="304">
        <f t="shared" si="0"/>
        <v>2057</v>
      </c>
      <c r="AJ5" s="304">
        <f t="shared" si="0"/>
        <v>2058</v>
      </c>
      <c r="AK5" s="304">
        <f t="shared" si="0"/>
        <v>2059</v>
      </c>
      <c r="AL5" s="304">
        <f t="shared" si="0"/>
        <v>2060</v>
      </c>
      <c r="AM5" s="304">
        <f t="shared" si="0"/>
        <v>2061</v>
      </c>
      <c r="AN5" s="304">
        <f t="shared" si="0"/>
        <v>2062</v>
      </c>
      <c r="AO5" s="304">
        <f t="shared" ref="AO5" si="1">$D$5+AN4</f>
        <v>2063</v>
      </c>
      <c r="AP5" s="304">
        <f t="shared" ref="AP5" si="2">$D$5+AO4</f>
        <v>2064</v>
      </c>
      <c r="AQ5" s="304">
        <f t="shared" ref="AQ5" si="3">$D$5+AP4</f>
        <v>2065</v>
      </c>
    </row>
    <row r="6" spans="2:43" x14ac:dyDescent="0.2">
      <c r="B6" s="362" t="s">
        <v>685</v>
      </c>
      <c r="C6" s="363">
        <f>SUM(D6:AN6)</f>
        <v>0</v>
      </c>
      <c r="D6" s="235">
        <f>0*Parametre!$C$99</f>
        <v>0</v>
      </c>
      <c r="E6" s="235">
        <f>0*Parametre!$C$99</f>
        <v>0</v>
      </c>
      <c r="F6" s="235">
        <f>0*Parametre!$C$99</f>
        <v>0</v>
      </c>
      <c r="G6" s="235">
        <f>0*Parametre!$C$99</f>
        <v>0</v>
      </c>
      <c r="H6" s="235">
        <f>0*Parametre!$C$99</f>
        <v>0</v>
      </c>
      <c r="I6" s="235">
        <f>0*Parametre!$C$99</f>
        <v>0</v>
      </c>
      <c r="J6" s="235">
        <f>0*Parametre!$C$99</f>
        <v>0</v>
      </c>
      <c r="K6" s="235">
        <f>0*Parametre!$C$99</f>
        <v>0</v>
      </c>
      <c r="L6" s="235">
        <f>0*Parametre!$C$99</f>
        <v>0</v>
      </c>
      <c r="M6" s="235">
        <f>0*Parametre!$C$99</f>
        <v>0</v>
      </c>
      <c r="N6" s="235">
        <f>0*Parametre!$C$99</f>
        <v>0</v>
      </c>
      <c r="O6" s="235">
        <f>0*Parametre!$C$99</f>
        <v>0</v>
      </c>
      <c r="P6" s="235">
        <f>0*Parametre!$C$99</f>
        <v>0</v>
      </c>
      <c r="Q6" s="235">
        <f>0*Parametre!$C$99</f>
        <v>0</v>
      </c>
      <c r="R6" s="235">
        <f>0*Parametre!$C$99</f>
        <v>0</v>
      </c>
      <c r="S6" s="235">
        <f>0*Parametre!$C$99</f>
        <v>0</v>
      </c>
      <c r="T6" s="235">
        <f>0*Parametre!$C$99</f>
        <v>0</v>
      </c>
      <c r="U6" s="235">
        <f>0*Parametre!$C$99</f>
        <v>0</v>
      </c>
      <c r="V6" s="235">
        <f>0*Parametre!$C$99</f>
        <v>0</v>
      </c>
      <c r="W6" s="235">
        <f>0*Parametre!$C$99</f>
        <v>0</v>
      </c>
      <c r="X6" s="235">
        <f>0*Parametre!$C$99</f>
        <v>0</v>
      </c>
      <c r="Y6" s="235">
        <f>0*Parametre!$C$99</f>
        <v>0</v>
      </c>
      <c r="Z6" s="235">
        <f>0*Parametre!$C$99</f>
        <v>0</v>
      </c>
      <c r="AA6" s="235">
        <f>0*Parametre!$C$99</f>
        <v>0</v>
      </c>
      <c r="AB6" s="235">
        <f>0*Parametre!$C$99</f>
        <v>0</v>
      </c>
      <c r="AC6" s="235">
        <f>0*Parametre!$C$99</f>
        <v>0</v>
      </c>
      <c r="AD6" s="235">
        <f>0*Parametre!$C$99</f>
        <v>0</v>
      </c>
      <c r="AE6" s="235">
        <f>0*Parametre!$C$99</f>
        <v>0</v>
      </c>
      <c r="AF6" s="235">
        <f>0*Parametre!$C$99</f>
        <v>0</v>
      </c>
      <c r="AG6" s="235">
        <f>0*Parametre!$C$99</f>
        <v>0</v>
      </c>
      <c r="AH6" s="235">
        <f>0*Parametre!$C$99</f>
        <v>0</v>
      </c>
      <c r="AI6" s="235">
        <f>0*Parametre!$C$99</f>
        <v>0</v>
      </c>
      <c r="AJ6" s="235">
        <f>0*Parametre!$C$99</f>
        <v>0</v>
      </c>
      <c r="AK6" s="235">
        <f>0*Parametre!$C$99</f>
        <v>0</v>
      </c>
      <c r="AL6" s="235">
        <f>0*Parametre!$C$99</f>
        <v>0</v>
      </c>
      <c r="AM6" s="235">
        <f>0*Parametre!$C$99</f>
        <v>0</v>
      </c>
      <c r="AN6" s="235">
        <f>0*Parametre!$C$99</f>
        <v>0</v>
      </c>
      <c r="AO6" s="235">
        <f>0*Parametre!$C$99</f>
        <v>0</v>
      </c>
      <c r="AP6" s="235">
        <f>0*Parametre!$C$99</f>
        <v>0</v>
      </c>
      <c r="AQ6" s="235">
        <f>0*Parametre!$C$99</f>
        <v>0</v>
      </c>
    </row>
    <row r="8" spans="2:43" x14ac:dyDescent="0.2">
      <c r="B8" s="305"/>
      <c r="C8" s="305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</row>
    <row r="9" spans="2:43" x14ac:dyDescent="0.2">
      <c r="B9" s="360" t="s">
        <v>631</v>
      </c>
      <c r="C9" s="402"/>
      <c r="D9" s="256" t="s">
        <v>10</v>
      </c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</row>
    <row r="10" spans="2:43" x14ac:dyDescent="0.2">
      <c r="B10" s="360"/>
      <c r="C10" s="403"/>
      <c r="D10" s="256">
        <v>1</v>
      </c>
      <c r="E10" s="256">
        <v>2</v>
      </c>
      <c r="F10" s="256">
        <v>3</v>
      </c>
      <c r="G10" s="256">
        <v>4</v>
      </c>
      <c r="H10" s="256">
        <v>5</v>
      </c>
      <c r="I10" s="256">
        <v>6</v>
      </c>
      <c r="J10" s="256">
        <v>7</v>
      </c>
      <c r="K10" s="256">
        <v>8</v>
      </c>
      <c r="L10" s="256">
        <v>9</v>
      </c>
      <c r="M10" s="256">
        <v>10</v>
      </c>
      <c r="N10" s="256">
        <v>11</v>
      </c>
      <c r="O10" s="256">
        <v>12</v>
      </c>
      <c r="P10" s="256">
        <v>13</v>
      </c>
      <c r="Q10" s="256">
        <v>14</v>
      </c>
      <c r="R10" s="256">
        <v>15</v>
      </c>
      <c r="S10" s="256">
        <v>16</v>
      </c>
      <c r="T10" s="256">
        <v>17</v>
      </c>
      <c r="U10" s="256">
        <v>18</v>
      </c>
      <c r="V10" s="256">
        <v>19</v>
      </c>
      <c r="W10" s="256">
        <v>20</v>
      </c>
      <c r="X10" s="256">
        <v>21</v>
      </c>
      <c r="Y10" s="256">
        <v>22</v>
      </c>
      <c r="Z10" s="256">
        <v>23</v>
      </c>
      <c r="AA10" s="256">
        <v>24</v>
      </c>
      <c r="AB10" s="256">
        <v>25</v>
      </c>
      <c r="AC10" s="256">
        <v>26</v>
      </c>
      <c r="AD10" s="256">
        <v>27</v>
      </c>
      <c r="AE10" s="256">
        <v>28</v>
      </c>
      <c r="AF10" s="256">
        <v>29</v>
      </c>
      <c r="AG10" s="256">
        <v>30</v>
      </c>
      <c r="AH10" s="256">
        <v>31</v>
      </c>
      <c r="AI10" s="256">
        <v>32</v>
      </c>
      <c r="AJ10" s="256">
        <v>33</v>
      </c>
      <c r="AK10" s="256">
        <v>34</v>
      </c>
      <c r="AL10" s="256">
        <v>35</v>
      </c>
      <c r="AM10" s="256">
        <v>36</v>
      </c>
      <c r="AN10" s="256">
        <v>37</v>
      </c>
      <c r="AO10" s="256">
        <v>38</v>
      </c>
      <c r="AP10" s="256">
        <v>39</v>
      </c>
      <c r="AQ10" s="256">
        <v>40</v>
      </c>
    </row>
    <row r="11" spans="2:43" x14ac:dyDescent="0.2">
      <c r="B11" s="259" t="s">
        <v>34</v>
      </c>
      <c r="C11" s="259" t="s">
        <v>9</v>
      </c>
      <c r="D11" s="304">
        <v>2026</v>
      </c>
      <c r="E11" s="304">
        <f>$D$5+D10</f>
        <v>2027</v>
      </c>
      <c r="F11" s="304">
        <f t="shared" ref="F11:AN11" si="4">$D$5+E10</f>
        <v>2028</v>
      </c>
      <c r="G11" s="304">
        <f t="shared" si="4"/>
        <v>2029</v>
      </c>
      <c r="H11" s="304">
        <f t="shared" si="4"/>
        <v>2030</v>
      </c>
      <c r="I11" s="304">
        <f t="shared" si="4"/>
        <v>2031</v>
      </c>
      <c r="J11" s="304">
        <f t="shared" si="4"/>
        <v>2032</v>
      </c>
      <c r="K11" s="304">
        <f t="shared" si="4"/>
        <v>2033</v>
      </c>
      <c r="L11" s="304">
        <f t="shared" si="4"/>
        <v>2034</v>
      </c>
      <c r="M11" s="304">
        <f t="shared" si="4"/>
        <v>2035</v>
      </c>
      <c r="N11" s="304">
        <f t="shared" si="4"/>
        <v>2036</v>
      </c>
      <c r="O11" s="304">
        <f t="shared" si="4"/>
        <v>2037</v>
      </c>
      <c r="P11" s="304">
        <f t="shared" si="4"/>
        <v>2038</v>
      </c>
      <c r="Q11" s="304">
        <f t="shared" si="4"/>
        <v>2039</v>
      </c>
      <c r="R11" s="304">
        <f t="shared" si="4"/>
        <v>2040</v>
      </c>
      <c r="S11" s="304">
        <f t="shared" si="4"/>
        <v>2041</v>
      </c>
      <c r="T11" s="304">
        <f t="shared" si="4"/>
        <v>2042</v>
      </c>
      <c r="U11" s="304">
        <f t="shared" si="4"/>
        <v>2043</v>
      </c>
      <c r="V11" s="304">
        <f t="shared" si="4"/>
        <v>2044</v>
      </c>
      <c r="W11" s="304">
        <f t="shared" si="4"/>
        <v>2045</v>
      </c>
      <c r="X11" s="304">
        <f t="shared" si="4"/>
        <v>2046</v>
      </c>
      <c r="Y11" s="304">
        <f t="shared" si="4"/>
        <v>2047</v>
      </c>
      <c r="Z11" s="304">
        <f t="shared" si="4"/>
        <v>2048</v>
      </c>
      <c r="AA11" s="304">
        <f t="shared" si="4"/>
        <v>2049</v>
      </c>
      <c r="AB11" s="304">
        <f t="shared" si="4"/>
        <v>2050</v>
      </c>
      <c r="AC11" s="304">
        <f t="shared" si="4"/>
        <v>2051</v>
      </c>
      <c r="AD11" s="304">
        <f t="shared" si="4"/>
        <v>2052</v>
      </c>
      <c r="AE11" s="304">
        <f t="shared" si="4"/>
        <v>2053</v>
      </c>
      <c r="AF11" s="304">
        <f t="shared" si="4"/>
        <v>2054</v>
      </c>
      <c r="AG11" s="304">
        <f t="shared" si="4"/>
        <v>2055</v>
      </c>
      <c r="AH11" s="304">
        <f t="shared" si="4"/>
        <v>2056</v>
      </c>
      <c r="AI11" s="304">
        <f t="shared" si="4"/>
        <v>2057</v>
      </c>
      <c r="AJ11" s="304">
        <f t="shared" si="4"/>
        <v>2058</v>
      </c>
      <c r="AK11" s="304">
        <f t="shared" si="4"/>
        <v>2059</v>
      </c>
      <c r="AL11" s="304">
        <f t="shared" si="4"/>
        <v>2060</v>
      </c>
      <c r="AM11" s="304">
        <f t="shared" si="4"/>
        <v>2061</v>
      </c>
      <c r="AN11" s="304">
        <f t="shared" si="4"/>
        <v>2062</v>
      </c>
      <c r="AO11" s="304">
        <f t="shared" ref="AO11" si="5">$D$5+AN10</f>
        <v>2063</v>
      </c>
      <c r="AP11" s="304">
        <f t="shared" ref="AP11" si="6">$D$5+AO10</f>
        <v>2064</v>
      </c>
      <c r="AQ11" s="304">
        <f t="shared" ref="AQ11" si="7">$D$5+AP10</f>
        <v>2065</v>
      </c>
    </row>
    <row r="12" spans="2:43" x14ac:dyDescent="0.2">
      <c r="B12" s="362" t="s">
        <v>685</v>
      </c>
      <c r="C12" s="363">
        <f>SUM(D12:AN12)</f>
        <v>0</v>
      </c>
      <c r="D12" s="235">
        <f>D6</f>
        <v>0</v>
      </c>
      <c r="E12" s="235">
        <f>E6</f>
        <v>0</v>
      </c>
      <c r="F12" s="235">
        <f>F6</f>
        <v>0</v>
      </c>
      <c r="G12" s="235">
        <f>G6</f>
        <v>0</v>
      </c>
      <c r="H12" s="235">
        <f>0*Parametre!$C$99</f>
        <v>0</v>
      </c>
      <c r="I12" s="235">
        <f>0*Parametre!$C$99</f>
        <v>0</v>
      </c>
      <c r="J12" s="235">
        <f>0*Parametre!$C$99</f>
        <v>0</v>
      </c>
      <c r="K12" s="235">
        <f>0*Parametre!$C$99</f>
        <v>0</v>
      </c>
      <c r="L12" s="235">
        <f>0*Parametre!$C$99</f>
        <v>0</v>
      </c>
      <c r="M12" s="235">
        <f>0*Parametre!$C$99</f>
        <v>0</v>
      </c>
      <c r="N12" s="235">
        <f>0*Parametre!$C$99</f>
        <v>0</v>
      </c>
      <c r="O12" s="235">
        <f>0*Parametre!$C$99</f>
        <v>0</v>
      </c>
      <c r="P12" s="235">
        <f>0*Parametre!$C$99</f>
        <v>0</v>
      </c>
      <c r="Q12" s="235">
        <f>0*Parametre!$C$99</f>
        <v>0</v>
      </c>
      <c r="R12" s="235">
        <f>0*Parametre!$C$99</f>
        <v>0</v>
      </c>
      <c r="S12" s="235">
        <f>0*Parametre!$C$99</f>
        <v>0</v>
      </c>
      <c r="T12" s="235">
        <f>0*Parametre!$C$99</f>
        <v>0</v>
      </c>
      <c r="U12" s="235">
        <f>0*Parametre!$C$99</f>
        <v>0</v>
      </c>
      <c r="V12" s="235">
        <f>0*Parametre!$C$99</f>
        <v>0</v>
      </c>
      <c r="W12" s="235">
        <f>0*Parametre!$C$99</f>
        <v>0</v>
      </c>
      <c r="X12" s="235">
        <f>0*Parametre!$C$99</f>
        <v>0</v>
      </c>
      <c r="Y12" s="235">
        <f>0*Parametre!$C$99</f>
        <v>0</v>
      </c>
      <c r="Z12" s="235">
        <f>0*Parametre!$C$99</f>
        <v>0</v>
      </c>
      <c r="AA12" s="235">
        <f>0*Parametre!$C$99</f>
        <v>0</v>
      </c>
      <c r="AB12" s="235">
        <f>0*Parametre!$C$99</f>
        <v>0</v>
      </c>
      <c r="AC12" s="235">
        <f>0*Parametre!$C$99</f>
        <v>0</v>
      </c>
      <c r="AD12" s="235">
        <f>0*Parametre!$C$99</f>
        <v>0</v>
      </c>
      <c r="AE12" s="235">
        <f>0*Parametre!$C$99</f>
        <v>0</v>
      </c>
      <c r="AF12" s="235">
        <f>0*Parametre!$C$99</f>
        <v>0</v>
      </c>
      <c r="AG12" s="235">
        <f>0*Parametre!$C$99</f>
        <v>0</v>
      </c>
      <c r="AH12" s="235">
        <f>0*Parametre!$C$99</f>
        <v>0</v>
      </c>
      <c r="AI12" s="235">
        <f>0*Parametre!$C$99</f>
        <v>0</v>
      </c>
      <c r="AJ12" s="235">
        <f>0*Parametre!$C$99</f>
        <v>0</v>
      </c>
      <c r="AK12" s="235">
        <f>0*Parametre!$C$99</f>
        <v>0</v>
      </c>
      <c r="AL12" s="235">
        <f>0*Parametre!$C$99</f>
        <v>0</v>
      </c>
      <c r="AM12" s="235">
        <f>0*Parametre!$C$99</f>
        <v>0</v>
      </c>
      <c r="AN12" s="235">
        <f>0*Parametre!$C$99</f>
        <v>0</v>
      </c>
      <c r="AO12" s="235">
        <f>0*Parametre!$C$99</f>
        <v>0</v>
      </c>
      <c r="AP12" s="235">
        <f>0*Parametre!$C$99</f>
        <v>0</v>
      </c>
      <c r="AQ12" s="235">
        <f>0*Parametre!$C$99</f>
        <v>0</v>
      </c>
    </row>
    <row r="13" spans="2:43" x14ac:dyDescent="0.2">
      <c r="B13" s="305"/>
      <c r="C13" s="305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</row>
    <row r="14" spans="2:43" x14ac:dyDescent="0.2">
      <c r="B14" s="305"/>
      <c r="C14" s="306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360" t="s">
        <v>632</v>
      </c>
      <c r="C15" s="402"/>
      <c r="D15" s="256" t="s">
        <v>10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</row>
    <row r="16" spans="2:43" x14ac:dyDescent="0.2">
      <c r="B16" s="404" t="s">
        <v>33</v>
      </c>
      <c r="C16" s="403"/>
      <c r="D16" s="256">
        <v>1</v>
      </c>
      <c r="E16" s="256">
        <v>2</v>
      </c>
      <c r="F16" s="256">
        <v>3</v>
      </c>
      <c r="G16" s="256">
        <v>4</v>
      </c>
      <c r="H16" s="256">
        <v>5</v>
      </c>
      <c r="I16" s="256">
        <v>6</v>
      </c>
      <c r="J16" s="256">
        <v>7</v>
      </c>
      <c r="K16" s="256">
        <v>8</v>
      </c>
      <c r="L16" s="256">
        <v>9</v>
      </c>
      <c r="M16" s="256">
        <v>10</v>
      </c>
      <c r="N16" s="256">
        <v>11</v>
      </c>
      <c r="O16" s="256">
        <v>12</v>
      </c>
      <c r="P16" s="256">
        <v>13</v>
      </c>
      <c r="Q16" s="256">
        <v>14</v>
      </c>
      <c r="R16" s="256">
        <v>15</v>
      </c>
      <c r="S16" s="256">
        <v>16</v>
      </c>
      <c r="T16" s="256">
        <v>17</v>
      </c>
      <c r="U16" s="256">
        <v>18</v>
      </c>
      <c r="V16" s="256">
        <v>19</v>
      </c>
      <c r="W16" s="256">
        <v>20</v>
      </c>
      <c r="X16" s="256">
        <v>21</v>
      </c>
      <c r="Y16" s="256">
        <v>22</v>
      </c>
      <c r="Z16" s="256">
        <v>23</v>
      </c>
      <c r="AA16" s="256">
        <v>24</v>
      </c>
      <c r="AB16" s="256">
        <v>25</v>
      </c>
      <c r="AC16" s="256">
        <v>26</v>
      </c>
      <c r="AD16" s="256">
        <v>27</v>
      </c>
      <c r="AE16" s="256">
        <v>28</v>
      </c>
      <c r="AF16" s="256">
        <v>29</v>
      </c>
      <c r="AG16" s="256">
        <v>30</v>
      </c>
      <c r="AH16" s="256">
        <v>31</v>
      </c>
      <c r="AI16" s="256">
        <v>32</v>
      </c>
      <c r="AJ16" s="256">
        <v>33</v>
      </c>
      <c r="AK16" s="256">
        <v>34</v>
      </c>
      <c r="AL16" s="256">
        <v>35</v>
      </c>
      <c r="AM16" s="256">
        <v>36</v>
      </c>
      <c r="AN16" s="256">
        <v>37</v>
      </c>
      <c r="AO16" s="256">
        <v>38</v>
      </c>
      <c r="AP16" s="256">
        <v>39</v>
      </c>
      <c r="AQ16" s="256">
        <v>40</v>
      </c>
    </row>
    <row r="17" spans="2:43" x14ac:dyDescent="0.2">
      <c r="B17" s="405" t="s">
        <v>644</v>
      </c>
      <c r="C17" s="259" t="s">
        <v>9</v>
      </c>
      <c r="D17" s="304">
        <v>2026</v>
      </c>
      <c r="E17" s="304">
        <f>$D$5+D16</f>
        <v>2027</v>
      </c>
      <c r="F17" s="304">
        <f t="shared" ref="F17:AN17" si="8">$D$5+E16</f>
        <v>2028</v>
      </c>
      <c r="G17" s="304">
        <f t="shared" si="8"/>
        <v>2029</v>
      </c>
      <c r="H17" s="304">
        <f t="shared" si="8"/>
        <v>2030</v>
      </c>
      <c r="I17" s="304">
        <f t="shared" si="8"/>
        <v>2031</v>
      </c>
      <c r="J17" s="304">
        <f t="shared" si="8"/>
        <v>2032</v>
      </c>
      <c r="K17" s="304">
        <f t="shared" si="8"/>
        <v>2033</v>
      </c>
      <c r="L17" s="304">
        <f t="shared" si="8"/>
        <v>2034</v>
      </c>
      <c r="M17" s="304">
        <f t="shared" si="8"/>
        <v>2035</v>
      </c>
      <c r="N17" s="304">
        <f t="shared" si="8"/>
        <v>2036</v>
      </c>
      <c r="O17" s="304">
        <f t="shared" si="8"/>
        <v>2037</v>
      </c>
      <c r="P17" s="304">
        <f t="shared" si="8"/>
        <v>2038</v>
      </c>
      <c r="Q17" s="304">
        <f t="shared" si="8"/>
        <v>2039</v>
      </c>
      <c r="R17" s="304">
        <f t="shared" si="8"/>
        <v>2040</v>
      </c>
      <c r="S17" s="304">
        <f t="shared" si="8"/>
        <v>2041</v>
      </c>
      <c r="T17" s="304">
        <f t="shared" si="8"/>
        <v>2042</v>
      </c>
      <c r="U17" s="304">
        <f t="shared" si="8"/>
        <v>2043</v>
      </c>
      <c r="V17" s="304">
        <f t="shared" si="8"/>
        <v>2044</v>
      </c>
      <c r="W17" s="304">
        <f t="shared" si="8"/>
        <v>2045</v>
      </c>
      <c r="X17" s="304">
        <f t="shared" si="8"/>
        <v>2046</v>
      </c>
      <c r="Y17" s="304">
        <f t="shared" si="8"/>
        <v>2047</v>
      </c>
      <c r="Z17" s="304">
        <f t="shared" si="8"/>
        <v>2048</v>
      </c>
      <c r="AA17" s="304">
        <f t="shared" si="8"/>
        <v>2049</v>
      </c>
      <c r="AB17" s="304">
        <f t="shared" si="8"/>
        <v>2050</v>
      </c>
      <c r="AC17" s="304">
        <f t="shared" si="8"/>
        <v>2051</v>
      </c>
      <c r="AD17" s="304">
        <f t="shared" si="8"/>
        <v>2052</v>
      </c>
      <c r="AE17" s="304">
        <f t="shared" si="8"/>
        <v>2053</v>
      </c>
      <c r="AF17" s="304">
        <f t="shared" si="8"/>
        <v>2054</v>
      </c>
      <c r="AG17" s="304">
        <f t="shared" si="8"/>
        <v>2055</v>
      </c>
      <c r="AH17" s="304">
        <f t="shared" si="8"/>
        <v>2056</v>
      </c>
      <c r="AI17" s="304">
        <f t="shared" si="8"/>
        <v>2057</v>
      </c>
      <c r="AJ17" s="304">
        <f t="shared" si="8"/>
        <v>2058</v>
      </c>
      <c r="AK17" s="304">
        <f t="shared" si="8"/>
        <v>2059</v>
      </c>
      <c r="AL17" s="304">
        <f t="shared" si="8"/>
        <v>2060</v>
      </c>
      <c r="AM17" s="304">
        <f t="shared" si="8"/>
        <v>2061</v>
      </c>
      <c r="AN17" s="304">
        <f t="shared" si="8"/>
        <v>2062</v>
      </c>
      <c r="AO17" s="304">
        <f t="shared" ref="AO17" si="9">$D$5+AN16</f>
        <v>2063</v>
      </c>
      <c r="AP17" s="304">
        <f t="shared" ref="AP17" si="10">$D$5+AO16</f>
        <v>2064</v>
      </c>
      <c r="AQ17" s="304">
        <f t="shared" ref="AQ17" si="11">$D$5+AP16</f>
        <v>2065</v>
      </c>
    </row>
    <row r="18" spans="2:43" x14ac:dyDescent="0.2">
      <c r="B18" s="362" t="s">
        <v>685</v>
      </c>
      <c r="C18" s="363">
        <f>SUM(D18:AN18)</f>
        <v>0</v>
      </c>
      <c r="D18" s="235">
        <f>D6*Parametre!$C$84/1000</f>
        <v>0</v>
      </c>
      <c r="E18" s="235">
        <f>E6*Parametre!$C$84/1000</f>
        <v>0</v>
      </c>
      <c r="F18" s="235">
        <f>F6*Parametre!$C$84/1000</f>
        <v>0</v>
      </c>
      <c r="G18" s="235">
        <f>G6*Parametre!$C$84/1000</f>
        <v>0</v>
      </c>
      <c r="H18" s="235">
        <f>H6*Parametre!$C$84/1000</f>
        <v>0</v>
      </c>
      <c r="I18" s="235">
        <f>I6*Parametre!$C$84/1000</f>
        <v>0</v>
      </c>
      <c r="J18" s="235">
        <f>J6*Parametre!$C$84/1000</f>
        <v>0</v>
      </c>
      <c r="K18" s="235">
        <f>K6*Parametre!$C$84/1000</f>
        <v>0</v>
      </c>
      <c r="L18" s="235">
        <f>L6*Parametre!$C$84/1000</f>
        <v>0</v>
      </c>
      <c r="M18" s="235">
        <f>M6*Parametre!$C$84/1000</f>
        <v>0</v>
      </c>
      <c r="N18" s="235">
        <f>N6*Parametre!$C$84/1000</f>
        <v>0</v>
      </c>
      <c r="O18" s="235">
        <f>O6*Parametre!$C$84/1000</f>
        <v>0</v>
      </c>
      <c r="P18" s="235">
        <f>P6*Parametre!$C$84/1000</f>
        <v>0</v>
      </c>
      <c r="Q18" s="235">
        <f>Q6*Parametre!$C$84/1000</f>
        <v>0</v>
      </c>
      <c r="R18" s="235">
        <f>R6*Parametre!$C$84/1000</f>
        <v>0</v>
      </c>
      <c r="S18" s="235">
        <f>S6*Parametre!$C$84/1000</f>
        <v>0</v>
      </c>
      <c r="T18" s="235">
        <f>T6*Parametre!$C$84/1000</f>
        <v>0</v>
      </c>
      <c r="U18" s="235">
        <f>U6*Parametre!$C$84/1000</f>
        <v>0</v>
      </c>
      <c r="V18" s="235">
        <f>V6*Parametre!$C$84/1000</f>
        <v>0</v>
      </c>
      <c r="W18" s="235">
        <f>W6*Parametre!$C$84/1000</f>
        <v>0</v>
      </c>
      <c r="X18" s="235">
        <f>X6*Parametre!$C$84/1000</f>
        <v>0</v>
      </c>
      <c r="Y18" s="235">
        <f>Y6*Parametre!$C$84/1000</f>
        <v>0</v>
      </c>
      <c r="Z18" s="235">
        <f>Z6*Parametre!$C$84/1000</f>
        <v>0</v>
      </c>
      <c r="AA18" s="235">
        <f>AA6*Parametre!$C$84/1000</f>
        <v>0</v>
      </c>
      <c r="AB18" s="235">
        <f>AB6*Parametre!$C$84/1000</f>
        <v>0</v>
      </c>
      <c r="AC18" s="235">
        <f>AC6*Parametre!$C$84/1000</f>
        <v>0</v>
      </c>
      <c r="AD18" s="235">
        <f>AD6*Parametre!$C$84/1000</f>
        <v>0</v>
      </c>
      <c r="AE18" s="235">
        <f>AE6*Parametre!$C$84/1000</f>
        <v>0</v>
      </c>
      <c r="AF18" s="235">
        <f>AF6*Parametre!$C$84/1000</f>
        <v>0</v>
      </c>
      <c r="AG18" s="235">
        <f>AG6*Parametre!$C$84/1000</f>
        <v>0</v>
      </c>
      <c r="AH18" s="235">
        <f>AH6*Parametre!$C$84/1000</f>
        <v>0</v>
      </c>
      <c r="AI18" s="235">
        <f>AI6*Parametre!$C$84/1000</f>
        <v>0</v>
      </c>
      <c r="AJ18" s="235">
        <f>AJ6*Parametre!$C$84/1000</f>
        <v>0</v>
      </c>
      <c r="AK18" s="235">
        <f>AK6*Parametre!$C$84/1000</f>
        <v>0</v>
      </c>
      <c r="AL18" s="235">
        <f>AL6*Parametre!$C$84/1000</f>
        <v>0</v>
      </c>
      <c r="AM18" s="235">
        <f>AM6*Parametre!$C$84/1000</f>
        <v>0</v>
      </c>
      <c r="AN18" s="235">
        <f>AN6*Parametre!$C$84/1000</f>
        <v>0</v>
      </c>
      <c r="AO18" s="235">
        <f>AO6*Parametre!$C$84/1000</f>
        <v>0</v>
      </c>
      <c r="AP18" s="235">
        <f>AP6*Parametre!$C$84/1000</f>
        <v>0</v>
      </c>
      <c r="AQ18" s="235">
        <f>AQ6*Parametre!$C$84/1000</f>
        <v>0</v>
      </c>
    </row>
    <row r="19" spans="2:43" x14ac:dyDescent="0.2">
      <c r="B19" s="405" t="s">
        <v>645</v>
      </c>
      <c r="C19" s="259" t="s">
        <v>9</v>
      </c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</row>
    <row r="20" spans="2:43" x14ac:dyDescent="0.2">
      <c r="B20" s="362" t="s">
        <v>685</v>
      </c>
      <c r="C20" s="363">
        <f>SUM(D20:AN20)</f>
        <v>0</v>
      </c>
      <c r="D20" s="235">
        <f>D6*Parametre!$D$84/1000</f>
        <v>0</v>
      </c>
      <c r="E20" s="235">
        <f>E6*Parametre!$D$84/1000</f>
        <v>0</v>
      </c>
      <c r="F20" s="235">
        <f>F6*Parametre!$D$84/1000</f>
        <v>0</v>
      </c>
      <c r="G20" s="235">
        <f>G6*Parametre!$D$84/1000</f>
        <v>0</v>
      </c>
      <c r="H20" s="235">
        <f>H6*Parametre!$D$84/1000</f>
        <v>0</v>
      </c>
      <c r="I20" s="235">
        <f>I6*Parametre!$D$84/1000</f>
        <v>0</v>
      </c>
      <c r="J20" s="235">
        <f>J6*Parametre!$D$84/1000</f>
        <v>0</v>
      </c>
      <c r="K20" s="235">
        <f>K6*Parametre!$D$84/1000</f>
        <v>0</v>
      </c>
      <c r="L20" s="235">
        <f>L6*Parametre!$D$84/1000</f>
        <v>0</v>
      </c>
      <c r="M20" s="235">
        <f>M6*Parametre!$D$84/1000</f>
        <v>0</v>
      </c>
      <c r="N20" s="235">
        <f>N6*Parametre!$D$84/1000</f>
        <v>0</v>
      </c>
      <c r="O20" s="235">
        <f>O6*Parametre!$D$84/1000</f>
        <v>0</v>
      </c>
      <c r="P20" s="235">
        <f>P6*Parametre!$D$84/1000</f>
        <v>0</v>
      </c>
      <c r="Q20" s="235">
        <f>Q6*Parametre!$D$84/1000</f>
        <v>0</v>
      </c>
      <c r="R20" s="235">
        <f>R6*Parametre!$D$84/1000</f>
        <v>0</v>
      </c>
      <c r="S20" s="235">
        <f>S6*Parametre!$D$84/1000</f>
        <v>0</v>
      </c>
      <c r="T20" s="235">
        <f>T6*Parametre!$D$84/1000</f>
        <v>0</v>
      </c>
      <c r="U20" s="235">
        <f>U6*Parametre!$D$84/1000</f>
        <v>0</v>
      </c>
      <c r="V20" s="235">
        <f>V6*Parametre!$D$84/1000</f>
        <v>0</v>
      </c>
      <c r="W20" s="235">
        <f>W6*Parametre!$D$84/1000</f>
        <v>0</v>
      </c>
      <c r="X20" s="235">
        <f>X6*Parametre!$D$84/1000</f>
        <v>0</v>
      </c>
      <c r="Y20" s="235">
        <f>Y6*Parametre!$D$84/1000</f>
        <v>0</v>
      </c>
      <c r="Z20" s="235">
        <f>Z6*Parametre!$D$84/1000</f>
        <v>0</v>
      </c>
      <c r="AA20" s="235">
        <f>AA6*Parametre!$D$84/1000</f>
        <v>0</v>
      </c>
      <c r="AB20" s="235">
        <f>AB6*Parametre!$D$84/1000</f>
        <v>0</v>
      </c>
      <c r="AC20" s="235">
        <f>AC6*Parametre!$D$84/1000</f>
        <v>0</v>
      </c>
      <c r="AD20" s="235">
        <f>AD6*Parametre!$D$84/1000</f>
        <v>0</v>
      </c>
      <c r="AE20" s="235">
        <f>AE6*Parametre!$D$84/1000</f>
        <v>0</v>
      </c>
      <c r="AF20" s="235">
        <f>AF6*Parametre!$D$84/1000</f>
        <v>0</v>
      </c>
      <c r="AG20" s="235">
        <f>AG6*Parametre!$D$84/1000</f>
        <v>0</v>
      </c>
      <c r="AH20" s="235">
        <f>AH6*Parametre!$D$84/1000</f>
        <v>0</v>
      </c>
      <c r="AI20" s="235">
        <f>AI6*Parametre!$D$84/1000</f>
        <v>0</v>
      </c>
      <c r="AJ20" s="235">
        <f>AJ6*Parametre!$D$84/1000</f>
        <v>0</v>
      </c>
      <c r="AK20" s="235">
        <f>AK6*Parametre!$D$84/1000</f>
        <v>0</v>
      </c>
      <c r="AL20" s="235">
        <f>AL6*Parametre!$D$84/1000</f>
        <v>0</v>
      </c>
      <c r="AM20" s="235">
        <f>AM6*Parametre!$D$84/1000</f>
        <v>0</v>
      </c>
      <c r="AN20" s="235">
        <f>AN6*Parametre!$D$84/1000</f>
        <v>0</v>
      </c>
      <c r="AO20" s="235">
        <f>AO6*Parametre!$D$84/1000</f>
        <v>0</v>
      </c>
      <c r="AP20" s="235">
        <f>AP6*Parametre!$D$84/1000</f>
        <v>0</v>
      </c>
      <c r="AQ20" s="235">
        <f>AQ6*Parametre!$D$84/1000</f>
        <v>0</v>
      </c>
    </row>
    <row r="21" spans="2:43" x14ac:dyDescent="0.2">
      <c r="B21" s="405" t="s">
        <v>136</v>
      </c>
      <c r="C21" s="259" t="s">
        <v>9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</row>
    <row r="22" spans="2:43" x14ac:dyDescent="0.2">
      <c r="B22" s="362" t="s">
        <v>685</v>
      </c>
      <c r="C22" s="363">
        <f>SUM(D22:AN22)</f>
        <v>0</v>
      </c>
      <c r="D22" s="235">
        <f>D6*Parametre!$E$84/1000</f>
        <v>0</v>
      </c>
      <c r="E22" s="235">
        <f>E6*Parametre!$E$84/1000</f>
        <v>0</v>
      </c>
      <c r="F22" s="235">
        <f>F6*Parametre!$E$84/1000</f>
        <v>0</v>
      </c>
      <c r="G22" s="235">
        <f>G6*Parametre!$E$84/1000</f>
        <v>0</v>
      </c>
      <c r="H22" s="235">
        <f>H6*Parametre!$E$84/1000</f>
        <v>0</v>
      </c>
      <c r="I22" s="235">
        <f>I6*Parametre!$E$84/1000</f>
        <v>0</v>
      </c>
      <c r="J22" s="235">
        <f>J6*Parametre!$E$84/1000</f>
        <v>0</v>
      </c>
      <c r="K22" s="235">
        <f>K6*Parametre!$E$84/1000</f>
        <v>0</v>
      </c>
      <c r="L22" s="235">
        <f>L6*Parametre!$E$84/1000</f>
        <v>0</v>
      </c>
      <c r="M22" s="235">
        <f>M6*Parametre!$E$84/1000</f>
        <v>0</v>
      </c>
      <c r="N22" s="235">
        <f>N6*Parametre!$E$84/1000</f>
        <v>0</v>
      </c>
      <c r="O22" s="235">
        <f>O6*Parametre!$E$84/1000</f>
        <v>0</v>
      </c>
      <c r="P22" s="235">
        <f>P6*Parametre!$E$84/1000</f>
        <v>0</v>
      </c>
      <c r="Q22" s="235">
        <f>Q6*Parametre!$E$84/1000</f>
        <v>0</v>
      </c>
      <c r="R22" s="235">
        <f>R6*Parametre!$E$84/1000</f>
        <v>0</v>
      </c>
      <c r="S22" s="235">
        <f>S6*Parametre!$E$84/1000</f>
        <v>0</v>
      </c>
      <c r="T22" s="235">
        <f>T6*Parametre!$E$84/1000</f>
        <v>0</v>
      </c>
      <c r="U22" s="235">
        <f>U6*Parametre!$E$84/1000</f>
        <v>0</v>
      </c>
      <c r="V22" s="235">
        <f>V6*Parametre!$E$84/1000</f>
        <v>0</v>
      </c>
      <c r="W22" s="235">
        <f>W6*Parametre!$E$84/1000</f>
        <v>0</v>
      </c>
      <c r="X22" s="235">
        <f>X6*Parametre!$E$84/1000</f>
        <v>0</v>
      </c>
      <c r="Y22" s="235">
        <f>Y6*Parametre!$E$84/1000</f>
        <v>0</v>
      </c>
      <c r="Z22" s="235">
        <f>Z6*Parametre!$E$84/1000</f>
        <v>0</v>
      </c>
      <c r="AA22" s="235">
        <f>AA6*Parametre!$E$84/1000</f>
        <v>0</v>
      </c>
      <c r="AB22" s="235">
        <f>AB6*Parametre!$E$84/1000</f>
        <v>0</v>
      </c>
      <c r="AC22" s="235">
        <f>AC6*Parametre!$E$84/1000</f>
        <v>0</v>
      </c>
      <c r="AD22" s="235">
        <f>AD6*Parametre!$E$84/1000</f>
        <v>0</v>
      </c>
      <c r="AE22" s="235">
        <f>AE6*Parametre!$E$84/1000</f>
        <v>0</v>
      </c>
      <c r="AF22" s="235">
        <f>AF6*Parametre!$E$84/1000</f>
        <v>0</v>
      </c>
      <c r="AG22" s="235">
        <f>AG6*Parametre!$E$84/1000</f>
        <v>0</v>
      </c>
      <c r="AH22" s="235">
        <f>AH6*Parametre!$E$84/1000</f>
        <v>0</v>
      </c>
      <c r="AI22" s="235">
        <f>AI6*Parametre!$E$84/1000</f>
        <v>0</v>
      </c>
      <c r="AJ22" s="235">
        <f>AJ6*Parametre!$E$84/1000</f>
        <v>0</v>
      </c>
      <c r="AK22" s="235">
        <f>AK6*Parametre!$E$84/1000</f>
        <v>0</v>
      </c>
      <c r="AL22" s="235">
        <f>AL6*Parametre!$E$84/1000</f>
        <v>0</v>
      </c>
      <c r="AM22" s="235">
        <f>AM6*Parametre!$E$84/1000</f>
        <v>0</v>
      </c>
      <c r="AN22" s="235">
        <f>AN6*Parametre!$E$84/1000</f>
        <v>0</v>
      </c>
      <c r="AO22" s="235">
        <f>AO6*Parametre!$E$84/1000</f>
        <v>0</v>
      </c>
      <c r="AP22" s="235">
        <f>AP6*Parametre!$E$84/1000</f>
        <v>0</v>
      </c>
      <c r="AQ22" s="235">
        <f>AQ6*Parametre!$E$84/1000</f>
        <v>0</v>
      </c>
    </row>
    <row r="23" spans="2:43" x14ac:dyDescent="0.2">
      <c r="B23" s="405" t="s">
        <v>133</v>
      </c>
      <c r="C23" s="259" t="s">
        <v>9</v>
      </c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</row>
    <row r="24" spans="2:43" x14ac:dyDescent="0.2">
      <c r="B24" s="362" t="s">
        <v>685</v>
      </c>
      <c r="C24" s="363">
        <f>SUM(D24:AN24)</f>
        <v>0</v>
      </c>
      <c r="D24" s="235">
        <f>D6*Parametre!$F$84/1000</f>
        <v>0</v>
      </c>
      <c r="E24" s="235">
        <f>E6*Parametre!$F$84/1000</f>
        <v>0</v>
      </c>
      <c r="F24" s="235">
        <f>F6*Parametre!$F$84/1000</f>
        <v>0</v>
      </c>
      <c r="G24" s="235">
        <f>G6*Parametre!$F$84/1000</f>
        <v>0</v>
      </c>
      <c r="H24" s="235">
        <f>H6*Parametre!$F$84/1000</f>
        <v>0</v>
      </c>
      <c r="I24" s="235">
        <f>I6*Parametre!$F$84/1000</f>
        <v>0</v>
      </c>
      <c r="J24" s="235">
        <f>J6*Parametre!$F$84/1000</f>
        <v>0</v>
      </c>
      <c r="K24" s="235">
        <f>K6*Parametre!$F$84/1000</f>
        <v>0</v>
      </c>
      <c r="L24" s="235">
        <f>L6*Parametre!$F$84/1000</f>
        <v>0</v>
      </c>
      <c r="M24" s="235">
        <f>M6*Parametre!$F$84/1000</f>
        <v>0</v>
      </c>
      <c r="N24" s="235">
        <f>N6*Parametre!$F$84/1000</f>
        <v>0</v>
      </c>
      <c r="O24" s="235">
        <f>O6*Parametre!$F$84/1000</f>
        <v>0</v>
      </c>
      <c r="P24" s="235">
        <f>P6*Parametre!$F$84/1000</f>
        <v>0</v>
      </c>
      <c r="Q24" s="235">
        <f>Q6*Parametre!$F$84/1000</f>
        <v>0</v>
      </c>
      <c r="R24" s="235">
        <f>R6*Parametre!$F$84/1000</f>
        <v>0</v>
      </c>
      <c r="S24" s="235">
        <f>S6*Parametre!$F$84/1000</f>
        <v>0</v>
      </c>
      <c r="T24" s="235">
        <f>T6*Parametre!$F$84/1000</f>
        <v>0</v>
      </c>
      <c r="U24" s="235">
        <f>U6*Parametre!$F$84/1000</f>
        <v>0</v>
      </c>
      <c r="V24" s="235">
        <f>V6*Parametre!$F$84/1000</f>
        <v>0</v>
      </c>
      <c r="W24" s="235">
        <f>W6*Parametre!$F$84/1000</f>
        <v>0</v>
      </c>
      <c r="X24" s="235">
        <f>X6*Parametre!$F$84/1000</f>
        <v>0</v>
      </c>
      <c r="Y24" s="235">
        <f>Y6*Parametre!$F$84/1000</f>
        <v>0</v>
      </c>
      <c r="Z24" s="235">
        <f>Z6*Parametre!$F$84/1000</f>
        <v>0</v>
      </c>
      <c r="AA24" s="235">
        <f>AA6*Parametre!$F$84/1000</f>
        <v>0</v>
      </c>
      <c r="AB24" s="235">
        <f>AB6*Parametre!$F$84/1000</f>
        <v>0</v>
      </c>
      <c r="AC24" s="235">
        <f>AC6*Parametre!$F$84/1000</f>
        <v>0</v>
      </c>
      <c r="AD24" s="235">
        <f>AD6*Parametre!$F$84/1000</f>
        <v>0</v>
      </c>
      <c r="AE24" s="235">
        <f>AE6*Parametre!$F$84/1000</f>
        <v>0</v>
      </c>
      <c r="AF24" s="235">
        <f>AF6*Parametre!$F$84/1000</f>
        <v>0</v>
      </c>
      <c r="AG24" s="235">
        <f>AG6*Parametre!$F$84/1000</f>
        <v>0</v>
      </c>
      <c r="AH24" s="235">
        <f>AH6*Parametre!$F$84/1000</f>
        <v>0</v>
      </c>
      <c r="AI24" s="235">
        <f>AI6*Parametre!$F$84/1000</f>
        <v>0</v>
      </c>
      <c r="AJ24" s="235">
        <f>AJ6*Parametre!$F$84/1000</f>
        <v>0</v>
      </c>
      <c r="AK24" s="235">
        <f>AK6*Parametre!$F$84/1000</f>
        <v>0</v>
      </c>
      <c r="AL24" s="235">
        <f>AL6*Parametre!$F$84/1000</f>
        <v>0</v>
      </c>
      <c r="AM24" s="235">
        <f>AM6*Parametre!$F$84/1000</f>
        <v>0</v>
      </c>
      <c r="AN24" s="235">
        <f>AN6*Parametre!$F$84/1000</f>
        <v>0</v>
      </c>
      <c r="AO24" s="235">
        <f>AO6*Parametre!$F$84/1000</f>
        <v>0</v>
      </c>
      <c r="AP24" s="235">
        <f>AP6*Parametre!$F$84/1000</f>
        <v>0</v>
      </c>
      <c r="AQ24" s="235">
        <f>AQ6*Parametre!$F$84/1000</f>
        <v>0</v>
      </c>
    </row>
    <row r="25" spans="2:43" x14ac:dyDescent="0.2">
      <c r="B25" s="405" t="s">
        <v>137</v>
      </c>
      <c r="C25" s="259" t="s">
        <v>9</v>
      </c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</row>
    <row r="26" spans="2:43" x14ac:dyDescent="0.2">
      <c r="B26" s="362" t="s">
        <v>685</v>
      </c>
      <c r="C26" s="363">
        <f>SUM(D26:AN26)</f>
        <v>0</v>
      </c>
      <c r="D26" s="235">
        <f>D6*Parametre!$G$84/1000</f>
        <v>0</v>
      </c>
      <c r="E26" s="235">
        <f>E6*Parametre!$G$84/1000</f>
        <v>0</v>
      </c>
      <c r="F26" s="235">
        <f>F6*Parametre!$G$84/1000</f>
        <v>0</v>
      </c>
      <c r="G26" s="235">
        <f>G6*Parametre!$G$84/1000</f>
        <v>0</v>
      </c>
      <c r="H26" s="235">
        <f>H6*Parametre!$G$84/1000</f>
        <v>0</v>
      </c>
      <c r="I26" s="235">
        <f>I6*Parametre!$G$84/1000</f>
        <v>0</v>
      </c>
      <c r="J26" s="235">
        <f>J6*Parametre!$G$84/1000</f>
        <v>0</v>
      </c>
      <c r="K26" s="235">
        <f>K6*Parametre!$G$84/1000</f>
        <v>0</v>
      </c>
      <c r="L26" s="235">
        <f>L6*Parametre!$G$84/1000</f>
        <v>0</v>
      </c>
      <c r="M26" s="235">
        <f>M6*Parametre!$G$84/1000</f>
        <v>0</v>
      </c>
      <c r="N26" s="235">
        <f>N6*Parametre!$G$84/1000</f>
        <v>0</v>
      </c>
      <c r="O26" s="235">
        <f>O6*Parametre!$G$84/1000</f>
        <v>0</v>
      </c>
      <c r="P26" s="235">
        <f>P6*Parametre!$G$84/1000</f>
        <v>0</v>
      </c>
      <c r="Q26" s="235">
        <f>Q6*Parametre!$G$84/1000</f>
        <v>0</v>
      </c>
      <c r="R26" s="235">
        <f>R6*Parametre!$G$84/1000</f>
        <v>0</v>
      </c>
      <c r="S26" s="235">
        <f>S6*Parametre!$G$84/1000</f>
        <v>0</v>
      </c>
      <c r="T26" s="235">
        <f>T6*Parametre!$G$84/1000</f>
        <v>0</v>
      </c>
      <c r="U26" s="235">
        <f>U6*Parametre!$G$84/1000</f>
        <v>0</v>
      </c>
      <c r="V26" s="235">
        <f>V6*Parametre!$G$84/1000</f>
        <v>0</v>
      </c>
      <c r="W26" s="235">
        <f>W6*Parametre!$G$84/1000</f>
        <v>0</v>
      </c>
      <c r="X26" s="235">
        <f>X6*Parametre!$G$84/1000</f>
        <v>0</v>
      </c>
      <c r="Y26" s="235">
        <f>Y6*Parametre!$G$84/1000</f>
        <v>0</v>
      </c>
      <c r="Z26" s="235">
        <f>Z6*Parametre!$G$84/1000</f>
        <v>0</v>
      </c>
      <c r="AA26" s="235">
        <f>AA6*Parametre!$G$84/1000</f>
        <v>0</v>
      </c>
      <c r="AB26" s="235">
        <f>AB6*Parametre!$G$84/1000</f>
        <v>0</v>
      </c>
      <c r="AC26" s="235">
        <f>AC6*Parametre!$G$84/1000</f>
        <v>0</v>
      </c>
      <c r="AD26" s="235">
        <f>AD6*Parametre!$G$84/1000</f>
        <v>0</v>
      </c>
      <c r="AE26" s="235">
        <f>AE6*Parametre!$G$84/1000</f>
        <v>0</v>
      </c>
      <c r="AF26" s="235">
        <f>AF6*Parametre!$G$84/1000</f>
        <v>0</v>
      </c>
      <c r="AG26" s="235">
        <f>AG6*Parametre!$G$84/1000</f>
        <v>0</v>
      </c>
      <c r="AH26" s="235">
        <f>AH6*Parametre!$G$84/1000</f>
        <v>0</v>
      </c>
      <c r="AI26" s="235">
        <f>AI6*Parametre!$G$84/1000</f>
        <v>0</v>
      </c>
      <c r="AJ26" s="235">
        <f>AJ6*Parametre!$G$84/1000</f>
        <v>0</v>
      </c>
      <c r="AK26" s="235">
        <f>AK6*Parametre!$G$84/1000</f>
        <v>0</v>
      </c>
      <c r="AL26" s="235">
        <f>AL6*Parametre!$G$84/1000</f>
        <v>0</v>
      </c>
      <c r="AM26" s="235">
        <f>AM6*Parametre!$G$84/1000</f>
        <v>0</v>
      </c>
      <c r="AN26" s="235">
        <f>AN6*Parametre!$G$84/1000</f>
        <v>0</v>
      </c>
      <c r="AO26" s="235">
        <f>AO6*Parametre!$G$84/1000</f>
        <v>0</v>
      </c>
      <c r="AP26" s="235">
        <f>AP6*Parametre!$G$84/1000</f>
        <v>0</v>
      </c>
      <c r="AQ26" s="235">
        <f>AQ6*Parametre!$G$84/1000</f>
        <v>0</v>
      </c>
    </row>
    <row r="29" spans="2:43" x14ac:dyDescent="0.2">
      <c r="B29" s="360" t="s">
        <v>633</v>
      </c>
      <c r="C29" s="402"/>
      <c r="D29" s="256" t="s">
        <v>10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</row>
    <row r="30" spans="2:43" x14ac:dyDescent="0.2">
      <c r="B30" s="404" t="s">
        <v>34</v>
      </c>
      <c r="C30" s="403"/>
      <c r="D30" s="256">
        <v>1</v>
      </c>
      <c r="E30" s="256">
        <v>2</v>
      </c>
      <c r="F30" s="256">
        <v>3</v>
      </c>
      <c r="G30" s="256">
        <v>4</v>
      </c>
      <c r="H30" s="256">
        <v>5</v>
      </c>
      <c r="I30" s="256">
        <v>6</v>
      </c>
      <c r="J30" s="256">
        <v>7</v>
      </c>
      <c r="K30" s="256">
        <v>8</v>
      </c>
      <c r="L30" s="256">
        <v>9</v>
      </c>
      <c r="M30" s="256">
        <v>10</v>
      </c>
      <c r="N30" s="256">
        <v>11</v>
      </c>
      <c r="O30" s="256">
        <v>12</v>
      </c>
      <c r="P30" s="256">
        <v>13</v>
      </c>
      <c r="Q30" s="256">
        <v>14</v>
      </c>
      <c r="R30" s="256">
        <v>15</v>
      </c>
      <c r="S30" s="256">
        <v>16</v>
      </c>
      <c r="T30" s="256">
        <v>17</v>
      </c>
      <c r="U30" s="256">
        <v>18</v>
      </c>
      <c r="V30" s="256">
        <v>19</v>
      </c>
      <c r="W30" s="256">
        <v>20</v>
      </c>
      <c r="X30" s="256">
        <v>21</v>
      </c>
      <c r="Y30" s="256">
        <v>22</v>
      </c>
      <c r="Z30" s="256">
        <v>23</v>
      </c>
      <c r="AA30" s="256">
        <v>24</v>
      </c>
      <c r="AB30" s="256">
        <v>25</v>
      </c>
      <c r="AC30" s="256">
        <v>26</v>
      </c>
      <c r="AD30" s="256">
        <v>27</v>
      </c>
      <c r="AE30" s="256">
        <v>28</v>
      </c>
      <c r="AF30" s="256">
        <v>29</v>
      </c>
      <c r="AG30" s="256">
        <v>30</v>
      </c>
      <c r="AH30" s="256">
        <v>31</v>
      </c>
      <c r="AI30" s="256">
        <v>32</v>
      </c>
      <c r="AJ30" s="256">
        <v>33</v>
      </c>
      <c r="AK30" s="256">
        <v>34</v>
      </c>
      <c r="AL30" s="256">
        <v>35</v>
      </c>
      <c r="AM30" s="256">
        <v>36</v>
      </c>
      <c r="AN30" s="256">
        <v>37</v>
      </c>
      <c r="AO30" s="256">
        <v>38</v>
      </c>
      <c r="AP30" s="256">
        <v>39</v>
      </c>
      <c r="AQ30" s="256">
        <v>40</v>
      </c>
    </row>
    <row r="31" spans="2:43" x14ac:dyDescent="0.2">
      <c r="B31" s="405" t="s">
        <v>644</v>
      </c>
      <c r="C31" s="259" t="s">
        <v>9</v>
      </c>
      <c r="D31" s="304">
        <v>2026</v>
      </c>
      <c r="E31" s="304">
        <f>$D$5+D30</f>
        <v>2027</v>
      </c>
      <c r="F31" s="304">
        <f t="shared" ref="F31" si="12">$D$5+E30</f>
        <v>2028</v>
      </c>
      <c r="G31" s="304">
        <f t="shared" ref="G31" si="13">$D$5+F30</f>
        <v>2029</v>
      </c>
      <c r="H31" s="304">
        <f t="shared" ref="H31" si="14">$D$5+G30</f>
        <v>2030</v>
      </c>
      <c r="I31" s="304">
        <f t="shared" ref="I31" si="15">$D$5+H30</f>
        <v>2031</v>
      </c>
      <c r="J31" s="304">
        <f t="shared" ref="J31" si="16">$D$5+I30</f>
        <v>2032</v>
      </c>
      <c r="K31" s="304">
        <f t="shared" ref="K31" si="17">$D$5+J30</f>
        <v>2033</v>
      </c>
      <c r="L31" s="304">
        <f t="shared" ref="L31" si="18">$D$5+K30</f>
        <v>2034</v>
      </c>
      <c r="M31" s="304">
        <f t="shared" ref="M31" si="19">$D$5+L30</f>
        <v>2035</v>
      </c>
      <c r="N31" s="304">
        <f t="shared" ref="N31" si="20">$D$5+M30</f>
        <v>2036</v>
      </c>
      <c r="O31" s="304">
        <f t="shared" ref="O31" si="21">$D$5+N30</f>
        <v>2037</v>
      </c>
      <c r="P31" s="304">
        <f t="shared" ref="P31" si="22">$D$5+O30</f>
        <v>2038</v>
      </c>
      <c r="Q31" s="304">
        <f t="shared" ref="Q31" si="23">$D$5+P30</f>
        <v>2039</v>
      </c>
      <c r="R31" s="304">
        <f t="shared" ref="R31" si="24">$D$5+Q30</f>
        <v>2040</v>
      </c>
      <c r="S31" s="304">
        <f t="shared" ref="S31" si="25">$D$5+R30</f>
        <v>2041</v>
      </c>
      <c r="T31" s="304">
        <f t="shared" ref="T31" si="26">$D$5+S30</f>
        <v>2042</v>
      </c>
      <c r="U31" s="304">
        <f t="shared" ref="U31" si="27">$D$5+T30</f>
        <v>2043</v>
      </c>
      <c r="V31" s="304">
        <f t="shared" ref="V31" si="28">$D$5+U30</f>
        <v>2044</v>
      </c>
      <c r="W31" s="304">
        <f t="shared" ref="W31" si="29">$D$5+V30</f>
        <v>2045</v>
      </c>
      <c r="X31" s="304">
        <f t="shared" ref="X31" si="30">$D$5+W30</f>
        <v>2046</v>
      </c>
      <c r="Y31" s="304">
        <f t="shared" ref="Y31" si="31">$D$5+X30</f>
        <v>2047</v>
      </c>
      <c r="Z31" s="304">
        <f t="shared" ref="Z31" si="32">$D$5+Y30</f>
        <v>2048</v>
      </c>
      <c r="AA31" s="304">
        <f t="shared" ref="AA31" si="33">$D$5+Z30</f>
        <v>2049</v>
      </c>
      <c r="AB31" s="304">
        <f t="shared" ref="AB31" si="34">$D$5+AA30</f>
        <v>2050</v>
      </c>
      <c r="AC31" s="304">
        <f t="shared" ref="AC31" si="35">$D$5+AB30</f>
        <v>2051</v>
      </c>
      <c r="AD31" s="304">
        <f t="shared" ref="AD31" si="36">$D$5+AC30</f>
        <v>2052</v>
      </c>
      <c r="AE31" s="304">
        <f t="shared" ref="AE31" si="37">$D$5+AD30</f>
        <v>2053</v>
      </c>
      <c r="AF31" s="304">
        <f t="shared" ref="AF31" si="38">$D$5+AE30</f>
        <v>2054</v>
      </c>
      <c r="AG31" s="304">
        <f t="shared" ref="AG31" si="39">$D$5+AF30</f>
        <v>2055</v>
      </c>
      <c r="AH31" s="304">
        <f t="shared" ref="AH31" si="40">$D$5+AG30</f>
        <v>2056</v>
      </c>
      <c r="AI31" s="304">
        <f t="shared" ref="AI31" si="41">$D$5+AH30</f>
        <v>2057</v>
      </c>
      <c r="AJ31" s="304">
        <f t="shared" ref="AJ31" si="42">$D$5+AI30</f>
        <v>2058</v>
      </c>
      <c r="AK31" s="304">
        <f t="shared" ref="AK31" si="43">$D$5+AJ30</f>
        <v>2059</v>
      </c>
      <c r="AL31" s="304">
        <f t="shared" ref="AL31" si="44">$D$5+AK30</f>
        <v>2060</v>
      </c>
      <c r="AM31" s="304">
        <f t="shared" ref="AM31" si="45">$D$5+AL30</f>
        <v>2061</v>
      </c>
      <c r="AN31" s="304">
        <f t="shared" ref="AN31" si="46">$D$5+AM30</f>
        <v>2062</v>
      </c>
      <c r="AO31" s="304">
        <f t="shared" ref="AO31" si="47">$D$5+AN30</f>
        <v>2063</v>
      </c>
      <c r="AP31" s="304">
        <f t="shared" ref="AP31" si="48">$D$5+AO30</f>
        <v>2064</v>
      </c>
      <c r="AQ31" s="304">
        <f t="shared" ref="AQ31" si="49">$D$5+AP30</f>
        <v>2065</v>
      </c>
    </row>
    <row r="32" spans="2:43" x14ac:dyDescent="0.2">
      <c r="B32" s="362" t="s">
        <v>685</v>
      </c>
      <c r="C32" s="363">
        <f>SUM(D32:AN32)</f>
        <v>0</v>
      </c>
      <c r="D32" s="235">
        <f>D12*Parametre!$C$84/1000</f>
        <v>0</v>
      </c>
      <c r="E32" s="235">
        <f>E12*Parametre!$C$84/1000</f>
        <v>0</v>
      </c>
      <c r="F32" s="235">
        <f>F12*Parametre!$C$84/1000</f>
        <v>0</v>
      </c>
      <c r="G32" s="235">
        <f>G12*Parametre!$C$84/1000</f>
        <v>0</v>
      </c>
      <c r="H32" s="235">
        <f>H12*Parametre!$C$84/1000</f>
        <v>0</v>
      </c>
      <c r="I32" s="235">
        <f>I12*Parametre!$C$84/1000</f>
        <v>0</v>
      </c>
      <c r="J32" s="235">
        <f>J12*Parametre!$C$84/1000</f>
        <v>0</v>
      </c>
      <c r="K32" s="235">
        <f>K12*Parametre!$C$84/1000</f>
        <v>0</v>
      </c>
      <c r="L32" s="235">
        <f>L12*Parametre!$C$84/1000</f>
        <v>0</v>
      </c>
      <c r="M32" s="235">
        <f>M12*Parametre!$C$84/1000</f>
        <v>0</v>
      </c>
      <c r="N32" s="235">
        <f>N12*Parametre!$C$84/1000</f>
        <v>0</v>
      </c>
      <c r="O32" s="235">
        <f>O12*Parametre!$C$84/1000</f>
        <v>0</v>
      </c>
      <c r="P32" s="235">
        <f>P12*Parametre!$C$84/1000</f>
        <v>0</v>
      </c>
      <c r="Q32" s="235">
        <f>Q12*Parametre!$C$84/1000</f>
        <v>0</v>
      </c>
      <c r="R32" s="235">
        <f>R12*Parametre!$C$84/1000</f>
        <v>0</v>
      </c>
      <c r="S32" s="235">
        <f>S12*Parametre!$C$84/1000</f>
        <v>0</v>
      </c>
      <c r="T32" s="235">
        <f>T12*Parametre!$C$84/1000</f>
        <v>0</v>
      </c>
      <c r="U32" s="235">
        <f>U12*Parametre!$C$84/1000</f>
        <v>0</v>
      </c>
      <c r="V32" s="235">
        <f>V12*Parametre!$C$84/1000</f>
        <v>0</v>
      </c>
      <c r="W32" s="235">
        <f>W12*Parametre!$C$84/1000</f>
        <v>0</v>
      </c>
      <c r="X32" s="235">
        <f>X12*Parametre!$C$84/1000</f>
        <v>0</v>
      </c>
      <c r="Y32" s="235">
        <f>Y12*Parametre!$C$84/1000</f>
        <v>0</v>
      </c>
      <c r="Z32" s="235">
        <f>Z12*Parametre!$C$84/1000</f>
        <v>0</v>
      </c>
      <c r="AA32" s="235">
        <f>AA12*Parametre!$C$84/1000</f>
        <v>0</v>
      </c>
      <c r="AB32" s="235">
        <f>AB12*Parametre!$C$84/1000</f>
        <v>0</v>
      </c>
      <c r="AC32" s="235">
        <f>AC12*Parametre!$C$84/1000</f>
        <v>0</v>
      </c>
      <c r="AD32" s="235">
        <f>AD12*Parametre!$C$84/1000</f>
        <v>0</v>
      </c>
      <c r="AE32" s="235">
        <f>AE12*Parametre!$C$84/1000</f>
        <v>0</v>
      </c>
      <c r="AF32" s="235">
        <f>AF12*Parametre!$C$84/1000</f>
        <v>0</v>
      </c>
      <c r="AG32" s="235">
        <f>AG12*Parametre!$C$84/1000</f>
        <v>0</v>
      </c>
      <c r="AH32" s="235">
        <f>AH12*Parametre!$C$84/1000</f>
        <v>0</v>
      </c>
      <c r="AI32" s="235">
        <f>AI12*Parametre!$C$84/1000</f>
        <v>0</v>
      </c>
      <c r="AJ32" s="235">
        <f>AJ12*Parametre!$C$84/1000</f>
        <v>0</v>
      </c>
      <c r="AK32" s="235">
        <f>AK12*Parametre!$C$84/1000</f>
        <v>0</v>
      </c>
      <c r="AL32" s="235">
        <f>AL12*Parametre!$C$84/1000</f>
        <v>0</v>
      </c>
      <c r="AM32" s="235">
        <f>AM12*Parametre!$C$84/1000</f>
        <v>0</v>
      </c>
      <c r="AN32" s="235">
        <f>AN12*Parametre!$C$84/1000</f>
        <v>0</v>
      </c>
      <c r="AO32" s="235">
        <f>AO12*Parametre!$C$84/1000</f>
        <v>0</v>
      </c>
      <c r="AP32" s="235">
        <f>AP12*Parametre!$C$84/1000</f>
        <v>0</v>
      </c>
      <c r="AQ32" s="235">
        <f>AQ12*Parametre!$C$84/1000</f>
        <v>0</v>
      </c>
    </row>
    <row r="33" spans="2:43" x14ac:dyDescent="0.2">
      <c r="B33" s="405" t="s">
        <v>645</v>
      </c>
      <c r="C33" s="259" t="s">
        <v>9</v>
      </c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</row>
    <row r="34" spans="2:43" x14ac:dyDescent="0.2">
      <c r="B34" s="362" t="s">
        <v>685</v>
      </c>
      <c r="C34" s="363">
        <f>SUM(D34:AN34)</f>
        <v>0</v>
      </c>
      <c r="D34" s="235">
        <f>D12*Parametre!$D$84/1000</f>
        <v>0</v>
      </c>
      <c r="E34" s="235">
        <f>E12*Parametre!$D$84/1000</f>
        <v>0</v>
      </c>
      <c r="F34" s="235">
        <f>F12*Parametre!$D$84/1000</f>
        <v>0</v>
      </c>
      <c r="G34" s="235">
        <f>G12*Parametre!$D$84/1000</f>
        <v>0</v>
      </c>
      <c r="H34" s="235">
        <f>H12*Parametre!$D$84/1000</f>
        <v>0</v>
      </c>
      <c r="I34" s="235">
        <f>I12*Parametre!$D$84/1000</f>
        <v>0</v>
      </c>
      <c r="J34" s="235">
        <f>J12*Parametre!$D$84/1000</f>
        <v>0</v>
      </c>
      <c r="K34" s="235">
        <f>K12*Parametre!$D$84/1000</f>
        <v>0</v>
      </c>
      <c r="L34" s="235">
        <f>L12*Parametre!$D$84/1000</f>
        <v>0</v>
      </c>
      <c r="M34" s="235">
        <f>M12*Parametre!$D$84/1000</f>
        <v>0</v>
      </c>
      <c r="N34" s="235">
        <f>N12*Parametre!$D$84/1000</f>
        <v>0</v>
      </c>
      <c r="O34" s="235">
        <f>O12*Parametre!$D$84/1000</f>
        <v>0</v>
      </c>
      <c r="P34" s="235">
        <f>P12*Parametre!$D$84/1000</f>
        <v>0</v>
      </c>
      <c r="Q34" s="235">
        <f>Q12*Parametre!$D$84/1000</f>
        <v>0</v>
      </c>
      <c r="R34" s="235">
        <f>R12*Parametre!$D$84/1000</f>
        <v>0</v>
      </c>
      <c r="S34" s="235">
        <f>S12*Parametre!$D$84/1000</f>
        <v>0</v>
      </c>
      <c r="T34" s="235">
        <f>T12*Parametre!$D$84/1000</f>
        <v>0</v>
      </c>
      <c r="U34" s="235">
        <f>U12*Parametre!$D$84/1000</f>
        <v>0</v>
      </c>
      <c r="V34" s="235">
        <f>V12*Parametre!$D$84/1000</f>
        <v>0</v>
      </c>
      <c r="W34" s="235">
        <f>W12*Parametre!$D$84/1000</f>
        <v>0</v>
      </c>
      <c r="X34" s="235">
        <f>X12*Parametre!$D$84/1000</f>
        <v>0</v>
      </c>
      <c r="Y34" s="235">
        <f>Y12*Parametre!$D$84/1000</f>
        <v>0</v>
      </c>
      <c r="Z34" s="235">
        <f>Z12*Parametre!$D$84/1000</f>
        <v>0</v>
      </c>
      <c r="AA34" s="235">
        <f>AA12*Parametre!$D$84/1000</f>
        <v>0</v>
      </c>
      <c r="AB34" s="235">
        <f>AB12*Parametre!$D$84/1000</f>
        <v>0</v>
      </c>
      <c r="AC34" s="235">
        <f>AC12*Parametre!$D$84/1000</f>
        <v>0</v>
      </c>
      <c r="AD34" s="235">
        <f>AD12*Parametre!$D$84/1000</f>
        <v>0</v>
      </c>
      <c r="AE34" s="235">
        <f>AE12*Parametre!$D$84/1000</f>
        <v>0</v>
      </c>
      <c r="AF34" s="235">
        <f>AF12*Parametre!$D$84/1000</f>
        <v>0</v>
      </c>
      <c r="AG34" s="235">
        <f>AG12*Parametre!$D$84/1000</f>
        <v>0</v>
      </c>
      <c r="AH34" s="235">
        <f>AH12*Parametre!$D$84/1000</f>
        <v>0</v>
      </c>
      <c r="AI34" s="235">
        <f>AI12*Parametre!$D$84/1000</f>
        <v>0</v>
      </c>
      <c r="AJ34" s="235">
        <f>AJ12*Parametre!$D$84/1000</f>
        <v>0</v>
      </c>
      <c r="AK34" s="235">
        <f>AK12*Parametre!$D$84/1000</f>
        <v>0</v>
      </c>
      <c r="AL34" s="235">
        <f>AL12*Parametre!$D$84/1000</f>
        <v>0</v>
      </c>
      <c r="AM34" s="235">
        <f>AM12*Parametre!$D$84/1000</f>
        <v>0</v>
      </c>
      <c r="AN34" s="235">
        <f>AN12*Parametre!$D$84/1000</f>
        <v>0</v>
      </c>
      <c r="AO34" s="235">
        <f>AO12*Parametre!$D$84/1000</f>
        <v>0</v>
      </c>
      <c r="AP34" s="235">
        <f>AP12*Parametre!$D$84/1000</f>
        <v>0</v>
      </c>
      <c r="AQ34" s="235">
        <f>AQ12*Parametre!$D$84/1000</f>
        <v>0</v>
      </c>
    </row>
    <row r="35" spans="2:43" x14ac:dyDescent="0.2">
      <c r="B35" s="405" t="s">
        <v>136</v>
      </c>
      <c r="C35" s="259" t="s">
        <v>9</v>
      </c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</row>
    <row r="36" spans="2:43" x14ac:dyDescent="0.2">
      <c r="B36" s="362" t="s">
        <v>685</v>
      </c>
      <c r="C36" s="363">
        <f>SUM(D36:AN36)</f>
        <v>0</v>
      </c>
      <c r="D36" s="235">
        <f>D12*Parametre!$E$84/1000</f>
        <v>0</v>
      </c>
      <c r="E36" s="235">
        <f>E12*Parametre!$E$84/1000</f>
        <v>0</v>
      </c>
      <c r="F36" s="235">
        <f>F12*Parametre!$E$84/1000</f>
        <v>0</v>
      </c>
      <c r="G36" s="235">
        <f>G12*Parametre!$E$84/1000</f>
        <v>0</v>
      </c>
      <c r="H36" s="235">
        <f>H12*Parametre!$E$84/1000</f>
        <v>0</v>
      </c>
      <c r="I36" s="235">
        <f>I12*Parametre!$E$84/1000</f>
        <v>0</v>
      </c>
      <c r="J36" s="235">
        <f>J12*Parametre!$E$84/1000</f>
        <v>0</v>
      </c>
      <c r="K36" s="235">
        <f>K12*Parametre!$E$84/1000</f>
        <v>0</v>
      </c>
      <c r="L36" s="235">
        <f>L12*Parametre!$E$84/1000</f>
        <v>0</v>
      </c>
      <c r="M36" s="235">
        <f>M12*Parametre!$E$84/1000</f>
        <v>0</v>
      </c>
      <c r="N36" s="235">
        <f>N12*Parametre!$E$84/1000</f>
        <v>0</v>
      </c>
      <c r="O36" s="235">
        <f>O12*Parametre!$E$84/1000</f>
        <v>0</v>
      </c>
      <c r="P36" s="235">
        <f>P12*Parametre!$E$84/1000</f>
        <v>0</v>
      </c>
      <c r="Q36" s="235">
        <f>Q12*Parametre!$E$84/1000</f>
        <v>0</v>
      </c>
      <c r="R36" s="235">
        <f>R12*Parametre!$E$84/1000</f>
        <v>0</v>
      </c>
      <c r="S36" s="235">
        <f>S12*Parametre!$E$84/1000</f>
        <v>0</v>
      </c>
      <c r="T36" s="235">
        <f>T12*Parametre!$E$84/1000</f>
        <v>0</v>
      </c>
      <c r="U36" s="235">
        <f>U12*Parametre!$E$84/1000</f>
        <v>0</v>
      </c>
      <c r="V36" s="235">
        <f>V12*Parametre!$E$84/1000</f>
        <v>0</v>
      </c>
      <c r="W36" s="235">
        <f>W12*Parametre!$E$84/1000</f>
        <v>0</v>
      </c>
      <c r="X36" s="235">
        <f>X12*Parametre!$E$84/1000</f>
        <v>0</v>
      </c>
      <c r="Y36" s="235">
        <f>Y12*Parametre!$E$84/1000</f>
        <v>0</v>
      </c>
      <c r="Z36" s="235">
        <f>Z12*Parametre!$E$84/1000</f>
        <v>0</v>
      </c>
      <c r="AA36" s="235">
        <f>AA12*Parametre!$E$84/1000</f>
        <v>0</v>
      </c>
      <c r="AB36" s="235">
        <f>AB12*Parametre!$E$84/1000</f>
        <v>0</v>
      </c>
      <c r="AC36" s="235">
        <f>AC12*Parametre!$E$84/1000</f>
        <v>0</v>
      </c>
      <c r="AD36" s="235">
        <f>AD12*Parametre!$E$84/1000</f>
        <v>0</v>
      </c>
      <c r="AE36" s="235">
        <f>AE12*Parametre!$E$84/1000</f>
        <v>0</v>
      </c>
      <c r="AF36" s="235">
        <f>AF12*Parametre!$E$84/1000</f>
        <v>0</v>
      </c>
      <c r="AG36" s="235">
        <f>AG12*Parametre!$E$84/1000</f>
        <v>0</v>
      </c>
      <c r="AH36" s="235">
        <f>AH12*Parametre!$E$84/1000</f>
        <v>0</v>
      </c>
      <c r="AI36" s="235">
        <f>AI12*Parametre!$E$84/1000</f>
        <v>0</v>
      </c>
      <c r="AJ36" s="235">
        <f>AJ12*Parametre!$E$84/1000</f>
        <v>0</v>
      </c>
      <c r="AK36" s="235">
        <f>AK12*Parametre!$E$84/1000</f>
        <v>0</v>
      </c>
      <c r="AL36" s="235">
        <f>AL12*Parametre!$E$84/1000</f>
        <v>0</v>
      </c>
      <c r="AM36" s="235">
        <f>AM12*Parametre!$E$84/1000</f>
        <v>0</v>
      </c>
      <c r="AN36" s="235">
        <f>AN12*Parametre!$E$84/1000</f>
        <v>0</v>
      </c>
      <c r="AO36" s="235">
        <f>AO12*Parametre!$E$84/1000</f>
        <v>0</v>
      </c>
      <c r="AP36" s="235">
        <f>AP12*Parametre!$E$84/1000</f>
        <v>0</v>
      </c>
      <c r="AQ36" s="235">
        <f>AQ12*Parametre!$E$84/1000</f>
        <v>0</v>
      </c>
    </row>
    <row r="37" spans="2:43" x14ac:dyDescent="0.2">
      <c r="B37" s="318" t="s">
        <v>513</v>
      </c>
      <c r="C37" s="364">
        <f t="shared" ref="C37" si="50">SUM(D37:AN37)</f>
        <v>0</v>
      </c>
      <c r="D37" s="364">
        <f t="shared" ref="D37:AQ37" si="51">SUM(D36:D36)</f>
        <v>0</v>
      </c>
      <c r="E37" s="364">
        <f t="shared" si="51"/>
        <v>0</v>
      </c>
      <c r="F37" s="364">
        <f t="shared" si="51"/>
        <v>0</v>
      </c>
      <c r="G37" s="364">
        <f t="shared" si="51"/>
        <v>0</v>
      </c>
      <c r="H37" s="364">
        <f t="shared" si="51"/>
        <v>0</v>
      </c>
      <c r="I37" s="364">
        <f t="shared" si="51"/>
        <v>0</v>
      </c>
      <c r="J37" s="364">
        <f t="shared" si="51"/>
        <v>0</v>
      </c>
      <c r="K37" s="364">
        <f t="shared" si="51"/>
        <v>0</v>
      </c>
      <c r="L37" s="364">
        <f t="shared" si="51"/>
        <v>0</v>
      </c>
      <c r="M37" s="364">
        <f t="shared" si="51"/>
        <v>0</v>
      </c>
      <c r="N37" s="364">
        <f t="shared" si="51"/>
        <v>0</v>
      </c>
      <c r="O37" s="364">
        <f t="shared" si="51"/>
        <v>0</v>
      </c>
      <c r="P37" s="364">
        <f t="shared" si="51"/>
        <v>0</v>
      </c>
      <c r="Q37" s="364">
        <f t="shared" si="51"/>
        <v>0</v>
      </c>
      <c r="R37" s="364">
        <f t="shared" si="51"/>
        <v>0</v>
      </c>
      <c r="S37" s="364">
        <f t="shared" si="51"/>
        <v>0</v>
      </c>
      <c r="T37" s="364">
        <f t="shared" si="51"/>
        <v>0</v>
      </c>
      <c r="U37" s="364">
        <f t="shared" si="51"/>
        <v>0</v>
      </c>
      <c r="V37" s="364">
        <f t="shared" si="51"/>
        <v>0</v>
      </c>
      <c r="W37" s="364">
        <f t="shared" si="51"/>
        <v>0</v>
      </c>
      <c r="X37" s="364">
        <f t="shared" si="51"/>
        <v>0</v>
      </c>
      <c r="Y37" s="364">
        <f t="shared" si="51"/>
        <v>0</v>
      </c>
      <c r="Z37" s="364">
        <f t="shared" si="51"/>
        <v>0</v>
      </c>
      <c r="AA37" s="364">
        <f t="shared" si="51"/>
        <v>0</v>
      </c>
      <c r="AB37" s="364">
        <f t="shared" si="51"/>
        <v>0</v>
      </c>
      <c r="AC37" s="364">
        <f t="shared" si="51"/>
        <v>0</v>
      </c>
      <c r="AD37" s="364">
        <f t="shared" si="51"/>
        <v>0</v>
      </c>
      <c r="AE37" s="364">
        <f t="shared" si="51"/>
        <v>0</v>
      </c>
      <c r="AF37" s="364">
        <f t="shared" si="51"/>
        <v>0</v>
      </c>
      <c r="AG37" s="364">
        <f t="shared" si="51"/>
        <v>0</v>
      </c>
      <c r="AH37" s="364">
        <f t="shared" si="51"/>
        <v>0</v>
      </c>
      <c r="AI37" s="364">
        <f t="shared" si="51"/>
        <v>0</v>
      </c>
      <c r="AJ37" s="364">
        <f t="shared" si="51"/>
        <v>0</v>
      </c>
      <c r="AK37" s="364">
        <f t="shared" si="51"/>
        <v>0</v>
      </c>
      <c r="AL37" s="364">
        <f t="shared" si="51"/>
        <v>0</v>
      </c>
      <c r="AM37" s="364">
        <f t="shared" si="51"/>
        <v>0</v>
      </c>
      <c r="AN37" s="364">
        <f t="shared" si="51"/>
        <v>0</v>
      </c>
      <c r="AO37" s="364">
        <f t="shared" si="51"/>
        <v>0</v>
      </c>
      <c r="AP37" s="364">
        <f t="shared" si="51"/>
        <v>0</v>
      </c>
      <c r="AQ37" s="364">
        <f t="shared" si="51"/>
        <v>0</v>
      </c>
    </row>
    <row r="38" spans="2:43" x14ac:dyDescent="0.2">
      <c r="B38" s="405" t="s">
        <v>133</v>
      </c>
      <c r="C38" s="259" t="s">
        <v>9</v>
      </c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</row>
    <row r="39" spans="2:43" x14ac:dyDescent="0.2">
      <c r="B39" s="362" t="s">
        <v>685</v>
      </c>
      <c r="C39" s="363">
        <f>SUM(D39:AN39)</f>
        <v>0</v>
      </c>
      <c r="D39" s="235">
        <f>D12*Parametre!$F$84/1000</f>
        <v>0</v>
      </c>
      <c r="E39" s="235">
        <f>E12*Parametre!$F$84/1000</f>
        <v>0</v>
      </c>
      <c r="F39" s="235">
        <f>F12*Parametre!$F$84/1000</f>
        <v>0</v>
      </c>
      <c r="G39" s="235">
        <f>G12*Parametre!$F$84/1000</f>
        <v>0</v>
      </c>
      <c r="H39" s="235">
        <f>H12*Parametre!$F$84/1000</f>
        <v>0</v>
      </c>
      <c r="I39" s="235">
        <f>I12*Parametre!$F$84/1000</f>
        <v>0</v>
      </c>
      <c r="J39" s="235">
        <f>J12*Parametre!$F$84/1000</f>
        <v>0</v>
      </c>
      <c r="K39" s="235">
        <f>K12*Parametre!$F$84/1000</f>
        <v>0</v>
      </c>
      <c r="L39" s="235">
        <f>L12*Parametre!$F$84/1000</f>
        <v>0</v>
      </c>
      <c r="M39" s="235">
        <f>M12*Parametre!$F$84/1000</f>
        <v>0</v>
      </c>
      <c r="N39" s="235">
        <f>N12*Parametre!$F$84/1000</f>
        <v>0</v>
      </c>
      <c r="O39" s="235">
        <f>O12*Parametre!$F$84/1000</f>
        <v>0</v>
      </c>
      <c r="P39" s="235">
        <f>P12*Parametre!$F$84/1000</f>
        <v>0</v>
      </c>
      <c r="Q39" s="235">
        <f>Q12*Parametre!$F$84/1000</f>
        <v>0</v>
      </c>
      <c r="R39" s="235">
        <f>R12*Parametre!$F$84/1000</f>
        <v>0</v>
      </c>
      <c r="S39" s="235">
        <f>S12*Parametre!$F$84/1000</f>
        <v>0</v>
      </c>
      <c r="T39" s="235">
        <f>T12*Parametre!$F$84/1000</f>
        <v>0</v>
      </c>
      <c r="U39" s="235">
        <f>U12*Parametre!$F$84/1000</f>
        <v>0</v>
      </c>
      <c r="V39" s="235">
        <f>V12*Parametre!$F$84/1000</f>
        <v>0</v>
      </c>
      <c r="W39" s="235">
        <f>W12*Parametre!$F$84/1000</f>
        <v>0</v>
      </c>
      <c r="X39" s="235">
        <f>X12*Parametre!$F$84/1000</f>
        <v>0</v>
      </c>
      <c r="Y39" s="235">
        <f>Y12*Parametre!$F$84/1000</f>
        <v>0</v>
      </c>
      <c r="Z39" s="235">
        <f>Z12*Parametre!$F$84/1000</f>
        <v>0</v>
      </c>
      <c r="AA39" s="235">
        <f>AA12*Parametre!$F$84/1000</f>
        <v>0</v>
      </c>
      <c r="AB39" s="235">
        <f>AB12*Parametre!$F$84/1000</f>
        <v>0</v>
      </c>
      <c r="AC39" s="235">
        <f>AC12*Parametre!$F$84/1000</f>
        <v>0</v>
      </c>
      <c r="AD39" s="235">
        <f>AD12*Parametre!$F$84/1000</f>
        <v>0</v>
      </c>
      <c r="AE39" s="235">
        <f>AE12*Parametre!$F$84/1000</f>
        <v>0</v>
      </c>
      <c r="AF39" s="235">
        <f>AF12*Parametre!$F$84/1000</f>
        <v>0</v>
      </c>
      <c r="AG39" s="235">
        <f>AG12*Parametre!$F$84/1000</f>
        <v>0</v>
      </c>
      <c r="AH39" s="235">
        <f>AH12*Parametre!$F$84/1000</f>
        <v>0</v>
      </c>
      <c r="AI39" s="235">
        <f>AI12*Parametre!$F$84/1000</f>
        <v>0</v>
      </c>
      <c r="AJ39" s="235">
        <f>AJ12*Parametre!$F$84/1000</f>
        <v>0</v>
      </c>
      <c r="AK39" s="235">
        <f>AK12*Parametre!$F$84/1000</f>
        <v>0</v>
      </c>
      <c r="AL39" s="235">
        <f>AL12*Parametre!$F$84/1000</f>
        <v>0</v>
      </c>
      <c r="AM39" s="235">
        <f>AM12*Parametre!$F$84/1000</f>
        <v>0</v>
      </c>
      <c r="AN39" s="235">
        <f>AN12*Parametre!$F$84/1000</f>
        <v>0</v>
      </c>
      <c r="AO39" s="235">
        <f>AO12*Parametre!$F$84/1000</f>
        <v>0</v>
      </c>
      <c r="AP39" s="235">
        <f>AP12*Parametre!$F$84/1000</f>
        <v>0</v>
      </c>
      <c r="AQ39" s="235">
        <f>AQ12*Parametre!$F$84/1000</f>
        <v>0</v>
      </c>
    </row>
    <row r="40" spans="2:43" x14ac:dyDescent="0.2">
      <c r="B40" s="318" t="s">
        <v>513</v>
      </c>
      <c r="C40" s="364">
        <f t="shared" ref="C40" si="52">SUM(D40:AN40)</f>
        <v>0</v>
      </c>
      <c r="D40" s="364">
        <f t="shared" ref="D40:AQ40" si="53">SUM(D39:D39)</f>
        <v>0</v>
      </c>
      <c r="E40" s="364">
        <f t="shared" si="53"/>
        <v>0</v>
      </c>
      <c r="F40" s="364">
        <f t="shared" si="53"/>
        <v>0</v>
      </c>
      <c r="G40" s="364">
        <f t="shared" si="53"/>
        <v>0</v>
      </c>
      <c r="H40" s="364">
        <f t="shared" si="53"/>
        <v>0</v>
      </c>
      <c r="I40" s="364">
        <f t="shared" si="53"/>
        <v>0</v>
      </c>
      <c r="J40" s="364">
        <f t="shared" si="53"/>
        <v>0</v>
      </c>
      <c r="K40" s="364">
        <f t="shared" si="53"/>
        <v>0</v>
      </c>
      <c r="L40" s="364">
        <f t="shared" si="53"/>
        <v>0</v>
      </c>
      <c r="M40" s="364">
        <f t="shared" si="53"/>
        <v>0</v>
      </c>
      <c r="N40" s="364">
        <f t="shared" si="53"/>
        <v>0</v>
      </c>
      <c r="O40" s="364">
        <f t="shared" si="53"/>
        <v>0</v>
      </c>
      <c r="P40" s="364">
        <f t="shared" si="53"/>
        <v>0</v>
      </c>
      <c r="Q40" s="364">
        <f t="shared" si="53"/>
        <v>0</v>
      </c>
      <c r="R40" s="364">
        <f t="shared" si="53"/>
        <v>0</v>
      </c>
      <c r="S40" s="364">
        <f t="shared" si="53"/>
        <v>0</v>
      </c>
      <c r="T40" s="364">
        <f t="shared" si="53"/>
        <v>0</v>
      </c>
      <c r="U40" s="364">
        <f t="shared" si="53"/>
        <v>0</v>
      </c>
      <c r="V40" s="364">
        <f t="shared" si="53"/>
        <v>0</v>
      </c>
      <c r="W40" s="364">
        <f t="shared" si="53"/>
        <v>0</v>
      </c>
      <c r="X40" s="364">
        <f t="shared" si="53"/>
        <v>0</v>
      </c>
      <c r="Y40" s="364">
        <f t="shared" si="53"/>
        <v>0</v>
      </c>
      <c r="Z40" s="364">
        <f t="shared" si="53"/>
        <v>0</v>
      </c>
      <c r="AA40" s="364">
        <f t="shared" si="53"/>
        <v>0</v>
      </c>
      <c r="AB40" s="364">
        <f t="shared" si="53"/>
        <v>0</v>
      </c>
      <c r="AC40" s="364">
        <f t="shared" si="53"/>
        <v>0</v>
      </c>
      <c r="AD40" s="364">
        <f t="shared" si="53"/>
        <v>0</v>
      </c>
      <c r="AE40" s="364">
        <f t="shared" si="53"/>
        <v>0</v>
      </c>
      <c r="AF40" s="364">
        <f t="shared" si="53"/>
        <v>0</v>
      </c>
      <c r="AG40" s="364">
        <f t="shared" si="53"/>
        <v>0</v>
      </c>
      <c r="AH40" s="364">
        <f t="shared" si="53"/>
        <v>0</v>
      </c>
      <c r="AI40" s="364">
        <f t="shared" si="53"/>
        <v>0</v>
      </c>
      <c r="AJ40" s="364">
        <f t="shared" si="53"/>
        <v>0</v>
      </c>
      <c r="AK40" s="364">
        <f t="shared" si="53"/>
        <v>0</v>
      </c>
      <c r="AL40" s="364">
        <f t="shared" si="53"/>
        <v>0</v>
      </c>
      <c r="AM40" s="364">
        <f t="shared" si="53"/>
        <v>0</v>
      </c>
      <c r="AN40" s="364">
        <f t="shared" si="53"/>
        <v>0</v>
      </c>
      <c r="AO40" s="364">
        <f t="shared" si="53"/>
        <v>0</v>
      </c>
      <c r="AP40" s="364">
        <f t="shared" si="53"/>
        <v>0</v>
      </c>
      <c r="AQ40" s="364">
        <f t="shared" si="53"/>
        <v>0</v>
      </c>
    </row>
    <row r="41" spans="2:43" x14ac:dyDescent="0.2">
      <c r="B41" s="405" t="s">
        <v>137</v>
      </c>
      <c r="C41" s="259" t="s">
        <v>9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</row>
    <row r="42" spans="2:43" x14ac:dyDescent="0.2">
      <c r="B42" s="362" t="s">
        <v>685</v>
      </c>
      <c r="C42" s="363">
        <f>SUM(D42:AN42)</f>
        <v>0</v>
      </c>
      <c r="D42" s="235">
        <f>D12*Parametre!$G$84/1000</f>
        <v>0</v>
      </c>
      <c r="E42" s="235">
        <f>E12*Parametre!$G$84/1000</f>
        <v>0</v>
      </c>
      <c r="F42" s="235">
        <f>F12*Parametre!$G$84/1000</f>
        <v>0</v>
      </c>
      <c r="G42" s="235">
        <f>G12*Parametre!$G$84/1000</f>
        <v>0</v>
      </c>
      <c r="H42" s="235">
        <f>H12*Parametre!$G$84/1000</f>
        <v>0</v>
      </c>
      <c r="I42" s="235">
        <f>I12*Parametre!$G$84/1000</f>
        <v>0</v>
      </c>
      <c r="J42" s="235">
        <f>J12*Parametre!$G$84/1000</f>
        <v>0</v>
      </c>
      <c r="K42" s="235">
        <f>K12*Parametre!$G$84/1000</f>
        <v>0</v>
      </c>
      <c r="L42" s="235">
        <f>L12*Parametre!$G$84/1000</f>
        <v>0</v>
      </c>
      <c r="M42" s="235">
        <f>M12*Parametre!$G$84/1000</f>
        <v>0</v>
      </c>
      <c r="N42" s="235">
        <f>N12*Parametre!$G$84/1000</f>
        <v>0</v>
      </c>
      <c r="O42" s="235">
        <f>O12*Parametre!$G$84/1000</f>
        <v>0</v>
      </c>
      <c r="P42" s="235">
        <f>P12*Parametre!$G$84/1000</f>
        <v>0</v>
      </c>
      <c r="Q42" s="235">
        <f>Q12*Parametre!$G$84/1000</f>
        <v>0</v>
      </c>
      <c r="R42" s="235">
        <f>R12*Parametre!$G$84/1000</f>
        <v>0</v>
      </c>
      <c r="S42" s="235">
        <f>S12*Parametre!$G$84/1000</f>
        <v>0</v>
      </c>
      <c r="T42" s="235">
        <f>T12*Parametre!$G$84/1000</f>
        <v>0</v>
      </c>
      <c r="U42" s="235">
        <f>U12*Parametre!$G$84/1000</f>
        <v>0</v>
      </c>
      <c r="V42" s="235">
        <f>V12*Parametre!$G$84/1000</f>
        <v>0</v>
      </c>
      <c r="W42" s="235">
        <f>W12*Parametre!$G$84/1000</f>
        <v>0</v>
      </c>
      <c r="X42" s="235">
        <f>X12*Parametre!$G$84/1000</f>
        <v>0</v>
      </c>
      <c r="Y42" s="235">
        <f>Y12*Parametre!$G$84/1000</f>
        <v>0</v>
      </c>
      <c r="Z42" s="235">
        <f>Z12*Parametre!$G$84/1000</f>
        <v>0</v>
      </c>
      <c r="AA42" s="235">
        <f>AA12*Parametre!$G$84/1000</f>
        <v>0</v>
      </c>
      <c r="AB42" s="235">
        <f>AB12*Parametre!$G$84/1000</f>
        <v>0</v>
      </c>
      <c r="AC42" s="235">
        <f>AC12*Parametre!$G$84/1000</f>
        <v>0</v>
      </c>
      <c r="AD42" s="235">
        <f>AD12*Parametre!$G$84/1000</f>
        <v>0</v>
      </c>
      <c r="AE42" s="235">
        <f>AE12*Parametre!$G$84/1000</f>
        <v>0</v>
      </c>
      <c r="AF42" s="235">
        <f>AF12*Parametre!$G$84/1000</f>
        <v>0</v>
      </c>
      <c r="AG42" s="235">
        <f>AG12*Parametre!$G$84/1000</f>
        <v>0</v>
      </c>
      <c r="AH42" s="235">
        <f>AH12*Parametre!$G$84/1000</f>
        <v>0</v>
      </c>
      <c r="AI42" s="235">
        <f>AI12*Parametre!$G$84/1000</f>
        <v>0</v>
      </c>
      <c r="AJ42" s="235">
        <f>AJ12*Parametre!$G$84/1000</f>
        <v>0</v>
      </c>
      <c r="AK42" s="235">
        <f>AK12*Parametre!$G$84/1000</f>
        <v>0</v>
      </c>
      <c r="AL42" s="235">
        <f>AL12*Parametre!$G$84/1000</f>
        <v>0</v>
      </c>
      <c r="AM42" s="235">
        <f>AM12*Parametre!$G$84/1000</f>
        <v>0</v>
      </c>
      <c r="AN42" s="235">
        <f>AN12*Parametre!$G$84/1000</f>
        <v>0</v>
      </c>
      <c r="AO42" s="235">
        <f>AO12*Parametre!$G$84/1000</f>
        <v>0</v>
      </c>
      <c r="AP42" s="235">
        <f>AP12*Parametre!$G$84/1000</f>
        <v>0</v>
      </c>
      <c r="AQ42" s="235">
        <f>AQ12*Parametre!$G$84/1000</f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99"/>
  </sheetPr>
  <dimension ref="B2:AN51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62" style="255" bestFit="1" customWidth="1"/>
    <col min="3" max="3" width="9.140625" style="255" bestFit="1" customWidth="1"/>
    <col min="4" max="6" width="5.5703125" style="255" bestFit="1" customWidth="1"/>
    <col min="7" max="37" width="6.85546875" style="255" bestFit="1" customWidth="1"/>
    <col min="38" max="40" width="5.85546875" style="255" bestFit="1" customWidth="1"/>
    <col min="41" max="16384" width="9.140625" style="255"/>
  </cols>
  <sheetData>
    <row r="2" spans="2:40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</row>
    <row r="3" spans="2:40" x14ac:dyDescent="0.2">
      <c r="B3" s="257" t="s">
        <v>449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</row>
    <row r="4" spans="2:40" x14ac:dyDescent="0.2">
      <c r="B4" s="259" t="s">
        <v>33</v>
      </c>
      <c r="C4" s="260" t="s">
        <v>9</v>
      </c>
      <c r="D4" s="261">
        <v>2026</v>
      </c>
      <c r="E4" s="261">
        <f>D4+$D$3</f>
        <v>2027</v>
      </c>
      <c r="F4" s="261">
        <f t="shared" ref="F4:AG4" si="0">E4+$D$3</f>
        <v>2028</v>
      </c>
      <c r="G4" s="261">
        <f t="shared" si="0"/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ref="AH4" si="1">AG4+$D$3</f>
        <v>2056</v>
      </c>
      <c r="AI4" s="261">
        <f t="shared" ref="AI4" si="2">AH4+$D$3</f>
        <v>2057</v>
      </c>
      <c r="AJ4" s="261">
        <f t="shared" ref="AJ4" si="3">AI4+$D$3</f>
        <v>2058</v>
      </c>
      <c r="AK4" s="261">
        <f t="shared" ref="AK4" si="4">AJ4+$D$3</f>
        <v>2059</v>
      </c>
      <c r="AL4" s="261">
        <f t="shared" ref="AL4" si="5">AK4+$D$3</f>
        <v>2060</v>
      </c>
      <c r="AM4" s="261">
        <f t="shared" ref="AM4" si="6">AL4+$D$3</f>
        <v>2061</v>
      </c>
      <c r="AN4" s="261">
        <f t="shared" ref="AN4" si="7">AM4+$D$3</f>
        <v>2062</v>
      </c>
    </row>
    <row r="5" spans="2:40" x14ac:dyDescent="0.2">
      <c r="B5" s="31" t="s">
        <v>405</v>
      </c>
      <c r="C5" s="262">
        <f>SUM(D5:AQ5)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</row>
    <row r="6" spans="2:40" x14ac:dyDescent="0.2">
      <c r="B6" s="31" t="s">
        <v>406</v>
      </c>
      <c r="C6" s="262">
        <f t="shared" ref="C6:C12" si="8">SUM(D6:AQ6)</f>
        <v>678.79107883001404</v>
      </c>
      <c r="D6" s="263">
        <f>'11b_A Znečisť. l. (cesty)NO200'!D7</f>
        <v>0</v>
      </c>
      <c r="E6" s="263">
        <f>'11b_A Znečisť. l. (cesty)NO200'!E7</f>
        <v>0</v>
      </c>
      <c r="F6" s="263">
        <f>'11b_A Znečisť. l. (cesty)NO200'!F7</f>
        <v>0</v>
      </c>
      <c r="G6" s="263">
        <f>'11b_A Znečisť. l. (cesty)NO200'!G7</f>
        <v>15.730193384427075</v>
      </c>
      <c r="H6" s="263">
        <f>'11b_A Znečisť. l. (cesty)NO200'!H7</f>
        <v>29.701579347226403</v>
      </c>
      <c r="I6" s="263">
        <f>'11b_A Znečisť. l. (cesty)NO200'!I7</f>
        <v>34.726275595398285</v>
      </c>
      <c r="J6" s="263">
        <f>'11b_A Znečisť. l. (cesty)NO200'!J7</f>
        <v>34.333944173073725</v>
      </c>
      <c r="K6" s="263">
        <f>'11b_A Znečisť. l. (cesty)NO200'!K7</f>
        <v>33.760873055141637</v>
      </c>
      <c r="L6" s="263">
        <f>'11b_A Znečisť. l. (cesty)NO200'!L7</f>
        <v>33.052349075798958</v>
      </c>
      <c r="M6" s="263">
        <f>'11b_A Znečisť. l. (cesty)NO200'!M7</f>
        <v>32.0120498196775</v>
      </c>
      <c r="N6" s="263">
        <f>'11b_A Znečisť. l. (cesty)NO200'!N7</f>
        <v>31.229306103350467</v>
      </c>
      <c r="O6" s="263">
        <f>'11b_A Znečisť. l. (cesty)NO200'!O7</f>
        <v>30.423699498877991</v>
      </c>
      <c r="P6" s="263">
        <f>'11b_A Znečisť. l. (cesty)NO200'!P7</f>
        <v>29.602904708631044</v>
      </c>
      <c r="Q6" s="263">
        <f>'11b_A Znečisť. l. (cesty)NO200'!Q7</f>
        <v>28.758564306934687</v>
      </c>
      <c r="R6" s="263">
        <f>'11b_A Znečisť. l. (cesty)NO200'!R7</f>
        <v>27.898505025885054</v>
      </c>
      <c r="S6" s="263">
        <f>'11b_A Znečisť. l. (cesty)NO200'!S7</f>
        <v>26.693238418849337</v>
      </c>
      <c r="T6" s="263">
        <f>'11b_A Znečisť. l. (cesty)NO200'!T7</f>
        <v>25.49679300700944</v>
      </c>
      <c r="U6" s="263">
        <f>'11b_A Znečisť. l. (cesty)NO200'!U7</f>
        <v>24.300923104521036</v>
      </c>
      <c r="V6" s="263">
        <f>'11b_A Znečisť. l. (cesty)NO200'!V7</f>
        <v>23.113829986814061</v>
      </c>
      <c r="W6" s="263">
        <f>'11b_A Znečisť. l. (cesty)NO200'!W7</f>
        <v>21.92730093612667</v>
      </c>
      <c r="X6" s="263">
        <f>'11b_A Znečisť. l. (cesty)NO200'!X7</f>
        <v>20.749504473877394</v>
      </c>
      <c r="Y6" s="263">
        <f>'11b_A Znečisť. l. (cesty)NO200'!Y7</f>
        <v>19.572260718573165</v>
      </c>
      <c r="Z6" s="263">
        <f>'11b_A Znečisť. l. (cesty)NO200'!Z7</f>
        <v>18.403705568433061</v>
      </c>
      <c r="AA6" s="263">
        <f>'11b_A Znečisť. l. (cesty)NO200'!AA7</f>
        <v>17.235691846946168</v>
      </c>
      <c r="AB6" s="263">
        <f>'11b_A Znečisť. l. (cesty)NO200'!AB7</f>
        <v>16.076322959421617</v>
      </c>
      <c r="AC6" s="263">
        <f>'11b_A Znečisť. l. (cesty)NO200'!AC7</f>
        <v>14.921522604679776</v>
      </c>
      <c r="AD6" s="263">
        <f>'11b_A Znečisť. l. (cesty)NO200'!AD7</f>
        <v>13.767246921556412</v>
      </c>
      <c r="AE6" s="263">
        <f>'11b_A Znečisť. l. (cesty)NO200'!AE7</f>
        <v>12.621550819134754</v>
      </c>
      <c r="AF6" s="263">
        <f>'11b_A Znečisť. l. (cesty)NO200'!AF7</f>
        <v>11.476368312403588</v>
      </c>
      <c r="AG6" s="263">
        <f>'11b_A Znečisť. l. (cesty)NO200'!AG7</f>
        <v>10.339722140988114</v>
      </c>
      <c r="AH6" s="263">
        <f>'11b_A Znečisť. l. (cesty)NO200'!AH7</f>
        <v>9.2035785694759902</v>
      </c>
      <c r="AI6" s="263">
        <f>'11b_A Znečisť. l. (cesty)NO200'!AI7</f>
        <v>8.0759282965118029</v>
      </c>
      <c r="AJ6" s="263">
        <f>'11b_A Znečisť. l. (cesty)NO200'!AJ7</f>
        <v>6.9487697073410404</v>
      </c>
      <c r="AK6" s="263">
        <f>'11b_A Znečisť. l. (cesty)NO200'!AK7</f>
        <v>5.8300615875919624</v>
      </c>
      <c r="AL6" s="263">
        <f>'11b_A Znečisť. l. (cesty)NO200'!AL7</f>
        <v>4.7118343147424193</v>
      </c>
      <c r="AM6" s="263">
        <f>'11b_A Znečisť. l. (cesty)NO200'!AM7</f>
        <v>3.6020148888575498</v>
      </c>
      <c r="AN6" s="263">
        <f>'11b_A Znečisť. l. (cesty)NO200'!AN7</f>
        <v>2.4926655517355809</v>
      </c>
    </row>
    <row r="7" spans="2:40" x14ac:dyDescent="0.2">
      <c r="B7" s="31" t="s">
        <v>407</v>
      </c>
      <c r="C7" s="262">
        <f t="shared" si="8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</row>
    <row r="8" spans="2:40" x14ac:dyDescent="0.2">
      <c r="B8" s="31" t="s">
        <v>408</v>
      </c>
      <c r="C8" s="262">
        <f t="shared" si="8"/>
        <v>14341.894522323691</v>
      </c>
      <c r="D8" s="263">
        <f>'11b_A Znečisť. l. (cesty)NO200'!D9</f>
        <v>0</v>
      </c>
      <c r="E8" s="263">
        <f>'11b_A Znečisť. l. (cesty)NO200'!E9</f>
        <v>0</v>
      </c>
      <c r="F8" s="263">
        <f>'11b_A Znečisť. l. (cesty)NO200'!F9</f>
        <v>0</v>
      </c>
      <c r="G8" s="263">
        <f>'11b_A Znečisť. l. (cesty)NO200'!G9</f>
        <v>332.35671677367924</v>
      </c>
      <c r="H8" s="263">
        <f>'11b_A Znečisť. l. (cesty)NO200'!H9</f>
        <v>627.55232269489534</v>
      </c>
      <c r="I8" s="263">
        <f>'11b_A Znečisť. l. (cesty)NO200'!I9</f>
        <v>733.71704089096806</v>
      </c>
      <c r="J8" s="263">
        <f>'11b_A Znečisť. l. (cesty)NO200'!J9</f>
        <v>725.42763336594521</v>
      </c>
      <c r="K8" s="263">
        <f>'11b_A Znečisť. l. (cesty)NO200'!K9</f>
        <v>713.31945194827165</v>
      </c>
      <c r="L8" s="263">
        <f>'11b_A Znečisť. l. (cesty)NO200'!L9</f>
        <v>698.34934333136903</v>
      </c>
      <c r="M8" s="263">
        <f>'11b_A Znečisť. l. (cesty)NO200'!M9</f>
        <v>676.36929281470339</v>
      </c>
      <c r="N8" s="263">
        <f>'11b_A Znečisť. l. (cesty)NO200'!N9</f>
        <v>659.83102622916795</v>
      </c>
      <c r="O8" s="263">
        <f>'11b_A Znečisť. l. (cesty)NO200'!O9</f>
        <v>642.80969918440724</v>
      </c>
      <c r="P8" s="263">
        <f>'11b_A Znečisť. l. (cesty)NO200'!P9</f>
        <v>625.46746727634388</v>
      </c>
      <c r="Q8" s="263">
        <f>'11b_A Znečisť. l. (cesty)NO200'!Q9</f>
        <v>607.62774993218295</v>
      </c>
      <c r="R8" s="263">
        <f>'11b_A Znečisť. l. (cesty)NO200'!R9</f>
        <v>589.45591492070912</v>
      </c>
      <c r="S8" s="263">
        <f>'11b_A Znečisť. l. (cesty)NO200'!S9</f>
        <v>563.99033782564834</v>
      </c>
      <c r="T8" s="263">
        <f>'11b_A Znečisť. l. (cesty)NO200'!T9</f>
        <v>538.71114009679445</v>
      </c>
      <c r="U8" s="263">
        <f>'11b_A Znečisť. l. (cesty)NO200'!U9</f>
        <v>513.44410206578152</v>
      </c>
      <c r="V8" s="263">
        <f>'11b_A Znečisť. l. (cesty)NO200'!V9</f>
        <v>488.36250507179193</v>
      </c>
      <c r="W8" s="263">
        <f>'11b_A Znečisť. l. (cesty)NO200'!W9</f>
        <v>463.29282601536909</v>
      </c>
      <c r="X8" s="263">
        <f>'11b_A Znečisť. l. (cesty)NO200'!X9</f>
        <v>438.40765418980482</v>
      </c>
      <c r="Y8" s="263">
        <f>'11b_A Znečisť. l. (cesty)NO200'!Y9</f>
        <v>413.53416027951482</v>
      </c>
      <c r="Z8" s="263">
        <f>'11b_A Znečisť. l. (cesty)NO200'!Z9</f>
        <v>388.84424429577149</v>
      </c>
      <c r="AA8" s="263">
        <f>'11b_A Znečisť. l. (cesty)NO200'!AA9</f>
        <v>364.16576793296304</v>
      </c>
      <c r="AB8" s="263">
        <f>'11b_A Znečisť. l. (cesty)NO200'!AB9</f>
        <v>339.66994467317494</v>
      </c>
      <c r="AC8" s="263">
        <f>'11b_A Znečisť. l. (cesty)NO200'!AC9</f>
        <v>315.2706480433543</v>
      </c>
      <c r="AD8" s="263">
        <f>'11b_A Znečisť. l. (cesty)NO200'!AD9</f>
        <v>290.88243698204769</v>
      </c>
      <c r="AE8" s="263">
        <f>'11b_A Znečisť. l. (cesty)NO200'!AE9</f>
        <v>266.67550031474411</v>
      </c>
      <c r="AF8" s="263">
        <f>'11b_A Znečisť. l. (cesty)NO200'!AF9</f>
        <v>242.47941519727658</v>
      </c>
      <c r="AG8" s="263">
        <f>'11b_A Znečisť. l. (cesty)NO200'!AG9</f>
        <v>218.46369076002881</v>
      </c>
      <c r="AH8" s="263">
        <f>'11b_A Znečisť. l. (cesty)NO200'!AH9</f>
        <v>194.45858554720155</v>
      </c>
      <c r="AI8" s="263">
        <f>'11b_A Znečisť. l. (cesty)NO200'!AI9</f>
        <v>170.63293170861897</v>
      </c>
      <c r="AJ8" s="263">
        <f>'11b_A Znečisť. l. (cesty)NO200'!AJ9</f>
        <v>146.8176664525084</v>
      </c>
      <c r="AK8" s="263">
        <f>'11b_A Znečisť. l. (cesty)NO200'!AK9</f>
        <v>123.18094765183857</v>
      </c>
      <c r="AL8" s="263">
        <f>'11b_A Znečisť. l. (cesty)NO200'!AL9</f>
        <v>99.554388465414689</v>
      </c>
      <c r="AM8" s="263">
        <f>'11b_A Znečisť. l. (cesty)NO200'!AM9</f>
        <v>76.105475182256129</v>
      </c>
      <c r="AN8" s="263">
        <f>'11b_A Znečisť. l. (cesty)NO200'!AN9</f>
        <v>52.666494209146904</v>
      </c>
    </row>
    <row r="9" spans="2:40" x14ac:dyDescent="0.2">
      <c r="B9" s="31" t="s">
        <v>136</v>
      </c>
      <c r="C9" s="262">
        <f t="shared" si="8"/>
        <v>27.076774707376433</v>
      </c>
      <c r="D9" s="263">
        <f>'11b_A Znečisť. l. (cesty)NO200'!D11</f>
        <v>0</v>
      </c>
      <c r="E9" s="263">
        <f>'11b_A Znečisť. l. (cesty)NO200'!E11</f>
        <v>0</v>
      </c>
      <c r="F9" s="263">
        <f>'11b_A Znečisť. l. (cesty)NO200'!F11</f>
        <v>0</v>
      </c>
      <c r="G9" s="263">
        <f>'11b_A Znečisť. l. (cesty)NO200'!G11</f>
        <v>0.62747274626491767</v>
      </c>
      <c r="H9" s="263">
        <f>'11b_A Znečisť. l. (cesty)NO200'!H11</f>
        <v>1.1847871863965842</v>
      </c>
      <c r="I9" s="263">
        <f>'11b_A Znečisť. l. (cesty)NO200'!I11</f>
        <v>1.3852208286878973</v>
      </c>
      <c r="J9" s="263">
        <f>'11b_A Znečisť. l. (cesty)NO200'!J11</f>
        <v>1.3695708446733508</v>
      </c>
      <c r="K9" s="263">
        <f>'11b_A Znečisť. l. (cesty)NO200'!K11</f>
        <v>1.3467112078344328</v>
      </c>
      <c r="L9" s="263">
        <f>'11b_A Znečisť. l. (cesty)NO200'!L11</f>
        <v>1.3184483965486646</v>
      </c>
      <c r="M9" s="263">
        <f>'11b_A Znečisť. l. (cesty)NO200'!M11</f>
        <v>1.2769511679245009</v>
      </c>
      <c r="N9" s="263">
        <f>'11b_A Znečisť. l. (cesty)NO200'!N11</f>
        <v>1.2457277533546858</v>
      </c>
      <c r="O9" s="263">
        <f>'11b_A Znečisť. l. (cesty)NO200'!O11</f>
        <v>1.2135923449611723</v>
      </c>
      <c r="P9" s="263">
        <f>'11b_A Znečisť. l. (cesty)NO200'!P11</f>
        <v>1.180851084344118</v>
      </c>
      <c r="Q9" s="263">
        <f>'11b_A Znečisť. l. (cesty)NO200'!Q11</f>
        <v>1.1471705962733654</v>
      </c>
      <c r="R9" s="263">
        <f>'11b_A Znečisť. l. (cesty)NO200'!R11</f>
        <v>1.1128630867696923</v>
      </c>
      <c r="S9" s="263">
        <f>'11b_A Znečisť. l. (cesty)NO200'!S11</f>
        <v>1.0647853594706236</v>
      </c>
      <c r="T9" s="263">
        <f>'11b_A Znečisť. l. (cesty)NO200'!T11</f>
        <v>1.0170595070302797</v>
      </c>
      <c r="U9" s="263">
        <f>'11b_A Znečisť. l. (cesty)NO200'!U11</f>
        <v>0.96935661148718788</v>
      </c>
      <c r="V9" s="263">
        <f>'11b_A Znečisť. l. (cesty)NO200'!V11</f>
        <v>0.92200381928456931</v>
      </c>
      <c r="W9" s="263">
        <f>'11b_A Znečisť. l. (cesty)NO200'!W11</f>
        <v>0.87467352754797845</v>
      </c>
      <c r="X9" s="263">
        <f>'11b_A Znečisť. l. (cesty)NO200'!X11</f>
        <v>0.82769157617284139</v>
      </c>
      <c r="Y9" s="263">
        <f>'11b_A Znečisť. l. (cesty)NO200'!Y11</f>
        <v>0.78073167211372962</v>
      </c>
      <c r="Z9" s="263">
        <f>'11b_A Znečisť. l. (cesty)NO200'!Z11</f>
        <v>0.73411835393632363</v>
      </c>
      <c r="AA9" s="263">
        <f>'11b_A Znečisť. l. (cesty)NO200'!AA11</f>
        <v>0.68752663318722873</v>
      </c>
      <c r="AB9" s="263">
        <f>'11b_A Znečisť. l. (cesty)NO200'!AB11</f>
        <v>0.64127975229958922</v>
      </c>
      <c r="AC9" s="263">
        <f>'11b_A Znečisť. l. (cesty)NO200'!AC11</f>
        <v>0.59521510882896767</v>
      </c>
      <c r="AD9" s="263">
        <f>'11b_A Znečisť. l. (cesty)NO200'!AD11</f>
        <v>0.54917139435351392</v>
      </c>
      <c r="AE9" s="263">
        <f>'11b_A Znečisť. l. (cesty)NO200'!AE11</f>
        <v>0.50346991680631248</v>
      </c>
      <c r="AF9" s="263">
        <f>'11b_A Znečisť. l. (cesty)NO200'!AF11</f>
        <v>0.45778892643879832</v>
      </c>
      <c r="AG9" s="263">
        <f>'11b_A Znečisť. l. (cesty)NO200'!AG11</f>
        <v>0.41244844795392133</v>
      </c>
      <c r="AH9" s="263">
        <f>'11b_A Znečisť. l. (cesty)NO200'!AH11</f>
        <v>0.36712801803004536</v>
      </c>
      <c r="AI9" s="263">
        <f>'11b_A Znečisť. l. (cesty)NO200'!AI11</f>
        <v>0.32214638326491152</v>
      </c>
      <c r="AJ9" s="263">
        <f>'11b_A Znečisť. l. (cesty)NO200'!AJ11</f>
        <v>0.27718436162039328</v>
      </c>
      <c r="AK9" s="263">
        <f>'11b_A Znečisť. l. (cesty)NO200'!AK11</f>
        <v>0.23255942669348018</v>
      </c>
      <c r="AL9" s="263">
        <f>'11b_A Znečisť. l. (cesty)NO200'!AL11</f>
        <v>0.18795367260670115</v>
      </c>
      <c r="AM9" s="263">
        <f>'11b_A Znečisť. l. (cesty)NO200'!AM11</f>
        <v>0.14368330504036517</v>
      </c>
      <c r="AN9" s="263">
        <f>'11b_A Znečisť. l. (cesty)NO200'!AN11</f>
        <v>9.9431689175285276E-2</v>
      </c>
    </row>
    <row r="10" spans="2:40" ht="11.85" customHeight="1" x14ac:dyDescent="0.2">
      <c r="B10" s="31" t="s">
        <v>133</v>
      </c>
      <c r="C10" s="262">
        <f t="shared" si="8"/>
        <v>8029.4953448588294</v>
      </c>
      <c r="D10" s="263">
        <f>'11b_A Znečisť. l. (cesty)NO200'!D13</f>
        <v>0</v>
      </c>
      <c r="E10" s="263">
        <f>'11b_A Znečisť. l. (cesty)NO200'!E13</f>
        <v>0</v>
      </c>
      <c r="F10" s="263">
        <f>'11b_A Znečisť. l. (cesty)NO200'!F13</f>
        <v>0</v>
      </c>
      <c r="G10" s="263">
        <f>'11b_A Znečisť. l. (cesty)NO200'!G13</f>
        <v>186.07421118688035</v>
      </c>
      <c r="H10" s="263">
        <f>'11b_A Znečisť. l. (cesty)NO200'!H13</f>
        <v>351.34329330694271</v>
      </c>
      <c r="I10" s="263">
        <f>'11b_A Znečisť. l. (cesty)NO200'!I13</f>
        <v>410.78098539265329</v>
      </c>
      <c r="J10" s="263">
        <f>'11b_A Znečisť. l. (cesty)NO200'!J13</f>
        <v>406.14005325985829</v>
      </c>
      <c r="K10" s="263">
        <f>'11b_A Znečisť. l. (cesty)NO200'!K13</f>
        <v>399.36113111839467</v>
      </c>
      <c r="L10" s="263">
        <f>'11b_A Znečisť. l. (cesty)NO200'!L13</f>
        <v>390.97992197867109</v>
      </c>
      <c r="M10" s="263">
        <f>'11b_A Znečisť. l. (cesty)NO200'!M13</f>
        <v>378.67410610276869</v>
      </c>
      <c r="N10" s="263">
        <f>'11b_A Znečisť. l. (cesty)NO200'!N13</f>
        <v>369.41494342004972</v>
      </c>
      <c r="O10" s="263">
        <f>'11b_A Znečisť. l. (cesty)NO200'!O13</f>
        <v>359.88533308464457</v>
      </c>
      <c r="P10" s="263">
        <f>'11b_A Znečisť. l. (cesty)NO200'!P13</f>
        <v>350.17606000649511</v>
      </c>
      <c r="Q10" s="263">
        <f>'11b_A Znečisť. l. (cesty)NO200'!Q13</f>
        <v>340.18826326558525</v>
      </c>
      <c r="R10" s="263">
        <f>'11b_A Znečisť. l. (cesty)NO200'!R13</f>
        <v>330.01452614842435</v>
      </c>
      <c r="S10" s="263">
        <f>'11b_A Znečisť. l. (cesty)NO200'!S13</f>
        <v>315.75729308757172</v>
      </c>
      <c r="T10" s="263">
        <f>'11b_A Znečisť. l. (cesty)NO200'!T13</f>
        <v>301.60440692809999</v>
      </c>
      <c r="U10" s="263">
        <f>'11b_A Znečisť. l. (cesty)NO200'!U13</f>
        <v>287.45832853290636</v>
      </c>
      <c r="V10" s="263">
        <f>'11b_A Znečisť. l. (cesty)NO200'!V13</f>
        <v>273.41607170335089</v>
      </c>
      <c r="W10" s="263">
        <f>'11b_A Znečisť. l. (cesty)NO200'!W13</f>
        <v>259.38048728545363</v>
      </c>
      <c r="X10" s="263">
        <f>'11b_A Znečisť. l. (cesty)NO200'!X13</f>
        <v>245.44820162972238</v>
      </c>
      <c r="Y10" s="263">
        <f>'11b_A Znečisť. l. (cesty)NO200'!Y13</f>
        <v>231.52245400606125</v>
      </c>
      <c r="Z10" s="263">
        <f>'11b_A Znečisť. l. (cesty)NO200'!Z13</f>
        <v>217.69948486151463</v>
      </c>
      <c r="AA10" s="263">
        <f>'11b_A Znečisť. l. (cesty)NO200'!AA13</f>
        <v>203.88292033686676</v>
      </c>
      <c r="AB10" s="263">
        <f>'11b_A Znečisť. l. (cesty)NO200'!AB13</f>
        <v>190.16861651690772</v>
      </c>
      <c r="AC10" s="263">
        <f>'11b_A Znečisť. l. (cesty)NO200'!AC13</f>
        <v>176.50835438054725</v>
      </c>
      <c r="AD10" s="263">
        <f>'11b_A Znečisť. l. (cesty)NO200'!AD13</f>
        <v>162.85429864325343</v>
      </c>
      <c r="AE10" s="263">
        <f>'11b_A Znečisť. l. (cesty)NO200'!AE13</f>
        <v>149.30173172255388</v>
      </c>
      <c r="AF10" s="263">
        <f>'11b_A Znečisť. l. (cesty)NO200'!AF13</f>
        <v>135.75524018253412</v>
      </c>
      <c r="AG10" s="263">
        <f>'11b_A Znečisť. l. (cesty)NO200'!AG13</f>
        <v>122.30972590461639</v>
      </c>
      <c r="AH10" s="263">
        <f>'11b_A Znečisť. l. (cesty)NO200'!AH13</f>
        <v>108.87015693698648</v>
      </c>
      <c r="AI10" s="263">
        <f>'11b_A Znečisť. l. (cesty)NO200'!AI13</f>
        <v>95.53105614473489</v>
      </c>
      <c r="AJ10" s="263">
        <f>'11b_A Znečisť. l. (cesty)NO200'!AJ13</f>
        <v>82.197771534889952</v>
      </c>
      <c r="AK10" s="263">
        <f>'11b_A Znečisť. l. (cesty)NO200'!AK13</f>
        <v>68.964448469914174</v>
      </c>
      <c r="AL10" s="263">
        <f>'11b_A Znečisť. l. (cesty)NO200'!AL13</f>
        <v>55.736813396519075</v>
      </c>
      <c r="AM10" s="263">
        <f>'11b_A Znečisť. l. (cesty)NO200'!AM13</f>
        <v>42.608635682197544</v>
      </c>
      <c r="AN10" s="263">
        <f>'11b_A Znečisť. l. (cesty)NO200'!AN13</f>
        <v>29.48601870025907</v>
      </c>
    </row>
    <row r="11" spans="2:40" x14ac:dyDescent="0.2">
      <c r="B11" s="31" t="s">
        <v>137</v>
      </c>
      <c r="C11" s="262">
        <f t="shared" si="8"/>
        <v>876.4660811716775</v>
      </c>
      <c r="D11" s="263">
        <f>'11b_A Znečisť. l. (cesty)NO200'!D15</f>
        <v>0</v>
      </c>
      <c r="E11" s="263">
        <f>'11b_A Znečisť. l. (cesty)NO200'!E15</f>
        <v>0</v>
      </c>
      <c r="F11" s="263">
        <f>'11b_A Znečisť. l. (cesty)NO200'!F15</f>
        <v>0</v>
      </c>
      <c r="G11" s="263">
        <f>'11b_A Znečisť. l. (cesty)NO200'!G15</f>
        <v>20.311081541444423</v>
      </c>
      <c r="H11" s="263">
        <f>'11b_A Znečisť. l. (cesty)NO200'!H15</f>
        <v>38.351162333988661</v>
      </c>
      <c r="I11" s="263">
        <f>'11b_A Znečisť. l. (cesty)NO200'!I15</f>
        <v>44.839131853717859</v>
      </c>
      <c r="J11" s="263">
        <f>'11b_A Znečisť. l. (cesty)NO200'!J15</f>
        <v>44.332547140144428</v>
      </c>
      <c r="K11" s="263">
        <f>'11b_A Znečisť. l. (cesty)NO200'!K15</f>
        <v>43.592588391964711</v>
      </c>
      <c r="L11" s="263">
        <f>'11b_A Znečisť. l. (cesty)NO200'!L15</f>
        <v>42.677730706060807</v>
      </c>
      <c r="M11" s="263">
        <f>'11b_A Znečisť. l. (cesty)NO200'!M15</f>
        <v>41.334479386626612</v>
      </c>
      <c r="N11" s="263">
        <f>'11b_A Znečisť. l. (cesty)NO200'!N15</f>
        <v>40.323787969182817</v>
      </c>
      <c r="O11" s="263">
        <f>'11b_A Znečisť. l. (cesty)NO200'!O15</f>
        <v>39.28357561871254</v>
      </c>
      <c r="P11" s="263">
        <f>'11b_A Znečisť. l. (cesty)NO200'!P15</f>
        <v>38.22375203574228</v>
      </c>
      <c r="Q11" s="263">
        <f>'11b_A Znečisť. l. (cesty)NO200'!Q15</f>
        <v>37.133525976311347</v>
      </c>
      <c r="R11" s="263">
        <f>'11b_A Znečisť. l. (cesty)NO200'!R15</f>
        <v>36.0230034442</v>
      </c>
      <c r="S11" s="263">
        <f>'11b_A Znečisť. l. (cesty)NO200'!S15</f>
        <v>34.466743598156526</v>
      </c>
      <c r="T11" s="263">
        <f>'11b_A Znečisť. l. (cesty)NO200'!T15</f>
        <v>32.921873822822086</v>
      </c>
      <c r="U11" s="263">
        <f>'11b_A Znečisť. l. (cesty)NO200'!U15</f>
        <v>31.377747154522652</v>
      </c>
      <c r="V11" s="263">
        <f>'11b_A Znečisť. l. (cesty)NO200'!V15</f>
        <v>29.844953213482871</v>
      </c>
      <c r="W11" s="263">
        <f>'11b_A Znečisť. l. (cesty)NO200'!W15</f>
        <v>28.31288760495303</v>
      </c>
      <c r="X11" s="263">
        <f>'11b_A Znečisť. l. (cesty)NO200'!X15</f>
        <v>26.792097656645534</v>
      </c>
      <c r="Y11" s="263">
        <f>'11b_A Znečisť. l. (cesty)NO200'!Y15</f>
        <v>25.272021372534972</v>
      </c>
      <c r="Z11" s="263">
        <f>'11b_A Znečisť. l. (cesty)NO200'!Z15</f>
        <v>23.763163956728</v>
      </c>
      <c r="AA11" s="263">
        <f>'11b_A Znečisť. l. (cesty)NO200'!AA15</f>
        <v>22.255005642404122</v>
      </c>
      <c r="AB11" s="263">
        <f>'11b_A Znečisť. l. (cesty)NO200'!AB15</f>
        <v>20.758009678296169</v>
      </c>
      <c r="AC11" s="263">
        <f>'11b_A Znečisť. l. (cesty)NO200'!AC15</f>
        <v>19.266912678022088</v>
      </c>
      <c r="AD11" s="263">
        <f>'11b_A Znečisť. l. (cesty)NO200'!AD15</f>
        <v>17.776493142275289</v>
      </c>
      <c r="AE11" s="263">
        <f>'11b_A Znečisť. l. (cesty)NO200'!AE15</f>
        <v>16.297151700672988</v>
      </c>
      <c r="AF11" s="263">
        <f>'11b_A Znečisť. l. (cesty)NO200'!AF15</f>
        <v>14.818473422179615</v>
      </c>
      <c r="AG11" s="263">
        <f>'11b_A Znečisť. l. (cesty)NO200'!AG15</f>
        <v>13.350817398684953</v>
      </c>
      <c r="AH11" s="263">
        <f>'11b_A Znečisť. l. (cesty)NO200'!AH15</f>
        <v>11.883810340360023</v>
      </c>
      <c r="AI11" s="263">
        <f>'11b_A Znečisť. l. (cesty)NO200'!AI15</f>
        <v>10.427769967259303</v>
      </c>
      <c r="AJ11" s="263">
        <f>'11b_A Znečisť. l. (cesty)NO200'!AJ15</f>
        <v>8.9723644642696367</v>
      </c>
      <c r="AK11" s="263">
        <f>'11b_A Znečisť. l. (cesty)NO200'!AK15</f>
        <v>7.5278703448397692</v>
      </c>
      <c r="AL11" s="263">
        <f>'11b_A Znečisť. l. (cesty)NO200'!AL15</f>
        <v>6.0839971027473085</v>
      </c>
      <c r="AM11" s="263">
        <f>'11b_A Znečisť. l. (cesty)NO200'!AM15</f>
        <v>4.6509802094049242</v>
      </c>
      <c r="AN11" s="263">
        <f>'11b_A Znečisť. l. (cesty)NO200'!AN15</f>
        <v>3.2185703023189469</v>
      </c>
    </row>
    <row r="12" spans="2:40" x14ac:dyDescent="0.2">
      <c r="B12" s="257" t="s">
        <v>9</v>
      </c>
      <c r="C12" s="264">
        <f t="shared" si="8"/>
        <v>23953.723801891592</v>
      </c>
      <c r="D12" s="264">
        <f>SUM(D5:D11)</f>
        <v>0</v>
      </c>
      <c r="E12" s="264">
        <f t="shared" ref="E12:AG12" si="9">SUM(E5:E11)</f>
        <v>0</v>
      </c>
      <c r="F12" s="264">
        <f t="shared" si="9"/>
        <v>0</v>
      </c>
      <c r="G12" s="264">
        <f t="shared" si="9"/>
        <v>555.09967563269595</v>
      </c>
      <c r="H12" s="264">
        <f t="shared" si="9"/>
        <v>1048.1331448694496</v>
      </c>
      <c r="I12" s="264">
        <f t="shared" si="9"/>
        <v>1225.4486545614254</v>
      </c>
      <c r="J12" s="264">
        <f t="shared" si="9"/>
        <v>1211.6037487836952</v>
      </c>
      <c r="K12" s="264">
        <f t="shared" si="9"/>
        <v>1191.3807557216071</v>
      </c>
      <c r="L12" s="264">
        <f t="shared" si="9"/>
        <v>1166.3777934884486</v>
      </c>
      <c r="M12" s="264">
        <f t="shared" si="9"/>
        <v>1129.6668792917005</v>
      </c>
      <c r="N12" s="264">
        <f t="shared" si="9"/>
        <v>1102.0447914751057</v>
      </c>
      <c r="O12" s="264">
        <f t="shared" si="9"/>
        <v>1073.6158997316036</v>
      </c>
      <c r="P12" s="264">
        <f t="shared" si="9"/>
        <v>1044.6510351115564</v>
      </c>
      <c r="Q12" s="264">
        <f t="shared" si="9"/>
        <v>1014.8552740772875</v>
      </c>
      <c r="R12" s="264">
        <f t="shared" si="9"/>
        <v>984.50481262598817</v>
      </c>
      <c r="S12" s="264">
        <f t="shared" si="9"/>
        <v>941.97239828969657</v>
      </c>
      <c r="T12" s="264">
        <f t="shared" si="9"/>
        <v>899.75127336175615</v>
      </c>
      <c r="U12" s="264">
        <f t="shared" si="9"/>
        <v>857.55045746921883</v>
      </c>
      <c r="V12" s="264">
        <f t="shared" si="9"/>
        <v>815.6593637947243</v>
      </c>
      <c r="W12" s="264">
        <f t="shared" si="9"/>
        <v>773.78817536945041</v>
      </c>
      <c r="X12" s="264">
        <f t="shared" si="9"/>
        <v>732.22514952622294</v>
      </c>
      <c r="Y12" s="264">
        <f t="shared" si="9"/>
        <v>690.68162804879785</v>
      </c>
      <c r="Z12" s="264">
        <f t="shared" si="9"/>
        <v>649.44471703638351</v>
      </c>
      <c r="AA12" s="264">
        <f t="shared" si="9"/>
        <v>608.22691239236735</v>
      </c>
      <c r="AB12" s="264">
        <f t="shared" si="9"/>
        <v>567.31417358009992</v>
      </c>
      <c r="AC12" s="264">
        <f t="shared" si="9"/>
        <v>526.56265281543233</v>
      </c>
      <c r="AD12" s="264">
        <f t="shared" si="9"/>
        <v>485.82964708348629</v>
      </c>
      <c r="AE12" s="264">
        <f t="shared" si="9"/>
        <v>445.39940447391206</v>
      </c>
      <c r="AF12" s="264">
        <f t="shared" si="9"/>
        <v>404.98728604083271</v>
      </c>
      <c r="AG12" s="264">
        <f t="shared" si="9"/>
        <v>364.87640465227219</v>
      </c>
      <c r="AH12" s="264">
        <f t="shared" ref="AH12:AN12" si="10">SUM(AH5:AH11)</f>
        <v>324.78325941205406</v>
      </c>
      <c r="AI12" s="264">
        <f t="shared" si="10"/>
        <v>284.98983250038981</v>
      </c>
      <c r="AJ12" s="264">
        <f t="shared" si="10"/>
        <v>245.2137565206294</v>
      </c>
      <c r="AK12" s="264">
        <f t="shared" si="10"/>
        <v>205.73588748087798</v>
      </c>
      <c r="AL12" s="264">
        <f t="shared" si="10"/>
        <v>166.27498695203019</v>
      </c>
      <c r="AM12" s="264">
        <f t="shared" si="10"/>
        <v>127.11078926775652</v>
      </c>
      <c r="AN12" s="264">
        <f t="shared" si="10"/>
        <v>87.963180452635797</v>
      </c>
    </row>
    <row r="15" spans="2:40" x14ac:dyDescent="0.2">
      <c r="B15" s="256"/>
      <c r="C15" s="256"/>
      <c r="D15" s="256" t="s">
        <v>10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</row>
    <row r="16" spans="2:40" x14ac:dyDescent="0.2">
      <c r="B16" s="257" t="s">
        <v>450</v>
      </c>
      <c r="C16" s="257"/>
      <c r="D16" s="258">
        <v>1</v>
      </c>
      <c r="E16" s="258">
        <v>2</v>
      </c>
      <c r="F16" s="258">
        <v>3</v>
      </c>
      <c r="G16" s="258">
        <v>4</v>
      </c>
      <c r="H16" s="258">
        <v>5</v>
      </c>
      <c r="I16" s="258">
        <v>6</v>
      </c>
      <c r="J16" s="258">
        <v>7</v>
      </c>
      <c r="K16" s="258">
        <v>8</v>
      </c>
      <c r="L16" s="258">
        <v>9</v>
      </c>
      <c r="M16" s="258">
        <v>10</v>
      </c>
      <c r="N16" s="258">
        <v>11</v>
      </c>
      <c r="O16" s="258">
        <v>12</v>
      </c>
      <c r="P16" s="258">
        <v>13</v>
      </c>
      <c r="Q16" s="258">
        <v>14</v>
      </c>
      <c r="R16" s="258">
        <v>15</v>
      </c>
      <c r="S16" s="258">
        <v>16</v>
      </c>
      <c r="T16" s="258">
        <v>17</v>
      </c>
      <c r="U16" s="258">
        <v>18</v>
      </c>
      <c r="V16" s="258">
        <v>19</v>
      </c>
      <c r="W16" s="258">
        <v>20</v>
      </c>
      <c r="X16" s="258">
        <v>21</v>
      </c>
      <c r="Y16" s="258">
        <v>22</v>
      </c>
      <c r="Z16" s="258">
        <v>23</v>
      </c>
      <c r="AA16" s="258">
        <v>24</v>
      </c>
      <c r="AB16" s="258">
        <v>25</v>
      </c>
      <c r="AC16" s="258">
        <v>26</v>
      </c>
      <c r="AD16" s="258">
        <v>27</v>
      </c>
      <c r="AE16" s="258">
        <v>28</v>
      </c>
      <c r="AF16" s="258">
        <v>29</v>
      </c>
      <c r="AG16" s="258">
        <v>30</v>
      </c>
      <c r="AH16" s="258">
        <v>31</v>
      </c>
      <c r="AI16" s="258">
        <v>32</v>
      </c>
      <c r="AJ16" s="258">
        <v>33</v>
      </c>
      <c r="AK16" s="258">
        <v>34</v>
      </c>
      <c r="AL16" s="258">
        <v>35</v>
      </c>
      <c r="AM16" s="258">
        <v>36</v>
      </c>
      <c r="AN16" s="258">
        <v>37</v>
      </c>
    </row>
    <row r="17" spans="2:40" x14ac:dyDescent="0.2">
      <c r="B17" s="259" t="s">
        <v>34</v>
      </c>
      <c r="C17" s="260" t="s">
        <v>9</v>
      </c>
      <c r="D17" s="261">
        <f>D4</f>
        <v>2026</v>
      </c>
      <c r="E17" s="261">
        <f t="shared" ref="E17:AG17" si="11">E4</f>
        <v>2027</v>
      </c>
      <c r="F17" s="261">
        <f t="shared" si="11"/>
        <v>2028</v>
      </c>
      <c r="G17" s="261">
        <f t="shared" si="11"/>
        <v>2029</v>
      </c>
      <c r="H17" s="261">
        <f t="shared" si="11"/>
        <v>2030</v>
      </c>
      <c r="I17" s="261">
        <f t="shared" si="11"/>
        <v>2031</v>
      </c>
      <c r="J17" s="261">
        <f t="shared" si="11"/>
        <v>2032</v>
      </c>
      <c r="K17" s="261">
        <f t="shared" si="11"/>
        <v>2033</v>
      </c>
      <c r="L17" s="261">
        <f t="shared" si="11"/>
        <v>2034</v>
      </c>
      <c r="M17" s="261">
        <f t="shared" si="11"/>
        <v>2035</v>
      </c>
      <c r="N17" s="261">
        <f t="shared" si="11"/>
        <v>2036</v>
      </c>
      <c r="O17" s="261">
        <f t="shared" si="11"/>
        <v>2037</v>
      </c>
      <c r="P17" s="261">
        <f t="shared" si="11"/>
        <v>2038</v>
      </c>
      <c r="Q17" s="261">
        <f t="shared" si="11"/>
        <v>2039</v>
      </c>
      <c r="R17" s="261">
        <f t="shared" si="11"/>
        <v>2040</v>
      </c>
      <c r="S17" s="261">
        <f t="shared" si="11"/>
        <v>2041</v>
      </c>
      <c r="T17" s="261">
        <f t="shared" si="11"/>
        <v>2042</v>
      </c>
      <c r="U17" s="261">
        <f t="shared" si="11"/>
        <v>2043</v>
      </c>
      <c r="V17" s="261">
        <f t="shared" si="11"/>
        <v>2044</v>
      </c>
      <c r="W17" s="261">
        <f t="shared" si="11"/>
        <v>2045</v>
      </c>
      <c r="X17" s="261">
        <f t="shared" si="11"/>
        <v>2046</v>
      </c>
      <c r="Y17" s="261">
        <f t="shared" si="11"/>
        <v>2047</v>
      </c>
      <c r="Z17" s="261">
        <f t="shared" si="11"/>
        <v>2048</v>
      </c>
      <c r="AA17" s="261">
        <f t="shared" si="11"/>
        <v>2049</v>
      </c>
      <c r="AB17" s="261">
        <f t="shared" si="11"/>
        <v>2050</v>
      </c>
      <c r="AC17" s="261">
        <f t="shared" si="11"/>
        <v>2051</v>
      </c>
      <c r="AD17" s="261">
        <f t="shared" si="11"/>
        <v>2052</v>
      </c>
      <c r="AE17" s="261">
        <f t="shared" si="11"/>
        <v>2053</v>
      </c>
      <c r="AF17" s="261">
        <f t="shared" si="11"/>
        <v>2054</v>
      </c>
      <c r="AG17" s="261">
        <f t="shared" si="11"/>
        <v>2055</v>
      </c>
      <c r="AH17" s="261">
        <f t="shared" ref="AH17:AN17" si="12">AH4</f>
        <v>2056</v>
      </c>
      <c r="AI17" s="261">
        <f t="shared" si="12"/>
        <v>2057</v>
      </c>
      <c r="AJ17" s="261">
        <f t="shared" si="12"/>
        <v>2058</v>
      </c>
      <c r="AK17" s="261">
        <f t="shared" si="12"/>
        <v>2059</v>
      </c>
      <c r="AL17" s="261">
        <f t="shared" si="12"/>
        <v>2060</v>
      </c>
      <c r="AM17" s="261">
        <f t="shared" si="12"/>
        <v>2061</v>
      </c>
      <c r="AN17" s="261">
        <f t="shared" si="12"/>
        <v>2062</v>
      </c>
    </row>
    <row r="18" spans="2:40" x14ac:dyDescent="0.2">
      <c r="B18" s="31" t="s">
        <v>405</v>
      </c>
      <c r="C18" s="262">
        <f t="shared" ref="C18:C25" si="13">SUM(D18:AQ18)</f>
        <v>0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</row>
    <row r="19" spans="2:40" x14ac:dyDescent="0.2">
      <c r="B19" s="31" t="s">
        <v>406</v>
      </c>
      <c r="C19" s="262">
        <f t="shared" si="13"/>
        <v>0</v>
      </c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</row>
    <row r="20" spans="2:40" x14ac:dyDescent="0.2">
      <c r="B20" s="31" t="s">
        <v>407</v>
      </c>
      <c r="C20" s="262">
        <f t="shared" si="13"/>
        <v>0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</row>
    <row r="21" spans="2:40" x14ac:dyDescent="0.2">
      <c r="B21" s="31" t="s">
        <v>408</v>
      </c>
      <c r="C21" s="262">
        <f t="shared" si="13"/>
        <v>0</v>
      </c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</row>
    <row r="22" spans="2:40" x14ac:dyDescent="0.2">
      <c r="B22" s="31" t="s">
        <v>136</v>
      </c>
      <c r="C22" s="262">
        <f t="shared" si="13"/>
        <v>0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</row>
    <row r="23" spans="2:40" ht="11.85" customHeight="1" x14ac:dyDescent="0.2">
      <c r="B23" s="31" t="s">
        <v>133</v>
      </c>
      <c r="C23" s="262">
        <f t="shared" si="13"/>
        <v>0</v>
      </c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</row>
    <row r="24" spans="2:40" x14ac:dyDescent="0.2">
      <c r="B24" s="31" t="s">
        <v>137</v>
      </c>
      <c r="C24" s="262">
        <f t="shared" si="13"/>
        <v>0</v>
      </c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</row>
    <row r="25" spans="2:40" x14ac:dyDescent="0.2">
      <c r="B25" s="257" t="s">
        <v>35</v>
      </c>
      <c r="C25" s="264">
        <f t="shared" si="13"/>
        <v>0</v>
      </c>
      <c r="D25" s="264">
        <f t="shared" ref="D25:AG25" si="14">SUM(D18:D24)</f>
        <v>0</v>
      </c>
      <c r="E25" s="264">
        <f t="shared" si="14"/>
        <v>0</v>
      </c>
      <c r="F25" s="264">
        <f t="shared" si="14"/>
        <v>0</v>
      </c>
      <c r="G25" s="264">
        <f t="shared" si="14"/>
        <v>0</v>
      </c>
      <c r="H25" s="264">
        <f t="shared" si="14"/>
        <v>0</v>
      </c>
      <c r="I25" s="264">
        <f t="shared" si="14"/>
        <v>0</v>
      </c>
      <c r="J25" s="264">
        <f t="shared" si="14"/>
        <v>0</v>
      </c>
      <c r="K25" s="264">
        <f t="shared" si="14"/>
        <v>0</v>
      </c>
      <c r="L25" s="264">
        <f t="shared" si="14"/>
        <v>0</v>
      </c>
      <c r="M25" s="264">
        <f t="shared" si="14"/>
        <v>0</v>
      </c>
      <c r="N25" s="264">
        <f t="shared" si="14"/>
        <v>0</v>
      </c>
      <c r="O25" s="264">
        <f t="shared" si="14"/>
        <v>0</v>
      </c>
      <c r="P25" s="264">
        <f t="shared" si="14"/>
        <v>0</v>
      </c>
      <c r="Q25" s="264">
        <f t="shared" si="14"/>
        <v>0</v>
      </c>
      <c r="R25" s="264">
        <f t="shared" si="14"/>
        <v>0</v>
      </c>
      <c r="S25" s="264">
        <f t="shared" si="14"/>
        <v>0</v>
      </c>
      <c r="T25" s="264">
        <f t="shared" si="14"/>
        <v>0</v>
      </c>
      <c r="U25" s="264">
        <f t="shared" si="14"/>
        <v>0</v>
      </c>
      <c r="V25" s="264">
        <f t="shared" si="14"/>
        <v>0</v>
      </c>
      <c r="W25" s="264">
        <f t="shared" si="14"/>
        <v>0</v>
      </c>
      <c r="X25" s="264">
        <f t="shared" si="14"/>
        <v>0</v>
      </c>
      <c r="Y25" s="264">
        <f t="shared" si="14"/>
        <v>0</v>
      </c>
      <c r="Z25" s="264">
        <f t="shared" si="14"/>
        <v>0</v>
      </c>
      <c r="AA25" s="264">
        <f t="shared" si="14"/>
        <v>0</v>
      </c>
      <c r="AB25" s="264">
        <f t="shared" si="14"/>
        <v>0</v>
      </c>
      <c r="AC25" s="264">
        <f t="shared" si="14"/>
        <v>0</v>
      </c>
      <c r="AD25" s="264">
        <f t="shared" si="14"/>
        <v>0</v>
      </c>
      <c r="AE25" s="264">
        <f t="shared" si="14"/>
        <v>0</v>
      </c>
      <c r="AF25" s="264">
        <f t="shared" si="14"/>
        <v>0</v>
      </c>
      <c r="AG25" s="264">
        <f t="shared" si="14"/>
        <v>0</v>
      </c>
      <c r="AH25" s="264">
        <f t="shared" ref="AH25:AN25" si="15">SUM(AH18:AH24)</f>
        <v>0</v>
      </c>
      <c r="AI25" s="264">
        <f t="shared" si="15"/>
        <v>0</v>
      </c>
      <c r="AJ25" s="264">
        <f t="shared" si="15"/>
        <v>0</v>
      </c>
      <c r="AK25" s="264">
        <f t="shared" si="15"/>
        <v>0</v>
      </c>
      <c r="AL25" s="264">
        <f t="shared" si="15"/>
        <v>0</v>
      </c>
      <c r="AM25" s="264">
        <f t="shared" si="15"/>
        <v>0</v>
      </c>
      <c r="AN25" s="264">
        <f t="shared" si="15"/>
        <v>0</v>
      </c>
    </row>
    <row r="28" spans="2:40" x14ac:dyDescent="0.2">
      <c r="B28" s="256"/>
      <c r="C28" s="256"/>
      <c r="D28" s="256" t="s">
        <v>10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</row>
    <row r="29" spans="2:40" x14ac:dyDescent="0.2">
      <c r="B29" s="257" t="s">
        <v>451</v>
      </c>
      <c r="C29" s="257"/>
      <c r="D29" s="258">
        <v>1</v>
      </c>
      <c r="E29" s="258">
        <v>2</v>
      </c>
      <c r="F29" s="258">
        <v>3</v>
      </c>
      <c r="G29" s="258">
        <v>4</v>
      </c>
      <c r="H29" s="258">
        <v>5</v>
      </c>
      <c r="I29" s="258">
        <v>6</v>
      </c>
      <c r="J29" s="258">
        <v>7</v>
      </c>
      <c r="K29" s="258">
        <v>8</v>
      </c>
      <c r="L29" s="258">
        <v>9</v>
      </c>
      <c r="M29" s="258">
        <v>10</v>
      </c>
      <c r="N29" s="258">
        <v>11</v>
      </c>
      <c r="O29" s="258">
        <v>12</v>
      </c>
      <c r="P29" s="258">
        <v>13</v>
      </c>
      <c r="Q29" s="258">
        <v>14</v>
      </c>
      <c r="R29" s="258">
        <v>15</v>
      </c>
      <c r="S29" s="258">
        <v>16</v>
      </c>
      <c r="T29" s="258">
        <v>17</v>
      </c>
      <c r="U29" s="258">
        <v>18</v>
      </c>
      <c r="V29" s="258">
        <v>19</v>
      </c>
      <c r="W29" s="258">
        <v>20</v>
      </c>
      <c r="X29" s="258">
        <v>21</v>
      </c>
      <c r="Y29" s="258">
        <v>22</v>
      </c>
      <c r="Z29" s="258">
        <v>23</v>
      </c>
      <c r="AA29" s="258">
        <v>24</v>
      </c>
      <c r="AB29" s="258">
        <v>25</v>
      </c>
      <c r="AC29" s="258">
        <v>26</v>
      </c>
      <c r="AD29" s="258">
        <v>27</v>
      </c>
      <c r="AE29" s="258">
        <v>28</v>
      </c>
      <c r="AF29" s="258">
        <v>29</v>
      </c>
      <c r="AG29" s="258">
        <v>30</v>
      </c>
      <c r="AH29" s="258">
        <v>31</v>
      </c>
      <c r="AI29" s="258">
        <v>32</v>
      </c>
      <c r="AJ29" s="258">
        <v>33</v>
      </c>
      <c r="AK29" s="258">
        <v>34</v>
      </c>
      <c r="AL29" s="258">
        <v>35</v>
      </c>
      <c r="AM29" s="258">
        <v>36</v>
      </c>
      <c r="AN29" s="258">
        <v>37</v>
      </c>
    </row>
    <row r="30" spans="2:40" x14ac:dyDescent="0.2">
      <c r="B30" s="259" t="s">
        <v>63</v>
      </c>
      <c r="C30" s="260" t="s">
        <v>9</v>
      </c>
      <c r="D30" s="261">
        <f>D4</f>
        <v>2026</v>
      </c>
      <c r="E30" s="261">
        <f t="shared" ref="E30:AG30" si="16">E4</f>
        <v>2027</v>
      </c>
      <c r="F30" s="261">
        <f t="shared" si="16"/>
        <v>2028</v>
      </c>
      <c r="G30" s="261">
        <f t="shared" si="16"/>
        <v>2029</v>
      </c>
      <c r="H30" s="261">
        <f t="shared" si="16"/>
        <v>2030</v>
      </c>
      <c r="I30" s="261">
        <f t="shared" si="16"/>
        <v>2031</v>
      </c>
      <c r="J30" s="261">
        <f t="shared" si="16"/>
        <v>2032</v>
      </c>
      <c r="K30" s="261">
        <f t="shared" si="16"/>
        <v>2033</v>
      </c>
      <c r="L30" s="261">
        <f t="shared" si="16"/>
        <v>2034</v>
      </c>
      <c r="M30" s="261">
        <f t="shared" si="16"/>
        <v>2035</v>
      </c>
      <c r="N30" s="261">
        <f t="shared" si="16"/>
        <v>2036</v>
      </c>
      <c r="O30" s="261">
        <f t="shared" si="16"/>
        <v>2037</v>
      </c>
      <c r="P30" s="261">
        <f t="shared" si="16"/>
        <v>2038</v>
      </c>
      <c r="Q30" s="261">
        <f t="shared" si="16"/>
        <v>2039</v>
      </c>
      <c r="R30" s="261">
        <f t="shared" si="16"/>
        <v>2040</v>
      </c>
      <c r="S30" s="261">
        <f t="shared" si="16"/>
        <v>2041</v>
      </c>
      <c r="T30" s="261">
        <f t="shared" si="16"/>
        <v>2042</v>
      </c>
      <c r="U30" s="261">
        <f t="shared" si="16"/>
        <v>2043</v>
      </c>
      <c r="V30" s="261">
        <f t="shared" si="16"/>
        <v>2044</v>
      </c>
      <c r="W30" s="261">
        <f t="shared" si="16"/>
        <v>2045</v>
      </c>
      <c r="X30" s="261">
        <f t="shared" si="16"/>
        <v>2046</v>
      </c>
      <c r="Y30" s="261">
        <f t="shared" si="16"/>
        <v>2047</v>
      </c>
      <c r="Z30" s="261">
        <f t="shared" si="16"/>
        <v>2048</v>
      </c>
      <c r="AA30" s="261">
        <f t="shared" si="16"/>
        <v>2049</v>
      </c>
      <c r="AB30" s="261">
        <f t="shared" si="16"/>
        <v>2050</v>
      </c>
      <c r="AC30" s="261">
        <f t="shared" si="16"/>
        <v>2051</v>
      </c>
      <c r="AD30" s="261">
        <f t="shared" si="16"/>
        <v>2052</v>
      </c>
      <c r="AE30" s="261">
        <f t="shared" si="16"/>
        <v>2053</v>
      </c>
      <c r="AF30" s="261">
        <f t="shared" si="16"/>
        <v>2054</v>
      </c>
      <c r="AG30" s="261">
        <f t="shared" si="16"/>
        <v>2055</v>
      </c>
      <c r="AH30" s="261">
        <f t="shared" ref="AH30:AN30" si="17">AH4</f>
        <v>2056</v>
      </c>
      <c r="AI30" s="261">
        <f t="shared" si="17"/>
        <v>2057</v>
      </c>
      <c r="AJ30" s="261">
        <f t="shared" si="17"/>
        <v>2058</v>
      </c>
      <c r="AK30" s="261">
        <f t="shared" si="17"/>
        <v>2059</v>
      </c>
      <c r="AL30" s="261">
        <f t="shared" si="17"/>
        <v>2060</v>
      </c>
      <c r="AM30" s="261">
        <f t="shared" si="17"/>
        <v>2061</v>
      </c>
      <c r="AN30" s="261">
        <f t="shared" si="17"/>
        <v>2062</v>
      </c>
    </row>
    <row r="31" spans="2:40" x14ac:dyDescent="0.2">
      <c r="B31" s="31" t="s">
        <v>405</v>
      </c>
      <c r="C31" s="262">
        <f t="shared" ref="C31:C38" si="18">SUM(D31:AQ31)</f>
        <v>0</v>
      </c>
      <c r="D31" s="262">
        <f>D5-D18</f>
        <v>0</v>
      </c>
      <c r="E31" s="262">
        <f t="shared" ref="E31:AG37" si="19">E5-E18</f>
        <v>0</v>
      </c>
      <c r="F31" s="262">
        <f t="shared" si="19"/>
        <v>0</v>
      </c>
      <c r="G31" s="262">
        <f t="shared" si="19"/>
        <v>0</v>
      </c>
      <c r="H31" s="262">
        <f t="shared" si="19"/>
        <v>0</v>
      </c>
      <c r="I31" s="262">
        <f t="shared" si="19"/>
        <v>0</v>
      </c>
      <c r="J31" s="262">
        <f t="shared" si="19"/>
        <v>0</v>
      </c>
      <c r="K31" s="262">
        <f t="shared" si="19"/>
        <v>0</v>
      </c>
      <c r="L31" s="262">
        <f t="shared" si="19"/>
        <v>0</v>
      </c>
      <c r="M31" s="262">
        <f t="shared" si="19"/>
        <v>0</v>
      </c>
      <c r="N31" s="262">
        <f t="shared" si="19"/>
        <v>0</v>
      </c>
      <c r="O31" s="262">
        <f t="shared" si="19"/>
        <v>0</v>
      </c>
      <c r="P31" s="262">
        <f t="shared" si="19"/>
        <v>0</v>
      </c>
      <c r="Q31" s="262">
        <f t="shared" si="19"/>
        <v>0</v>
      </c>
      <c r="R31" s="262">
        <f t="shared" si="19"/>
        <v>0</v>
      </c>
      <c r="S31" s="262">
        <f t="shared" si="19"/>
        <v>0</v>
      </c>
      <c r="T31" s="262">
        <f t="shared" si="19"/>
        <v>0</v>
      </c>
      <c r="U31" s="262">
        <f t="shared" si="19"/>
        <v>0</v>
      </c>
      <c r="V31" s="262">
        <f t="shared" si="19"/>
        <v>0</v>
      </c>
      <c r="W31" s="262">
        <f t="shared" si="19"/>
        <v>0</v>
      </c>
      <c r="X31" s="262">
        <f t="shared" si="19"/>
        <v>0</v>
      </c>
      <c r="Y31" s="262">
        <f t="shared" si="19"/>
        <v>0</v>
      </c>
      <c r="Z31" s="262">
        <f t="shared" si="19"/>
        <v>0</v>
      </c>
      <c r="AA31" s="262">
        <f t="shared" si="19"/>
        <v>0</v>
      </c>
      <c r="AB31" s="262">
        <f t="shared" si="19"/>
        <v>0</v>
      </c>
      <c r="AC31" s="262">
        <f t="shared" si="19"/>
        <v>0</v>
      </c>
      <c r="AD31" s="262">
        <f t="shared" si="19"/>
        <v>0</v>
      </c>
      <c r="AE31" s="262">
        <f t="shared" si="19"/>
        <v>0</v>
      </c>
      <c r="AF31" s="262">
        <f t="shared" si="19"/>
        <v>0</v>
      </c>
      <c r="AG31" s="262">
        <f t="shared" si="19"/>
        <v>0</v>
      </c>
      <c r="AH31" s="262">
        <f t="shared" ref="AH31:AN31" si="20">AH5-AH18</f>
        <v>0</v>
      </c>
      <c r="AI31" s="262">
        <f t="shared" si="20"/>
        <v>0</v>
      </c>
      <c r="AJ31" s="262">
        <f t="shared" si="20"/>
        <v>0</v>
      </c>
      <c r="AK31" s="262">
        <f t="shared" si="20"/>
        <v>0</v>
      </c>
      <c r="AL31" s="262">
        <f t="shared" si="20"/>
        <v>0</v>
      </c>
      <c r="AM31" s="262">
        <f t="shared" si="20"/>
        <v>0</v>
      </c>
      <c r="AN31" s="262">
        <f t="shared" si="20"/>
        <v>0</v>
      </c>
    </row>
    <row r="32" spans="2:40" x14ac:dyDescent="0.2">
      <c r="B32" s="31" t="s">
        <v>406</v>
      </c>
      <c r="C32" s="262">
        <f t="shared" si="18"/>
        <v>678.79107883001404</v>
      </c>
      <c r="D32" s="262">
        <f t="shared" ref="D32:S37" si="21">D6-D19</f>
        <v>0</v>
      </c>
      <c r="E32" s="262">
        <f t="shared" si="21"/>
        <v>0</v>
      </c>
      <c r="F32" s="262">
        <f t="shared" si="21"/>
        <v>0</v>
      </c>
      <c r="G32" s="262">
        <f t="shared" si="21"/>
        <v>15.730193384427075</v>
      </c>
      <c r="H32" s="262">
        <f t="shared" si="21"/>
        <v>29.701579347226403</v>
      </c>
      <c r="I32" s="262">
        <f t="shared" si="21"/>
        <v>34.726275595398285</v>
      </c>
      <c r="J32" s="262">
        <f t="shared" si="21"/>
        <v>34.333944173073725</v>
      </c>
      <c r="K32" s="262">
        <f t="shared" si="21"/>
        <v>33.760873055141637</v>
      </c>
      <c r="L32" s="262">
        <f t="shared" si="21"/>
        <v>33.052349075798958</v>
      </c>
      <c r="M32" s="262">
        <f t="shared" si="21"/>
        <v>32.0120498196775</v>
      </c>
      <c r="N32" s="262">
        <f t="shared" si="21"/>
        <v>31.229306103350467</v>
      </c>
      <c r="O32" s="262">
        <f t="shared" si="21"/>
        <v>30.423699498877991</v>
      </c>
      <c r="P32" s="262">
        <f t="shared" si="21"/>
        <v>29.602904708631044</v>
      </c>
      <c r="Q32" s="262">
        <f t="shared" si="21"/>
        <v>28.758564306934687</v>
      </c>
      <c r="R32" s="262">
        <f t="shared" si="21"/>
        <v>27.898505025885054</v>
      </c>
      <c r="S32" s="262">
        <f t="shared" si="21"/>
        <v>26.693238418849337</v>
      </c>
      <c r="T32" s="262">
        <f t="shared" si="19"/>
        <v>25.49679300700944</v>
      </c>
      <c r="U32" s="262">
        <f t="shared" si="19"/>
        <v>24.300923104521036</v>
      </c>
      <c r="V32" s="262">
        <f t="shared" si="19"/>
        <v>23.113829986814061</v>
      </c>
      <c r="W32" s="262">
        <f t="shared" si="19"/>
        <v>21.92730093612667</v>
      </c>
      <c r="X32" s="262">
        <f t="shared" si="19"/>
        <v>20.749504473877394</v>
      </c>
      <c r="Y32" s="262">
        <f t="shared" si="19"/>
        <v>19.572260718573165</v>
      </c>
      <c r="Z32" s="262">
        <f t="shared" si="19"/>
        <v>18.403705568433061</v>
      </c>
      <c r="AA32" s="262">
        <f t="shared" si="19"/>
        <v>17.235691846946168</v>
      </c>
      <c r="AB32" s="262">
        <f t="shared" si="19"/>
        <v>16.076322959421617</v>
      </c>
      <c r="AC32" s="262">
        <f t="shared" si="19"/>
        <v>14.921522604679776</v>
      </c>
      <c r="AD32" s="262">
        <f t="shared" si="19"/>
        <v>13.767246921556412</v>
      </c>
      <c r="AE32" s="262">
        <f t="shared" si="19"/>
        <v>12.621550819134754</v>
      </c>
      <c r="AF32" s="262">
        <f t="shared" si="19"/>
        <v>11.476368312403588</v>
      </c>
      <c r="AG32" s="262">
        <f t="shared" si="19"/>
        <v>10.339722140988114</v>
      </c>
      <c r="AH32" s="262">
        <f t="shared" ref="AH32:AN32" si="22">AH6-AH19</f>
        <v>9.2035785694759902</v>
      </c>
      <c r="AI32" s="262">
        <f t="shared" si="22"/>
        <v>8.0759282965118029</v>
      </c>
      <c r="AJ32" s="262">
        <f t="shared" si="22"/>
        <v>6.9487697073410404</v>
      </c>
      <c r="AK32" s="262">
        <f t="shared" si="22"/>
        <v>5.8300615875919624</v>
      </c>
      <c r="AL32" s="262">
        <f t="shared" si="22"/>
        <v>4.7118343147424193</v>
      </c>
      <c r="AM32" s="262">
        <f t="shared" si="22"/>
        <v>3.6020148888575498</v>
      </c>
      <c r="AN32" s="262">
        <f t="shared" si="22"/>
        <v>2.4926655517355809</v>
      </c>
    </row>
    <row r="33" spans="2:40" x14ac:dyDescent="0.2">
      <c r="B33" s="31" t="s">
        <v>407</v>
      </c>
      <c r="C33" s="262">
        <f t="shared" si="18"/>
        <v>0</v>
      </c>
      <c r="D33" s="262">
        <f t="shared" si="21"/>
        <v>0</v>
      </c>
      <c r="E33" s="262">
        <f t="shared" si="19"/>
        <v>0</v>
      </c>
      <c r="F33" s="262">
        <f t="shared" si="19"/>
        <v>0</v>
      </c>
      <c r="G33" s="262">
        <f t="shared" si="19"/>
        <v>0</v>
      </c>
      <c r="H33" s="262">
        <f t="shared" si="19"/>
        <v>0</v>
      </c>
      <c r="I33" s="262">
        <f t="shared" si="19"/>
        <v>0</v>
      </c>
      <c r="J33" s="262">
        <f t="shared" si="19"/>
        <v>0</v>
      </c>
      <c r="K33" s="262">
        <f t="shared" si="19"/>
        <v>0</v>
      </c>
      <c r="L33" s="262">
        <f t="shared" si="19"/>
        <v>0</v>
      </c>
      <c r="M33" s="262">
        <f t="shared" si="19"/>
        <v>0</v>
      </c>
      <c r="N33" s="262">
        <f t="shared" si="19"/>
        <v>0</v>
      </c>
      <c r="O33" s="262">
        <f t="shared" si="19"/>
        <v>0</v>
      </c>
      <c r="P33" s="262">
        <f t="shared" si="19"/>
        <v>0</v>
      </c>
      <c r="Q33" s="262">
        <f t="shared" si="19"/>
        <v>0</v>
      </c>
      <c r="R33" s="262">
        <f t="shared" si="19"/>
        <v>0</v>
      </c>
      <c r="S33" s="262">
        <f t="shared" si="19"/>
        <v>0</v>
      </c>
      <c r="T33" s="262">
        <f t="shared" si="19"/>
        <v>0</v>
      </c>
      <c r="U33" s="262">
        <f t="shared" si="19"/>
        <v>0</v>
      </c>
      <c r="V33" s="262">
        <f t="shared" si="19"/>
        <v>0</v>
      </c>
      <c r="W33" s="262">
        <f t="shared" si="19"/>
        <v>0</v>
      </c>
      <c r="X33" s="262">
        <f t="shared" si="19"/>
        <v>0</v>
      </c>
      <c r="Y33" s="262">
        <f t="shared" si="19"/>
        <v>0</v>
      </c>
      <c r="Z33" s="262">
        <f t="shared" si="19"/>
        <v>0</v>
      </c>
      <c r="AA33" s="262">
        <f t="shared" si="19"/>
        <v>0</v>
      </c>
      <c r="AB33" s="262">
        <f t="shared" si="19"/>
        <v>0</v>
      </c>
      <c r="AC33" s="262">
        <f t="shared" si="19"/>
        <v>0</v>
      </c>
      <c r="AD33" s="262">
        <f t="shared" si="19"/>
        <v>0</v>
      </c>
      <c r="AE33" s="262">
        <f t="shared" si="19"/>
        <v>0</v>
      </c>
      <c r="AF33" s="262">
        <f t="shared" si="19"/>
        <v>0</v>
      </c>
      <c r="AG33" s="262">
        <f t="shared" si="19"/>
        <v>0</v>
      </c>
      <c r="AH33" s="262">
        <f t="shared" ref="AH33:AN33" si="23">AH7-AH20</f>
        <v>0</v>
      </c>
      <c r="AI33" s="262">
        <f t="shared" si="23"/>
        <v>0</v>
      </c>
      <c r="AJ33" s="262">
        <f t="shared" si="23"/>
        <v>0</v>
      </c>
      <c r="AK33" s="262">
        <f t="shared" si="23"/>
        <v>0</v>
      </c>
      <c r="AL33" s="262">
        <f t="shared" si="23"/>
        <v>0</v>
      </c>
      <c r="AM33" s="262">
        <f t="shared" si="23"/>
        <v>0</v>
      </c>
      <c r="AN33" s="262">
        <f t="shared" si="23"/>
        <v>0</v>
      </c>
    </row>
    <row r="34" spans="2:40" x14ac:dyDescent="0.2">
      <c r="B34" s="31" t="s">
        <v>408</v>
      </c>
      <c r="C34" s="262">
        <f t="shared" si="18"/>
        <v>14341.894522323691</v>
      </c>
      <c r="D34" s="262">
        <f t="shared" si="21"/>
        <v>0</v>
      </c>
      <c r="E34" s="262">
        <f t="shared" si="19"/>
        <v>0</v>
      </c>
      <c r="F34" s="262">
        <f t="shared" si="19"/>
        <v>0</v>
      </c>
      <c r="G34" s="262">
        <f t="shared" si="19"/>
        <v>332.35671677367924</v>
      </c>
      <c r="H34" s="262">
        <f t="shared" si="19"/>
        <v>627.55232269489534</v>
      </c>
      <c r="I34" s="262">
        <f t="shared" si="19"/>
        <v>733.71704089096806</v>
      </c>
      <c r="J34" s="262">
        <f t="shared" si="19"/>
        <v>725.42763336594521</v>
      </c>
      <c r="K34" s="262">
        <f t="shared" si="19"/>
        <v>713.31945194827165</v>
      </c>
      <c r="L34" s="262">
        <f t="shared" si="19"/>
        <v>698.34934333136903</v>
      </c>
      <c r="M34" s="262">
        <f t="shared" si="19"/>
        <v>676.36929281470339</v>
      </c>
      <c r="N34" s="262">
        <f t="shared" si="19"/>
        <v>659.83102622916795</v>
      </c>
      <c r="O34" s="262">
        <f t="shared" si="19"/>
        <v>642.80969918440724</v>
      </c>
      <c r="P34" s="262">
        <f t="shared" si="19"/>
        <v>625.46746727634388</v>
      </c>
      <c r="Q34" s="262">
        <f t="shared" si="19"/>
        <v>607.62774993218295</v>
      </c>
      <c r="R34" s="262">
        <f t="shared" si="19"/>
        <v>589.45591492070912</v>
      </c>
      <c r="S34" s="262">
        <f t="shared" si="19"/>
        <v>563.99033782564834</v>
      </c>
      <c r="T34" s="262">
        <f t="shared" si="19"/>
        <v>538.71114009679445</v>
      </c>
      <c r="U34" s="262">
        <f t="shared" si="19"/>
        <v>513.44410206578152</v>
      </c>
      <c r="V34" s="262">
        <f t="shared" si="19"/>
        <v>488.36250507179193</v>
      </c>
      <c r="W34" s="262">
        <f t="shared" si="19"/>
        <v>463.29282601536909</v>
      </c>
      <c r="X34" s="262">
        <f t="shared" si="19"/>
        <v>438.40765418980482</v>
      </c>
      <c r="Y34" s="262">
        <f t="shared" si="19"/>
        <v>413.53416027951482</v>
      </c>
      <c r="Z34" s="262">
        <f t="shared" si="19"/>
        <v>388.84424429577149</v>
      </c>
      <c r="AA34" s="262">
        <f t="shared" si="19"/>
        <v>364.16576793296304</v>
      </c>
      <c r="AB34" s="262">
        <f t="shared" si="19"/>
        <v>339.66994467317494</v>
      </c>
      <c r="AC34" s="262">
        <f t="shared" si="19"/>
        <v>315.2706480433543</v>
      </c>
      <c r="AD34" s="262">
        <f t="shared" si="19"/>
        <v>290.88243698204769</v>
      </c>
      <c r="AE34" s="262">
        <f t="shared" si="19"/>
        <v>266.67550031474411</v>
      </c>
      <c r="AF34" s="262">
        <f>AF8-AF21</f>
        <v>242.47941519727658</v>
      </c>
      <c r="AG34" s="262">
        <f t="shared" si="19"/>
        <v>218.46369076002881</v>
      </c>
      <c r="AH34" s="262">
        <f t="shared" ref="AH34:AN34" si="24">AH8-AH21</f>
        <v>194.45858554720155</v>
      </c>
      <c r="AI34" s="262">
        <f t="shared" si="24"/>
        <v>170.63293170861897</v>
      </c>
      <c r="AJ34" s="262">
        <f t="shared" si="24"/>
        <v>146.8176664525084</v>
      </c>
      <c r="AK34" s="262">
        <f t="shared" si="24"/>
        <v>123.18094765183857</v>
      </c>
      <c r="AL34" s="262">
        <f t="shared" si="24"/>
        <v>99.554388465414689</v>
      </c>
      <c r="AM34" s="262">
        <f t="shared" si="24"/>
        <v>76.105475182256129</v>
      </c>
      <c r="AN34" s="262">
        <f t="shared" si="24"/>
        <v>52.666494209146904</v>
      </c>
    </row>
    <row r="35" spans="2:40" x14ac:dyDescent="0.2">
      <c r="B35" s="31" t="s">
        <v>136</v>
      </c>
      <c r="C35" s="262">
        <f t="shared" si="18"/>
        <v>27.076774707376433</v>
      </c>
      <c r="D35" s="262">
        <f t="shared" si="21"/>
        <v>0</v>
      </c>
      <c r="E35" s="262">
        <f t="shared" si="19"/>
        <v>0</v>
      </c>
      <c r="F35" s="262">
        <f t="shared" si="19"/>
        <v>0</v>
      </c>
      <c r="G35" s="262">
        <f t="shared" si="19"/>
        <v>0.62747274626491767</v>
      </c>
      <c r="H35" s="262">
        <f t="shared" si="19"/>
        <v>1.1847871863965842</v>
      </c>
      <c r="I35" s="262">
        <f t="shared" si="19"/>
        <v>1.3852208286878973</v>
      </c>
      <c r="J35" s="262">
        <f t="shared" si="19"/>
        <v>1.3695708446733508</v>
      </c>
      <c r="K35" s="262">
        <f t="shared" si="19"/>
        <v>1.3467112078344328</v>
      </c>
      <c r="L35" s="262">
        <f t="shared" si="19"/>
        <v>1.3184483965486646</v>
      </c>
      <c r="M35" s="262">
        <f t="shared" si="19"/>
        <v>1.2769511679245009</v>
      </c>
      <c r="N35" s="262">
        <f t="shared" si="19"/>
        <v>1.2457277533546858</v>
      </c>
      <c r="O35" s="262">
        <f t="shared" si="19"/>
        <v>1.2135923449611723</v>
      </c>
      <c r="P35" s="262">
        <f t="shared" si="19"/>
        <v>1.180851084344118</v>
      </c>
      <c r="Q35" s="262">
        <f t="shared" si="19"/>
        <v>1.1471705962733654</v>
      </c>
      <c r="R35" s="262">
        <f t="shared" si="19"/>
        <v>1.1128630867696923</v>
      </c>
      <c r="S35" s="262">
        <f t="shared" si="19"/>
        <v>1.0647853594706236</v>
      </c>
      <c r="T35" s="262">
        <f t="shared" si="19"/>
        <v>1.0170595070302797</v>
      </c>
      <c r="U35" s="262">
        <f t="shared" si="19"/>
        <v>0.96935661148718788</v>
      </c>
      <c r="V35" s="262">
        <f t="shared" si="19"/>
        <v>0.92200381928456931</v>
      </c>
      <c r="W35" s="262">
        <f t="shared" si="19"/>
        <v>0.87467352754797845</v>
      </c>
      <c r="X35" s="262">
        <f t="shared" si="19"/>
        <v>0.82769157617284139</v>
      </c>
      <c r="Y35" s="262">
        <f t="shared" si="19"/>
        <v>0.78073167211372962</v>
      </c>
      <c r="Z35" s="262">
        <f t="shared" si="19"/>
        <v>0.73411835393632363</v>
      </c>
      <c r="AA35" s="262">
        <f t="shared" si="19"/>
        <v>0.68752663318722873</v>
      </c>
      <c r="AB35" s="262">
        <f t="shared" si="19"/>
        <v>0.64127975229958922</v>
      </c>
      <c r="AC35" s="262">
        <f t="shared" si="19"/>
        <v>0.59521510882896767</v>
      </c>
      <c r="AD35" s="262">
        <f t="shared" si="19"/>
        <v>0.54917139435351392</v>
      </c>
      <c r="AE35" s="262">
        <f t="shared" si="19"/>
        <v>0.50346991680631248</v>
      </c>
      <c r="AF35" s="262">
        <f t="shared" si="19"/>
        <v>0.45778892643879832</v>
      </c>
      <c r="AG35" s="262">
        <f t="shared" si="19"/>
        <v>0.41244844795392133</v>
      </c>
      <c r="AH35" s="262">
        <f t="shared" ref="AH35:AN35" si="25">AH9-AH22</f>
        <v>0.36712801803004536</v>
      </c>
      <c r="AI35" s="262">
        <f t="shared" si="25"/>
        <v>0.32214638326491152</v>
      </c>
      <c r="AJ35" s="262">
        <f t="shared" si="25"/>
        <v>0.27718436162039328</v>
      </c>
      <c r="AK35" s="262">
        <f t="shared" si="25"/>
        <v>0.23255942669348018</v>
      </c>
      <c r="AL35" s="262">
        <f t="shared" si="25"/>
        <v>0.18795367260670115</v>
      </c>
      <c r="AM35" s="262">
        <f t="shared" si="25"/>
        <v>0.14368330504036517</v>
      </c>
      <c r="AN35" s="262">
        <f t="shared" si="25"/>
        <v>9.9431689175285276E-2</v>
      </c>
    </row>
    <row r="36" spans="2:40" ht="11.85" customHeight="1" x14ac:dyDescent="0.2">
      <c r="B36" s="31" t="s">
        <v>133</v>
      </c>
      <c r="C36" s="262">
        <f t="shared" si="18"/>
        <v>8029.4953448588294</v>
      </c>
      <c r="D36" s="262">
        <f t="shared" si="21"/>
        <v>0</v>
      </c>
      <c r="E36" s="262">
        <f t="shared" si="19"/>
        <v>0</v>
      </c>
      <c r="F36" s="262">
        <f t="shared" si="19"/>
        <v>0</v>
      </c>
      <c r="G36" s="262">
        <f t="shared" si="19"/>
        <v>186.07421118688035</v>
      </c>
      <c r="H36" s="262">
        <f t="shared" si="19"/>
        <v>351.34329330694271</v>
      </c>
      <c r="I36" s="262">
        <f t="shared" si="19"/>
        <v>410.78098539265329</v>
      </c>
      <c r="J36" s="262">
        <f t="shared" si="19"/>
        <v>406.14005325985829</v>
      </c>
      <c r="K36" s="262">
        <f t="shared" si="19"/>
        <v>399.36113111839467</v>
      </c>
      <c r="L36" s="262">
        <f t="shared" si="19"/>
        <v>390.97992197867109</v>
      </c>
      <c r="M36" s="262">
        <f t="shared" si="19"/>
        <v>378.67410610276869</v>
      </c>
      <c r="N36" s="262">
        <f t="shared" si="19"/>
        <v>369.41494342004972</v>
      </c>
      <c r="O36" s="262">
        <f t="shared" si="19"/>
        <v>359.88533308464457</v>
      </c>
      <c r="P36" s="262">
        <f t="shared" si="19"/>
        <v>350.17606000649511</v>
      </c>
      <c r="Q36" s="262">
        <f t="shared" si="19"/>
        <v>340.18826326558525</v>
      </c>
      <c r="R36" s="262">
        <f t="shared" si="19"/>
        <v>330.01452614842435</v>
      </c>
      <c r="S36" s="262">
        <f t="shared" si="19"/>
        <v>315.75729308757172</v>
      </c>
      <c r="T36" s="262">
        <f t="shared" si="19"/>
        <v>301.60440692809999</v>
      </c>
      <c r="U36" s="262">
        <f t="shared" si="19"/>
        <v>287.45832853290636</v>
      </c>
      <c r="V36" s="262">
        <f t="shared" si="19"/>
        <v>273.41607170335089</v>
      </c>
      <c r="W36" s="262">
        <f t="shared" si="19"/>
        <v>259.38048728545363</v>
      </c>
      <c r="X36" s="262">
        <f t="shared" si="19"/>
        <v>245.44820162972238</v>
      </c>
      <c r="Y36" s="262">
        <f t="shared" si="19"/>
        <v>231.52245400606125</v>
      </c>
      <c r="Z36" s="262">
        <f t="shared" si="19"/>
        <v>217.69948486151463</v>
      </c>
      <c r="AA36" s="262">
        <f t="shared" si="19"/>
        <v>203.88292033686676</v>
      </c>
      <c r="AB36" s="262">
        <f t="shared" si="19"/>
        <v>190.16861651690772</v>
      </c>
      <c r="AC36" s="262">
        <f t="shared" si="19"/>
        <v>176.50835438054725</v>
      </c>
      <c r="AD36" s="262">
        <f t="shared" si="19"/>
        <v>162.85429864325343</v>
      </c>
      <c r="AE36" s="262">
        <f t="shared" si="19"/>
        <v>149.30173172255388</v>
      </c>
      <c r="AF36" s="262">
        <f t="shared" si="19"/>
        <v>135.75524018253412</v>
      </c>
      <c r="AG36" s="262">
        <f t="shared" si="19"/>
        <v>122.30972590461639</v>
      </c>
      <c r="AH36" s="262">
        <f t="shared" ref="AH36:AN36" si="26">AH10-AH23</f>
        <v>108.87015693698648</v>
      </c>
      <c r="AI36" s="262">
        <f t="shared" si="26"/>
        <v>95.53105614473489</v>
      </c>
      <c r="AJ36" s="262">
        <f t="shared" si="26"/>
        <v>82.197771534889952</v>
      </c>
      <c r="AK36" s="262">
        <f t="shared" si="26"/>
        <v>68.964448469914174</v>
      </c>
      <c r="AL36" s="262">
        <f t="shared" si="26"/>
        <v>55.736813396519075</v>
      </c>
      <c r="AM36" s="262">
        <f t="shared" si="26"/>
        <v>42.608635682197544</v>
      </c>
      <c r="AN36" s="262">
        <f t="shared" si="26"/>
        <v>29.48601870025907</v>
      </c>
    </row>
    <row r="37" spans="2:40" x14ac:dyDescent="0.2">
      <c r="B37" s="31" t="s">
        <v>137</v>
      </c>
      <c r="C37" s="262">
        <f t="shared" si="18"/>
        <v>876.4660811716775</v>
      </c>
      <c r="D37" s="262">
        <f t="shared" si="21"/>
        <v>0</v>
      </c>
      <c r="E37" s="262">
        <f t="shared" si="19"/>
        <v>0</v>
      </c>
      <c r="F37" s="262">
        <f t="shared" si="19"/>
        <v>0</v>
      </c>
      <c r="G37" s="262">
        <f t="shared" si="19"/>
        <v>20.311081541444423</v>
      </c>
      <c r="H37" s="262">
        <f t="shared" si="19"/>
        <v>38.351162333988661</v>
      </c>
      <c r="I37" s="262">
        <f t="shared" si="19"/>
        <v>44.839131853717859</v>
      </c>
      <c r="J37" s="262">
        <f t="shared" si="19"/>
        <v>44.332547140144428</v>
      </c>
      <c r="K37" s="262">
        <f t="shared" si="19"/>
        <v>43.592588391964711</v>
      </c>
      <c r="L37" s="262">
        <f t="shared" si="19"/>
        <v>42.677730706060807</v>
      </c>
      <c r="M37" s="262">
        <f t="shared" si="19"/>
        <v>41.334479386626612</v>
      </c>
      <c r="N37" s="262">
        <f t="shared" si="19"/>
        <v>40.323787969182817</v>
      </c>
      <c r="O37" s="262">
        <f t="shared" si="19"/>
        <v>39.28357561871254</v>
      </c>
      <c r="P37" s="262">
        <f t="shared" si="19"/>
        <v>38.22375203574228</v>
      </c>
      <c r="Q37" s="262">
        <f t="shared" si="19"/>
        <v>37.133525976311347</v>
      </c>
      <c r="R37" s="262">
        <f t="shared" si="19"/>
        <v>36.0230034442</v>
      </c>
      <c r="S37" s="262">
        <f t="shared" si="19"/>
        <v>34.466743598156526</v>
      </c>
      <c r="T37" s="262">
        <f t="shared" si="19"/>
        <v>32.921873822822086</v>
      </c>
      <c r="U37" s="262">
        <f t="shared" si="19"/>
        <v>31.377747154522652</v>
      </c>
      <c r="V37" s="262">
        <f t="shared" si="19"/>
        <v>29.844953213482871</v>
      </c>
      <c r="W37" s="262">
        <f t="shared" si="19"/>
        <v>28.31288760495303</v>
      </c>
      <c r="X37" s="262">
        <f t="shared" si="19"/>
        <v>26.792097656645534</v>
      </c>
      <c r="Y37" s="262">
        <f t="shared" si="19"/>
        <v>25.272021372534972</v>
      </c>
      <c r="Z37" s="262">
        <f t="shared" si="19"/>
        <v>23.763163956728</v>
      </c>
      <c r="AA37" s="262">
        <f t="shared" si="19"/>
        <v>22.255005642404122</v>
      </c>
      <c r="AB37" s="262">
        <f t="shared" si="19"/>
        <v>20.758009678296169</v>
      </c>
      <c r="AC37" s="262">
        <f t="shared" si="19"/>
        <v>19.266912678022088</v>
      </c>
      <c r="AD37" s="262">
        <f t="shared" si="19"/>
        <v>17.776493142275289</v>
      </c>
      <c r="AE37" s="262">
        <f t="shared" si="19"/>
        <v>16.297151700672988</v>
      </c>
      <c r="AF37" s="262">
        <f t="shared" si="19"/>
        <v>14.818473422179615</v>
      </c>
      <c r="AG37" s="262">
        <f t="shared" si="19"/>
        <v>13.350817398684953</v>
      </c>
      <c r="AH37" s="262">
        <f t="shared" ref="AH37:AN37" si="27">AH11-AH24</f>
        <v>11.883810340360023</v>
      </c>
      <c r="AI37" s="262">
        <f t="shared" si="27"/>
        <v>10.427769967259303</v>
      </c>
      <c r="AJ37" s="262">
        <f t="shared" si="27"/>
        <v>8.9723644642696367</v>
      </c>
      <c r="AK37" s="262">
        <f t="shared" si="27"/>
        <v>7.5278703448397692</v>
      </c>
      <c r="AL37" s="262">
        <f t="shared" si="27"/>
        <v>6.0839971027473085</v>
      </c>
      <c r="AM37" s="262">
        <f t="shared" si="27"/>
        <v>4.6509802094049242</v>
      </c>
      <c r="AN37" s="262">
        <f t="shared" si="27"/>
        <v>3.2185703023189469</v>
      </c>
    </row>
    <row r="38" spans="2:40" x14ac:dyDescent="0.2">
      <c r="B38" s="266" t="s">
        <v>59</v>
      </c>
      <c r="C38" s="267">
        <f t="shared" si="18"/>
        <v>23953.723801891592</v>
      </c>
      <c r="D38" s="271">
        <f>SUM(D31:D37)</f>
        <v>0</v>
      </c>
      <c r="E38" s="267">
        <f t="shared" ref="E38:AG38" si="28">SUM(E31:E37)</f>
        <v>0</v>
      </c>
      <c r="F38" s="267">
        <f t="shared" si="28"/>
        <v>0</v>
      </c>
      <c r="G38" s="267">
        <f t="shared" si="28"/>
        <v>555.09967563269595</v>
      </c>
      <c r="H38" s="267">
        <f t="shared" si="28"/>
        <v>1048.1331448694496</v>
      </c>
      <c r="I38" s="267">
        <f t="shared" si="28"/>
        <v>1225.4486545614254</v>
      </c>
      <c r="J38" s="267">
        <f t="shared" si="28"/>
        <v>1211.6037487836952</v>
      </c>
      <c r="K38" s="267">
        <f t="shared" si="28"/>
        <v>1191.3807557216071</v>
      </c>
      <c r="L38" s="267">
        <f t="shared" si="28"/>
        <v>1166.3777934884486</v>
      </c>
      <c r="M38" s="267">
        <f t="shared" si="28"/>
        <v>1129.6668792917005</v>
      </c>
      <c r="N38" s="267">
        <f t="shared" si="28"/>
        <v>1102.0447914751057</v>
      </c>
      <c r="O38" s="267">
        <f t="shared" si="28"/>
        <v>1073.6158997316036</v>
      </c>
      <c r="P38" s="267">
        <f t="shared" si="28"/>
        <v>1044.6510351115564</v>
      </c>
      <c r="Q38" s="267">
        <f t="shared" si="28"/>
        <v>1014.8552740772875</v>
      </c>
      <c r="R38" s="267">
        <f t="shared" si="28"/>
        <v>984.50481262598817</v>
      </c>
      <c r="S38" s="267">
        <f t="shared" si="28"/>
        <v>941.97239828969657</v>
      </c>
      <c r="T38" s="267">
        <f t="shared" si="28"/>
        <v>899.75127336175615</v>
      </c>
      <c r="U38" s="267">
        <f t="shared" si="28"/>
        <v>857.55045746921883</v>
      </c>
      <c r="V38" s="267">
        <f t="shared" si="28"/>
        <v>815.6593637947243</v>
      </c>
      <c r="W38" s="267">
        <f t="shared" si="28"/>
        <v>773.78817536945041</v>
      </c>
      <c r="X38" s="267">
        <f t="shared" si="28"/>
        <v>732.22514952622294</v>
      </c>
      <c r="Y38" s="267">
        <f t="shared" si="28"/>
        <v>690.68162804879785</v>
      </c>
      <c r="Z38" s="267">
        <f t="shared" si="28"/>
        <v>649.44471703638351</v>
      </c>
      <c r="AA38" s="267">
        <f t="shared" si="28"/>
        <v>608.22691239236735</v>
      </c>
      <c r="AB38" s="267">
        <f t="shared" si="28"/>
        <v>567.31417358009992</v>
      </c>
      <c r="AC38" s="267">
        <f t="shared" si="28"/>
        <v>526.56265281543233</v>
      </c>
      <c r="AD38" s="267">
        <f t="shared" si="28"/>
        <v>485.82964708348629</v>
      </c>
      <c r="AE38" s="267">
        <f t="shared" si="28"/>
        <v>445.39940447391206</v>
      </c>
      <c r="AF38" s="267">
        <f t="shared" si="28"/>
        <v>404.98728604083271</v>
      </c>
      <c r="AG38" s="267">
        <f t="shared" si="28"/>
        <v>364.87640465227219</v>
      </c>
      <c r="AH38" s="267">
        <f t="shared" ref="AH38:AN38" si="29">SUM(AH31:AH37)</f>
        <v>324.78325941205406</v>
      </c>
      <c r="AI38" s="267">
        <f t="shared" si="29"/>
        <v>284.98983250038981</v>
      </c>
      <c r="AJ38" s="267">
        <f t="shared" si="29"/>
        <v>245.2137565206294</v>
      </c>
      <c r="AK38" s="267">
        <f t="shared" si="29"/>
        <v>205.73588748087798</v>
      </c>
      <c r="AL38" s="267">
        <f t="shared" si="29"/>
        <v>166.27498695203019</v>
      </c>
      <c r="AM38" s="267">
        <f t="shared" si="29"/>
        <v>127.11078926775652</v>
      </c>
      <c r="AN38" s="267">
        <f t="shared" si="29"/>
        <v>87.963180452635797</v>
      </c>
    </row>
    <row r="41" spans="2:40" x14ac:dyDescent="0.2">
      <c r="B41" s="272"/>
      <c r="C41" s="256"/>
      <c r="D41" s="256" t="s">
        <v>10</v>
      </c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</row>
    <row r="42" spans="2:40" x14ac:dyDescent="0.2">
      <c r="B42" s="735" t="s">
        <v>452</v>
      </c>
      <c r="C42" s="257"/>
      <c r="D42" s="258">
        <v>1</v>
      </c>
      <c r="E42" s="258">
        <v>2</v>
      </c>
      <c r="F42" s="258">
        <v>3</v>
      </c>
      <c r="G42" s="258">
        <v>4</v>
      </c>
      <c r="H42" s="258">
        <v>5</v>
      </c>
      <c r="I42" s="258">
        <v>6</v>
      </c>
      <c r="J42" s="258">
        <v>7</v>
      </c>
      <c r="K42" s="258">
        <v>8</v>
      </c>
      <c r="L42" s="258">
        <v>9</v>
      </c>
      <c r="M42" s="258">
        <v>10</v>
      </c>
      <c r="N42" s="258">
        <v>11</v>
      </c>
      <c r="O42" s="258">
        <v>12</v>
      </c>
      <c r="P42" s="258">
        <v>13</v>
      </c>
      <c r="Q42" s="258">
        <v>14</v>
      </c>
      <c r="R42" s="258">
        <v>15</v>
      </c>
      <c r="S42" s="258">
        <v>16</v>
      </c>
      <c r="T42" s="258">
        <v>17</v>
      </c>
      <c r="U42" s="258">
        <v>18</v>
      </c>
      <c r="V42" s="258">
        <v>19</v>
      </c>
      <c r="W42" s="258">
        <v>20</v>
      </c>
      <c r="X42" s="258">
        <v>21</v>
      </c>
      <c r="Y42" s="258">
        <v>22</v>
      </c>
      <c r="Z42" s="258">
        <v>23</v>
      </c>
      <c r="AA42" s="258">
        <v>24</v>
      </c>
      <c r="AB42" s="258">
        <v>25</v>
      </c>
      <c r="AC42" s="258">
        <v>26</v>
      </c>
      <c r="AD42" s="258">
        <v>27</v>
      </c>
      <c r="AE42" s="258">
        <v>28</v>
      </c>
      <c r="AF42" s="258">
        <v>29</v>
      </c>
      <c r="AG42" s="258">
        <v>30</v>
      </c>
      <c r="AH42" s="258">
        <v>31</v>
      </c>
      <c r="AI42" s="258">
        <v>32</v>
      </c>
      <c r="AJ42" s="258">
        <v>33</v>
      </c>
      <c r="AK42" s="258">
        <v>34</v>
      </c>
      <c r="AL42" s="258">
        <v>35</v>
      </c>
      <c r="AM42" s="258">
        <v>36</v>
      </c>
      <c r="AN42" s="258">
        <v>37</v>
      </c>
    </row>
    <row r="43" spans="2:40" x14ac:dyDescent="0.2">
      <c r="B43" s="736"/>
      <c r="C43" s="260" t="s">
        <v>9</v>
      </c>
      <c r="D43" s="261">
        <f>D4</f>
        <v>2026</v>
      </c>
      <c r="E43" s="261">
        <f t="shared" ref="E43:AG43" si="30">E4</f>
        <v>2027</v>
      </c>
      <c r="F43" s="261">
        <f t="shared" si="30"/>
        <v>2028</v>
      </c>
      <c r="G43" s="261">
        <f t="shared" si="30"/>
        <v>2029</v>
      </c>
      <c r="H43" s="261">
        <f t="shared" si="30"/>
        <v>2030</v>
      </c>
      <c r="I43" s="261">
        <f t="shared" si="30"/>
        <v>2031</v>
      </c>
      <c r="J43" s="261">
        <f t="shared" si="30"/>
        <v>2032</v>
      </c>
      <c r="K43" s="261">
        <f t="shared" si="30"/>
        <v>2033</v>
      </c>
      <c r="L43" s="261">
        <f t="shared" si="30"/>
        <v>2034</v>
      </c>
      <c r="M43" s="261">
        <f t="shared" si="30"/>
        <v>2035</v>
      </c>
      <c r="N43" s="261">
        <f t="shared" si="30"/>
        <v>2036</v>
      </c>
      <c r="O43" s="261">
        <f t="shared" si="30"/>
        <v>2037</v>
      </c>
      <c r="P43" s="261">
        <f t="shared" si="30"/>
        <v>2038</v>
      </c>
      <c r="Q43" s="261">
        <f t="shared" si="30"/>
        <v>2039</v>
      </c>
      <c r="R43" s="261">
        <f t="shared" si="30"/>
        <v>2040</v>
      </c>
      <c r="S43" s="261">
        <f t="shared" si="30"/>
        <v>2041</v>
      </c>
      <c r="T43" s="261">
        <f t="shared" si="30"/>
        <v>2042</v>
      </c>
      <c r="U43" s="261">
        <f t="shared" si="30"/>
        <v>2043</v>
      </c>
      <c r="V43" s="261">
        <f t="shared" si="30"/>
        <v>2044</v>
      </c>
      <c r="W43" s="261">
        <f t="shared" si="30"/>
        <v>2045</v>
      </c>
      <c r="X43" s="261">
        <f t="shared" si="30"/>
        <v>2046</v>
      </c>
      <c r="Y43" s="261">
        <f t="shared" si="30"/>
        <v>2047</v>
      </c>
      <c r="Z43" s="261">
        <f t="shared" si="30"/>
        <v>2048</v>
      </c>
      <c r="AA43" s="261">
        <f t="shared" si="30"/>
        <v>2049</v>
      </c>
      <c r="AB43" s="261">
        <f t="shared" si="30"/>
        <v>2050</v>
      </c>
      <c r="AC43" s="261">
        <f t="shared" si="30"/>
        <v>2051</v>
      </c>
      <c r="AD43" s="261">
        <f t="shared" si="30"/>
        <v>2052</v>
      </c>
      <c r="AE43" s="261">
        <f t="shared" si="30"/>
        <v>2053</v>
      </c>
      <c r="AF43" s="261">
        <f t="shared" si="30"/>
        <v>2054</v>
      </c>
      <c r="AG43" s="261">
        <f t="shared" si="30"/>
        <v>2055</v>
      </c>
      <c r="AH43" s="261">
        <f t="shared" ref="AH43:AN43" si="31">AH4</f>
        <v>2056</v>
      </c>
      <c r="AI43" s="261">
        <f t="shared" si="31"/>
        <v>2057</v>
      </c>
      <c r="AJ43" s="261">
        <f t="shared" si="31"/>
        <v>2058</v>
      </c>
      <c r="AK43" s="261">
        <f t="shared" si="31"/>
        <v>2059</v>
      </c>
      <c r="AL43" s="261">
        <f t="shared" si="31"/>
        <v>2060</v>
      </c>
      <c r="AM43" s="261">
        <f t="shared" si="31"/>
        <v>2061</v>
      </c>
      <c r="AN43" s="261">
        <f t="shared" si="31"/>
        <v>2062</v>
      </c>
    </row>
    <row r="44" spans="2:40" x14ac:dyDescent="0.2">
      <c r="B44" s="31" t="s">
        <v>405</v>
      </c>
      <c r="C44" s="262">
        <f t="shared" ref="C44:C51" si="32">SUM(D44:AQ44)</f>
        <v>0</v>
      </c>
      <c r="D44" s="262">
        <f>D31*Parametre!C$88</f>
        <v>0</v>
      </c>
      <c r="E44" s="262">
        <f>E31*Parametre!D$88</f>
        <v>0</v>
      </c>
      <c r="F44" s="262">
        <f>F31*Parametre!E$88</f>
        <v>0</v>
      </c>
      <c r="G44" s="262">
        <f>G31*Parametre!F$88</f>
        <v>0</v>
      </c>
      <c r="H44" s="262">
        <f>H31*Parametre!G$88</f>
        <v>0</v>
      </c>
      <c r="I44" s="262">
        <f>I31*Parametre!H$88</f>
        <v>0</v>
      </c>
      <c r="J44" s="262">
        <f>J31*Parametre!I$88</f>
        <v>0</v>
      </c>
      <c r="K44" s="262">
        <f>K31*Parametre!J$88</f>
        <v>0</v>
      </c>
      <c r="L44" s="262">
        <f>L31*Parametre!K$88</f>
        <v>0</v>
      </c>
      <c r="M44" s="262">
        <f>M31*Parametre!L$88</f>
        <v>0</v>
      </c>
      <c r="N44" s="262">
        <f>N31*Parametre!M$88</f>
        <v>0</v>
      </c>
      <c r="O44" s="262">
        <f>O31*Parametre!N$88</f>
        <v>0</v>
      </c>
      <c r="P44" s="262">
        <f>P31*Parametre!O$88</f>
        <v>0</v>
      </c>
      <c r="Q44" s="262">
        <f>Q31*Parametre!P$88</f>
        <v>0</v>
      </c>
      <c r="R44" s="262">
        <f>R31*Parametre!Q$88</f>
        <v>0</v>
      </c>
      <c r="S44" s="262">
        <f>S31*Parametre!R$88</f>
        <v>0</v>
      </c>
      <c r="T44" s="262">
        <f>T31*Parametre!S$88</f>
        <v>0</v>
      </c>
      <c r="U44" s="262">
        <f>U31*Parametre!T$88</f>
        <v>0</v>
      </c>
      <c r="V44" s="262">
        <f>V31*Parametre!U$88</f>
        <v>0</v>
      </c>
      <c r="W44" s="262">
        <f>W31*Parametre!V$88</f>
        <v>0</v>
      </c>
      <c r="X44" s="262">
        <f>X31*Parametre!W$88</f>
        <v>0</v>
      </c>
      <c r="Y44" s="262">
        <f>Y31*Parametre!X$88</f>
        <v>0</v>
      </c>
      <c r="Z44" s="262">
        <f>Z31*Parametre!Y$88</f>
        <v>0</v>
      </c>
      <c r="AA44" s="262">
        <f>AA31*Parametre!Z$88</f>
        <v>0</v>
      </c>
      <c r="AB44" s="262">
        <f>AB31*Parametre!AA$88</f>
        <v>0</v>
      </c>
      <c r="AC44" s="262">
        <f>AC31*Parametre!AB$88</f>
        <v>0</v>
      </c>
      <c r="AD44" s="262">
        <f>AD31*Parametre!AC$88</f>
        <v>0</v>
      </c>
      <c r="AE44" s="262">
        <f>AE31*Parametre!AD$88</f>
        <v>0</v>
      </c>
      <c r="AF44" s="262">
        <f>AF31*Parametre!AE$88</f>
        <v>0</v>
      </c>
      <c r="AG44" s="262">
        <f>AG31*Parametre!AF$88</f>
        <v>0</v>
      </c>
      <c r="AH44" s="262">
        <f>AH31*Parametre!AG$88</f>
        <v>0</v>
      </c>
      <c r="AI44" s="262">
        <f>AI31*Parametre!AH$88</f>
        <v>0</v>
      </c>
      <c r="AJ44" s="262">
        <f>AJ31*Parametre!AI$88</f>
        <v>0</v>
      </c>
      <c r="AK44" s="262">
        <f>AK31*Parametre!AJ$88</f>
        <v>0</v>
      </c>
      <c r="AL44" s="262">
        <f>AL31*Parametre!AK$88</f>
        <v>0</v>
      </c>
      <c r="AM44" s="262">
        <f>AM31*Parametre!AL$88</f>
        <v>0</v>
      </c>
      <c r="AN44" s="262">
        <f>AN31*Parametre!AM$88</f>
        <v>0</v>
      </c>
    </row>
    <row r="45" spans="2:40" x14ac:dyDescent="0.2">
      <c r="B45" s="31" t="s">
        <v>406</v>
      </c>
      <c r="C45" s="262">
        <f t="shared" si="32"/>
        <v>76146.283520809797</v>
      </c>
      <c r="D45" s="262">
        <f>D32*Parametre!C$89</f>
        <v>0</v>
      </c>
      <c r="E45" s="262">
        <f>E32*Parametre!D$89</f>
        <v>0</v>
      </c>
      <c r="F45" s="262">
        <f>F32*Parametre!E$89</f>
        <v>0</v>
      </c>
      <c r="G45" s="262">
        <f>G32*Parametre!F$89</f>
        <v>1521.8962099433195</v>
      </c>
      <c r="H45" s="262">
        <f>H32*Parametre!G$89</f>
        <v>2912.8338865824931</v>
      </c>
      <c r="I45" s="262">
        <f>I32*Parametre!H$89</f>
        <v>3454.5698962302213</v>
      </c>
      <c r="J45" s="262">
        <f>J32*Parametre!I$89</f>
        <v>3459.1448754371777</v>
      </c>
      <c r="K45" s="262">
        <f>K32*Parametre!J$89</f>
        <v>3444.9594865466529</v>
      </c>
      <c r="L45" s="262">
        <f>L32*Parametre!K$89</f>
        <v>3412.9855655670003</v>
      </c>
      <c r="M45" s="262">
        <f>M32*Parametre!L$89</f>
        <v>3345.2592061562987</v>
      </c>
      <c r="N45" s="262">
        <f>N32*Parametre!M$89</f>
        <v>3302.4991204293119</v>
      </c>
      <c r="O45" s="262">
        <f>O32*Parametre!N$89</f>
        <v>3255.9443203699225</v>
      </c>
      <c r="P45" s="262">
        <f>P32*Parametre!O$89</f>
        <v>3205.9945799447419</v>
      </c>
      <c r="Q45" s="262">
        <f>Q32*Parametre!P$89</f>
        <v>3151.9386480400417</v>
      </c>
      <c r="R45" s="262">
        <f>R32*Parametre!Q$89</f>
        <v>3094.5021774711704</v>
      </c>
      <c r="S45" s="262">
        <f>S32*Parametre!R$89</f>
        <v>2996.3160125158379</v>
      </c>
      <c r="T45" s="262">
        <f>T32*Parametre!S$89</f>
        <v>2896.4356855962724</v>
      </c>
      <c r="U45" s="262">
        <f>U32*Parametre!T$89</f>
        <v>2793.6341200957381</v>
      </c>
      <c r="V45" s="262">
        <f>V32*Parametre!U$89</f>
        <v>2684.9024912683212</v>
      </c>
      <c r="W45" s="262">
        <f>W32*Parametre!V$89</f>
        <v>2573.6073108731875</v>
      </c>
      <c r="X45" s="262">
        <f>X32*Parametre!W$89</f>
        <v>2460.6837355571201</v>
      </c>
      <c r="Y45" s="262">
        <f>Y32*Parametre!X$89</f>
        <v>2345.1482792994366</v>
      </c>
      <c r="Z45" s="262">
        <f>Z32*Parametre!Y$89</f>
        <v>2228.1366331701906</v>
      </c>
      <c r="AA45" s="262">
        <f>AA32*Parametre!Z$89</f>
        <v>2108.4421836369247</v>
      </c>
      <c r="AB45" s="262">
        <f>AB32*Parametre!AA$89</f>
        <v>1987.0335177845118</v>
      </c>
      <c r="AC45" s="262">
        <f>AC32*Parametre!AB$89</f>
        <v>1863.5489580984572</v>
      </c>
      <c r="AD45" s="262">
        <f>AD32*Parametre!AC$89</f>
        <v>1737.2888890312036</v>
      </c>
      <c r="AE45" s="262">
        <f>AE32*Parametre!AD$89</f>
        <v>1609.2477294396811</v>
      </c>
      <c r="AF45" s="262">
        <f>AF32*Parametre!AE$89</f>
        <v>1477.2381291725899</v>
      </c>
      <c r="AG45" s="262">
        <f>AG32*Parametre!AF$89</f>
        <v>1343.7502894428153</v>
      </c>
      <c r="AH45" s="262">
        <f>AH32*Parametre!AG$89</f>
        <v>1207.6015441009447</v>
      </c>
      <c r="AI45" s="262">
        <f>AI32*Parametre!AH$89</f>
        <v>1069.8182214389185</v>
      </c>
      <c r="AJ45" s="262">
        <f>AJ32*Parametre!AI$89</f>
        <v>929.32846065979084</v>
      </c>
      <c r="AK45" s="262">
        <f>AK32*Parametre!AJ$89</f>
        <v>787.17491555666686</v>
      </c>
      <c r="AL45" s="262">
        <f>AL32*Parametre!AK$89</f>
        <v>642.3172537856866</v>
      </c>
      <c r="AM45" s="262">
        <f>AM32*Parametre!AL$89</f>
        <v>495.74530915346458</v>
      </c>
      <c r="AN45" s="262">
        <f>AN32*Parametre!AM$89</f>
        <v>346.35587841365896</v>
      </c>
    </row>
    <row r="46" spans="2:40" x14ac:dyDescent="0.2">
      <c r="B46" s="31" t="s">
        <v>407</v>
      </c>
      <c r="C46" s="262">
        <f t="shared" si="32"/>
        <v>0</v>
      </c>
      <c r="D46" s="262">
        <f>D33*Parametre!C$90</f>
        <v>0</v>
      </c>
      <c r="E46" s="262">
        <f>E33*Parametre!D$90</f>
        <v>0</v>
      </c>
      <c r="F46" s="262">
        <f>F33*Parametre!E$90</f>
        <v>0</v>
      </c>
      <c r="G46" s="262">
        <f>G33*Parametre!F$90</f>
        <v>0</v>
      </c>
      <c r="H46" s="262">
        <f>H33*Parametre!G$90</f>
        <v>0</v>
      </c>
      <c r="I46" s="262">
        <f>I33*Parametre!H$90</f>
        <v>0</v>
      </c>
      <c r="J46" s="262">
        <f>J33*Parametre!I$90</f>
        <v>0</v>
      </c>
      <c r="K46" s="262">
        <f>K33*Parametre!J$90</f>
        <v>0</v>
      </c>
      <c r="L46" s="262">
        <f>L33*Parametre!K$90</f>
        <v>0</v>
      </c>
      <c r="M46" s="262">
        <f>M33*Parametre!L$90</f>
        <v>0</v>
      </c>
      <c r="N46" s="262">
        <f>N33*Parametre!M$90</f>
        <v>0</v>
      </c>
      <c r="O46" s="262">
        <f>O33*Parametre!N$90</f>
        <v>0</v>
      </c>
      <c r="P46" s="262">
        <f>P33*Parametre!O$90</f>
        <v>0</v>
      </c>
      <c r="Q46" s="262">
        <f>Q33*Parametre!P$90</f>
        <v>0</v>
      </c>
      <c r="R46" s="262">
        <f>R33*Parametre!Q$90</f>
        <v>0</v>
      </c>
      <c r="S46" s="262">
        <f>S33*Parametre!R$90</f>
        <v>0</v>
      </c>
      <c r="T46" s="262">
        <f>T33*Parametre!S$90</f>
        <v>0</v>
      </c>
      <c r="U46" s="262">
        <f>U33*Parametre!T$90</f>
        <v>0</v>
      </c>
      <c r="V46" s="262">
        <f>V33*Parametre!U$90</f>
        <v>0</v>
      </c>
      <c r="W46" s="262">
        <f>W33*Parametre!V$90</f>
        <v>0</v>
      </c>
      <c r="X46" s="262">
        <f>X33*Parametre!W$90</f>
        <v>0</v>
      </c>
      <c r="Y46" s="262">
        <f>Y33*Parametre!X$90</f>
        <v>0</v>
      </c>
      <c r="Z46" s="262">
        <f>Z33*Parametre!Y$90</f>
        <v>0</v>
      </c>
      <c r="AA46" s="262">
        <f>AA33*Parametre!Z$90</f>
        <v>0</v>
      </c>
      <c r="AB46" s="262">
        <f>AB33*Parametre!AA$90</f>
        <v>0</v>
      </c>
      <c r="AC46" s="262">
        <f>AC33*Parametre!AB$90</f>
        <v>0</v>
      </c>
      <c r="AD46" s="262">
        <f>AD33*Parametre!AC$90</f>
        <v>0</v>
      </c>
      <c r="AE46" s="262">
        <f>AE33*Parametre!AD$90</f>
        <v>0</v>
      </c>
      <c r="AF46" s="262">
        <f>AF33*Parametre!AE$90</f>
        <v>0</v>
      </c>
      <c r="AG46" s="262">
        <f>AG33*Parametre!AF$90</f>
        <v>0</v>
      </c>
      <c r="AH46" s="262">
        <f>AH33*Parametre!AG$90</f>
        <v>0</v>
      </c>
      <c r="AI46" s="262">
        <f>AI33*Parametre!AH$90</f>
        <v>0</v>
      </c>
      <c r="AJ46" s="262">
        <f>AJ33*Parametre!AI$90</f>
        <v>0</v>
      </c>
      <c r="AK46" s="262">
        <f>AK33*Parametre!AJ$90</f>
        <v>0</v>
      </c>
      <c r="AL46" s="262">
        <f>AL33*Parametre!AK$90</f>
        <v>0</v>
      </c>
      <c r="AM46" s="262">
        <f>AM33*Parametre!AL$90</f>
        <v>0</v>
      </c>
      <c r="AN46" s="262">
        <f>AN33*Parametre!AM$90</f>
        <v>0</v>
      </c>
    </row>
    <row r="47" spans="2:40" x14ac:dyDescent="0.2">
      <c r="B47" s="31" t="s">
        <v>408</v>
      </c>
      <c r="C47" s="262">
        <f t="shared" si="32"/>
        <v>401037.37740040716</v>
      </c>
      <c r="D47" s="262">
        <f>D34*Parametre!C$91</f>
        <v>0</v>
      </c>
      <c r="E47" s="262">
        <f>E34*Parametre!D$91</f>
        <v>0</v>
      </c>
      <c r="F47" s="262">
        <f>F34*Parametre!E$91</f>
        <v>0</v>
      </c>
      <c r="G47" s="262">
        <f>G34*Parametre!F$91</f>
        <v>8013.1204414134063</v>
      </c>
      <c r="H47" s="262">
        <f>H34*Parametre!G$91</f>
        <v>15337.378766663243</v>
      </c>
      <c r="I47" s="262">
        <f>I34*Parametre!H$91</f>
        <v>18188.845443687096</v>
      </c>
      <c r="J47" s="262">
        <f>J34*Parametre!I$91</f>
        <v>18215.487873818885</v>
      </c>
      <c r="K47" s="262">
        <f>K34*Parametre!J$91</f>
        <v>18139.713663044549</v>
      </c>
      <c r="L47" s="262">
        <f>L34*Parametre!K$91</f>
        <v>17975.512097349438</v>
      </c>
      <c r="M47" s="262">
        <f>M34*Parametre!L$91</f>
        <v>17619.420077823022</v>
      </c>
      <c r="N47" s="262">
        <f>N34*Parametre!M$91</f>
        <v>17393.145851400866</v>
      </c>
      <c r="O47" s="262">
        <f>O34*Parametre!N$91</f>
        <v>17150.162774239983</v>
      </c>
      <c r="P47" s="262">
        <f>P34*Parametre!O$91</f>
        <v>16887.621616461285</v>
      </c>
      <c r="Q47" s="262">
        <f>Q34*Parametre!P$91</f>
        <v>16600.390128147239</v>
      </c>
      <c r="R47" s="262">
        <f>R34*Parametre!Q$91</f>
        <v>16298.456047557605</v>
      </c>
      <c r="S47" s="262">
        <f>S34*Parametre!R$91</f>
        <v>15780.44965236164</v>
      </c>
      <c r="T47" s="262">
        <f>T34*Parametre!S$91</f>
        <v>15256.299487541219</v>
      </c>
      <c r="U47" s="262">
        <f>U34*Parametre!T$91</f>
        <v>14715.307965205298</v>
      </c>
      <c r="V47" s="262">
        <f>V34*Parametre!U$91</f>
        <v>14142.978146879095</v>
      </c>
      <c r="W47" s="262">
        <f>W34*Parametre!V$91</f>
        <v>13555.9480892097</v>
      </c>
      <c r="X47" s="262">
        <f>X34*Parametre!W$91</f>
        <v>12959.33025785063</v>
      </c>
      <c r="Y47" s="262">
        <f>Y34*Parametre!X$91</f>
        <v>12352.265367549107</v>
      </c>
      <c r="Z47" s="262">
        <f>Z34*Parametre!Y$91</f>
        <v>11735.319292846383</v>
      </c>
      <c r="AA47" s="262">
        <f>AA34*Parametre!Z$91</f>
        <v>11103.414264276042</v>
      </c>
      <c r="AB47" s="262">
        <f>AB34*Parametre!AA$91</f>
        <v>10465.23099538052</v>
      </c>
      <c r="AC47" s="262">
        <f>AC34*Parametre!AB$91</f>
        <v>9814.3752735896196</v>
      </c>
      <c r="AD47" s="262">
        <f>AD34*Parametre!AC$91</f>
        <v>9148.2526430853995</v>
      </c>
      <c r="AE47" s="262">
        <f>AE34*Parametre!AD$91</f>
        <v>8474.9474000025675</v>
      </c>
      <c r="AF47" s="262">
        <f>AF34*Parametre!AE$91</f>
        <v>7781.1644336806066</v>
      </c>
      <c r="AG47" s="262">
        <f>AG34*Parametre!AF$91</f>
        <v>7078.2235806249328</v>
      </c>
      <c r="AH47" s="262">
        <f>AH34*Parametre!AG$91</f>
        <v>6360.740333248963</v>
      </c>
      <c r="AI47" s="262">
        <f>AI34*Parametre!AH$91</f>
        <v>5634.2994050185989</v>
      </c>
      <c r="AJ47" s="262">
        <f>AJ34*Parametre!AI$91</f>
        <v>4894.9009995266306</v>
      </c>
      <c r="AK47" s="262">
        <f>AK34*Parametre!AJ$91</f>
        <v>4146.2706979608856</v>
      </c>
      <c r="AL47" s="262">
        <f>AL34*Parametre!AK$91</f>
        <v>3382.858120054791</v>
      </c>
      <c r="AM47" s="262">
        <f>AM34*Parametre!AL$91</f>
        <v>2611.1788535032078</v>
      </c>
      <c r="AN47" s="262">
        <f>AN34*Parametre!AM$91</f>
        <v>1824.3673594048487</v>
      </c>
    </row>
    <row r="48" spans="2:40" x14ac:dyDescent="0.2">
      <c r="B48" s="31" t="s">
        <v>136</v>
      </c>
      <c r="C48" s="262">
        <f t="shared" si="32"/>
        <v>520.22606163759554</v>
      </c>
      <c r="D48" s="262">
        <f>D35*Parametre!C$92</f>
        <v>0</v>
      </c>
      <c r="E48" s="262">
        <f>E35*Parametre!D$92</f>
        <v>0</v>
      </c>
      <c r="F48" s="262">
        <f>F35*Parametre!E$92</f>
        <v>0</v>
      </c>
      <c r="G48" s="262">
        <f>G35*Parametre!F$92</f>
        <v>10.397223405609687</v>
      </c>
      <c r="H48" s="262">
        <f>H35*Parametre!G$92</f>
        <v>19.904424731462615</v>
      </c>
      <c r="I48" s="262">
        <f>I35*Parametre!H$92</f>
        <v>23.60416292084177</v>
      </c>
      <c r="J48" s="262">
        <f>J35*Parametre!I$92</f>
        <v>23.638792779062037</v>
      </c>
      <c r="K48" s="262">
        <f>K35*Parametre!J$92</f>
        <v>23.540511912945885</v>
      </c>
      <c r="L48" s="262">
        <f>L35*Parametre!K$92</f>
        <v>23.323352134945878</v>
      </c>
      <c r="M48" s="262">
        <f>M35*Parametre!L$92</f>
        <v>22.857425905848565</v>
      </c>
      <c r="N48" s="262">
        <f>N35*Parametre!M$92</f>
        <v>22.560129613253359</v>
      </c>
      <c r="O48" s="262">
        <f>O35*Parametre!N$92</f>
        <v>22.245147683138285</v>
      </c>
      <c r="P48" s="262">
        <f>P35*Parametre!O$92</f>
        <v>21.904787614583391</v>
      </c>
      <c r="Q48" s="262">
        <f>Q35*Parametre!P$92</f>
        <v>21.532392092051069</v>
      </c>
      <c r="R48" s="262">
        <f>R35*Parametre!Q$92</f>
        <v>21.144398648624154</v>
      </c>
      <c r="S48" s="262">
        <f>S35*Parametre!R$92</f>
        <v>20.475822462620091</v>
      </c>
      <c r="T48" s="262">
        <f>T35*Parametre!S$92</f>
        <v>19.791978006809245</v>
      </c>
      <c r="U48" s="262">
        <f>U35*Parametre!T$92</f>
        <v>19.08663168018273</v>
      </c>
      <c r="V48" s="262">
        <f>V35*Parametre!U$92</f>
        <v>18.338655965570084</v>
      </c>
      <c r="W48" s="262">
        <f>W35*Parametre!V$92</f>
        <v>17.580937903714368</v>
      </c>
      <c r="X48" s="262">
        <f>X35*Parametre!W$92</f>
        <v>16.810415912070408</v>
      </c>
      <c r="Y48" s="262">
        <f>Y35*Parametre!X$92</f>
        <v>16.020613911773733</v>
      </c>
      <c r="Z48" s="262">
        <f>Z35*Parametre!Y$92</f>
        <v>15.21827347709999</v>
      </c>
      <c r="AA48" s="262">
        <f>AA35*Parametre!Z$92</f>
        <v>14.403682965272441</v>
      </c>
      <c r="AB48" s="262">
        <f>AB35*Parametre!AA$92</f>
        <v>13.575892356182305</v>
      </c>
      <c r="AC48" s="262">
        <f>AC35*Parametre!AB$92</f>
        <v>12.731651177851619</v>
      </c>
      <c r="AD48" s="262">
        <f>AD35*Parametre!AC$92</f>
        <v>11.867593831979436</v>
      </c>
      <c r="AE48" s="262">
        <f>AE35*Parametre!AD$92</f>
        <v>10.9907482838818</v>
      </c>
      <c r="AF48" s="262">
        <f>AF35*Parametre!AE$92</f>
        <v>10.089667938711115</v>
      </c>
      <c r="AG48" s="262">
        <f>AG35*Parametre!AF$92</f>
        <v>9.17697796697475</v>
      </c>
      <c r="AH48" s="262">
        <f>AH35*Parametre!AG$92</f>
        <v>8.2456952849548184</v>
      </c>
      <c r="AI48" s="262">
        <f>AI35*Parametre!AH$92</f>
        <v>7.306279972448193</v>
      </c>
      <c r="AJ48" s="262">
        <f>AJ35*Parametre!AI$92</f>
        <v>6.3475218811070055</v>
      </c>
      <c r="AK48" s="262">
        <f>AK35*Parametre!AJ$92</f>
        <v>5.3767739451532615</v>
      </c>
      <c r="AL48" s="262">
        <f>AL35*Parametre!AK$92</f>
        <v>4.386838718640405</v>
      </c>
      <c r="AM48" s="262">
        <f>AM35*Parametre!AL$92</f>
        <v>3.3851786667510031</v>
      </c>
      <c r="AN48" s="262">
        <f>AN35*Parametre!AM$92</f>
        <v>2.3654798854800365</v>
      </c>
    </row>
    <row r="49" spans="2:40" ht="11.85" customHeight="1" x14ac:dyDescent="0.2">
      <c r="B49" s="31" t="s">
        <v>133</v>
      </c>
      <c r="C49" s="262">
        <f t="shared" si="32"/>
        <v>11320.808129186284</v>
      </c>
      <c r="D49" s="262">
        <f>D36*Parametre!C$93</f>
        <v>0</v>
      </c>
      <c r="E49" s="262">
        <f>E36*Parametre!D$93</f>
        <v>0</v>
      </c>
      <c r="F49" s="262">
        <f>F36*Parametre!E$93</f>
        <v>0</v>
      </c>
      <c r="G49" s="262">
        <f>G36*Parametre!F$93</f>
        <v>217.70682708864999</v>
      </c>
      <c r="H49" s="262">
        <f>H36*Parametre!G$93</f>
        <v>418.0985190352618</v>
      </c>
      <c r="I49" s="262">
        <f>I36*Parametre!H$93</f>
        <v>497.04499232511046</v>
      </c>
      <c r="J49" s="262">
        <f>J36*Parametre!I$93</f>
        <v>499.55226550962567</v>
      </c>
      <c r="K49" s="262">
        <f>K36*Parametre!J$93</f>
        <v>499.20141389799335</v>
      </c>
      <c r="L49" s="262">
        <f>L36*Parametre!K$93</f>
        <v>496.54450091291227</v>
      </c>
      <c r="M49" s="262">
        <f>M36*Parametre!L$93</f>
        <v>488.48959687257161</v>
      </c>
      <c r="N49" s="262">
        <f>N36*Parametre!M$93</f>
        <v>483.93357588026515</v>
      </c>
      <c r="O49" s="262">
        <f>O36*Parametre!N$93</f>
        <v>478.64749300257728</v>
      </c>
      <c r="P49" s="262">
        <f>P36*Parametre!O$93</f>
        <v>472.73768100876845</v>
      </c>
      <c r="Q49" s="262">
        <f>Q36*Parametre!P$93</f>
        <v>466.05792067385181</v>
      </c>
      <c r="R49" s="262">
        <f>R36*Parametre!Q$93</f>
        <v>458.72019134630983</v>
      </c>
      <c r="S49" s="262">
        <f>S36*Parametre!R$93</f>
        <v>445.21778325347611</v>
      </c>
      <c r="T49" s="262">
        <f>T36*Parametre!S$93</f>
        <v>431.29430190718296</v>
      </c>
      <c r="U49" s="262">
        <f>U36*Parametre!T$93</f>
        <v>416.81457637271421</v>
      </c>
      <c r="V49" s="262">
        <f>V36*Parametre!U$93</f>
        <v>401.92162540392582</v>
      </c>
      <c r="W49" s="262">
        <f>W36*Parametre!V$93</f>
        <v>386.47692605532592</v>
      </c>
      <c r="X49" s="262">
        <f>X36*Parametre!W$93</f>
        <v>370.6267844608808</v>
      </c>
      <c r="Y49" s="262">
        <f>Y36*Parametre!X$93</f>
        <v>354.2293546292737</v>
      </c>
      <c r="Z49" s="262">
        <f>Z36*Parametre!Y$93</f>
        <v>337.43420153534771</v>
      </c>
      <c r="AA49" s="262">
        <f>AA36*Parametre!Z$93</f>
        <v>320.0961849288808</v>
      </c>
      <c r="AB49" s="262">
        <f>AB36*Parametre!AA$93</f>
        <v>302.36810026188328</v>
      </c>
      <c r="AC49" s="262">
        <f>AC36*Parametre!AB$93</f>
        <v>284.17845055268106</v>
      </c>
      <c r="AD49" s="262">
        <f>AD36*Parametre!AC$93</f>
        <v>265.45250678850306</v>
      </c>
      <c r="AE49" s="262">
        <f>AE36*Parametre!AD$93</f>
        <v>246.3478573422139</v>
      </c>
      <c r="AF49" s="262">
        <f>AF36*Parametre!AE$93</f>
        <v>226.71125110483197</v>
      </c>
      <c r="AG49" s="262">
        <f>AG36*Parametre!AF$93</f>
        <v>206.70343677880169</v>
      </c>
      <c r="AH49" s="262">
        <f>AH36*Parametre!AG$93</f>
        <v>186.16796836224688</v>
      </c>
      <c r="AI49" s="262">
        <f>AI36*Parametre!AH$93</f>
        <v>165.26872713039137</v>
      </c>
      <c r="AJ49" s="262">
        <f>AJ36*Parametre!AI$93</f>
        <v>143.84610018605741</v>
      </c>
      <c r="AK49" s="262">
        <f>AK36*Parametre!AJ$93</f>
        <v>122.06707379174809</v>
      </c>
      <c r="AL49" s="262">
        <f>AL36*Parametre!AK$93</f>
        <v>99.768895979769141</v>
      </c>
      <c r="AM49" s="262">
        <f>AM36*Parametre!AL$93</f>
        <v>77.121630584777563</v>
      </c>
      <c r="AN49" s="262">
        <f>AN36*Parametre!AM$93</f>
        <v>53.959414221474098</v>
      </c>
    </row>
    <row r="50" spans="2:40" x14ac:dyDescent="0.2">
      <c r="B50" s="31" t="s">
        <v>137</v>
      </c>
      <c r="C50" s="262">
        <f t="shared" si="32"/>
        <v>40674.668314758259</v>
      </c>
      <c r="D50" s="262">
        <f>D37*Parametre!C$94</f>
        <v>0</v>
      </c>
      <c r="E50" s="262">
        <f>E37*Parametre!D$94</f>
        <v>0</v>
      </c>
      <c r="F50" s="262">
        <f>F37*Parametre!E$94</f>
        <v>0</v>
      </c>
      <c r="G50" s="262">
        <f>G37*Parametre!F$94</f>
        <v>813.05259410402027</v>
      </c>
      <c r="H50" s="262">
        <f>H37*Parametre!G$94</f>
        <v>1555.9066558899201</v>
      </c>
      <c r="I50" s="262">
        <f>I37*Parametre!H$94</f>
        <v>1845.1302757804899</v>
      </c>
      <c r="J50" s="262">
        <f>J37*Parametre!I$94</f>
        <v>1847.7805648012197</v>
      </c>
      <c r="K50" s="262">
        <f>K37*Parametre!J$94</f>
        <v>1840.0431560248305</v>
      </c>
      <c r="L50" s="262">
        <f>L37*Parametre!K$94</f>
        <v>1823.1926557629176</v>
      </c>
      <c r="M50" s="262">
        <f>M37*Parametre!L$94</f>
        <v>1786.8895438838683</v>
      </c>
      <c r="N50" s="262">
        <f>N37*Parametre!M$94</f>
        <v>1764.1657236517483</v>
      </c>
      <c r="O50" s="262">
        <f>O37*Parametre!N$94</f>
        <v>1739.4767283965914</v>
      </c>
      <c r="P50" s="262">
        <f>P37*Parametre!O$94</f>
        <v>1712.8063287216116</v>
      </c>
      <c r="Q50" s="262">
        <f>Q37*Parametre!P$94</f>
        <v>1684.0054030257197</v>
      </c>
      <c r="R50" s="262">
        <f>R37*Parametre!Q$94</f>
        <v>1653.095628054338</v>
      </c>
      <c r="S50" s="262">
        <f>S37*Parametre!R$94</f>
        <v>1600.6355726983891</v>
      </c>
      <c r="T50" s="262">
        <f>T37*Parametre!S$94</f>
        <v>1547.3280696726381</v>
      </c>
      <c r="U50" s="262">
        <f>U37*Parametre!T$94</f>
        <v>1492.3256546690975</v>
      </c>
      <c r="V50" s="262">
        <f>V37*Parametre!U$94</f>
        <v>1434.0500019078518</v>
      </c>
      <c r="W50" s="262">
        <f>W37*Parametre!V$94</f>
        <v>1374.5906932204696</v>
      </c>
      <c r="X50" s="262">
        <f>X37*Parametre!W$94</f>
        <v>1314.1523900584634</v>
      </c>
      <c r="Y50" s="262">
        <f>Y37*Parametre!X$94</f>
        <v>1252.4813792228333</v>
      </c>
      <c r="Z50" s="262">
        <f>Z37*Parametre!Y$94</f>
        <v>1190.0592509529383</v>
      </c>
      <c r="AA50" s="262">
        <f>AA37*Parametre!Z$94</f>
        <v>1126.1032855056485</v>
      </c>
      <c r="AB50" s="262">
        <f>AB37*Parametre!AA$94</f>
        <v>1061.3570348512831</v>
      </c>
      <c r="AC50" s="262">
        <f>AC37*Parametre!AB$94</f>
        <v>995.32870894662096</v>
      </c>
      <c r="AD50" s="262">
        <f>AD37*Parametre!AC$94</f>
        <v>927.93294202677009</v>
      </c>
      <c r="AE50" s="262">
        <f>AE37*Parametre!AD$94</f>
        <v>859.51178069349339</v>
      </c>
      <c r="AF50" s="262">
        <f>AF37*Parametre!AE$94</f>
        <v>789.08370973106446</v>
      </c>
      <c r="AG50" s="262">
        <f>AG37*Parametre!AF$94</f>
        <v>717.73994335330303</v>
      </c>
      <c r="AH50" s="262">
        <f>AH37*Parametre!AG$94</f>
        <v>645.05322527474209</v>
      </c>
      <c r="AI50" s="262">
        <f>AI37*Parametre!AH$94</f>
        <v>571.44179420580974</v>
      </c>
      <c r="AJ50" s="262">
        <f>AJ37*Parametre!AI$94</f>
        <v>496.44092580803897</v>
      </c>
      <c r="AK50" s="262">
        <f>AK37*Parametre!AJ$94</f>
        <v>420.5068374627495</v>
      </c>
      <c r="AL50" s="262">
        <f>AL37*Parametre!AK$94</f>
        <v>343.13743659494821</v>
      </c>
      <c r="AM50" s="262">
        <f>AM37*Parametre!AL$94</f>
        <v>264.82681312351639</v>
      </c>
      <c r="AN50" s="262">
        <f>AN37*Parametre!AM$94</f>
        <v>185.03560668031628</v>
      </c>
    </row>
    <row r="51" spans="2:40" x14ac:dyDescent="0.2">
      <c r="B51" s="273" t="s">
        <v>59</v>
      </c>
      <c r="C51" s="274">
        <f t="shared" si="32"/>
        <v>529699.36342679919</v>
      </c>
      <c r="D51" s="275">
        <f>SUM(D44:D50)</f>
        <v>0</v>
      </c>
      <c r="E51" s="274">
        <f t="shared" ref="E51:AG51" si="33">SUM(E44:E50)</f>
        <v>0</v>
      </c>
      <c r="F51" s="274">
        <f t="shared" si="33"/>
        <v>0</v>
      </c>
      <c r="G51" s="274">
        <f t="shared" si="33"/>
        <v>10576.173295955005</v>
      </c>
      <c r="H51" s="274">
        <f t="shared" si="33"/>
        <v>20244.122252902383</v>
      </c>
      <c r="I51" s="274">
        <f t="shared" si="33"/>
        <v>24009.194770943759</v>
      </c>
      <c r="J51" s="274">
        <f t="shared" si="33"/>
        <v>24045.60437234597</v>
      </c>
      <c r="K51" s="274">
        <f t="shared" si="33"/>
        <v>23947.458231426972</v>
      </c>
      <c r="L51" s="274">
        <f t="shared" si="33"/>
        <v>23731.558171727214</v>
      </c>
      <c r="M51" s="274">
        <f t="shared" si="33"/>
        <v>23262.91585064161</v>
      </c>
      <c r="N51" s="274">
        <f t="shared" si="33"/>
        <v>22966.304400975445</v>
      </c>
      <c r="O51" s="274">
        <f t="shared" si="33"/>
        <v>22646.476463692212</v>
      </c>
      <c r="P51" s="274">
        <f t="shared" si="33"/>
        <v>22301.064993750992</v>
      </c>
      <c r="Q51" s="274">
        <f t="shared" si="33"/>
        <v>21923.924491978905</v>
      </c>
      <c r="R51" s="274">
        <f t="shared" si="33"/>
        <v>21525.918443078048</v>
      </c>
      <c r="S51" s="274">
        <f t="shared" si="33"/>
        <v>20843.094843291965</v>
      </c>
      <c r="T51" s="274">
        <f t="shared" si="33"/>
        <v>20151.149522724121</v>
      </c>
      <c r="U51" s="274">
        <f t="shared" si="33"/>
        <v>19437.168948023034</v>
      </c>
      <c r="V51" s="274">
        <f t="shared" si="33"/>
        <v>18682.190921424764</v>
      </c>
      <c r="W51" s="274">
        <f t="shared" si="33"/>
        <v>17908.203957262398</v>
      </c>
      <c r="X51" s="274">
        <f t="shared" si="33"/>
        <v>17121.603583839165</v>
      </c>
      <c r="Y51" s="274">
        <f t="shared" si="33"/>
        <v>16320.144994612427</v>
      </c>
      <c r="Z51" s="274">
        <f t="shared" si="33"/>
        <v>15506.167651981959</v>
      </c>
      <c r="AA51" s="274">
        <f t="shared" si="33"/>
        <v>14672.45960131277</v>
      </c>
      <c r="AB51" s="274">
        <f t="shared" si="33"/>
        <v>13829.565540634379</v>
      </c>
      <c r="AC51" s="274">
        <f t="shared" si="33"/>
        <v>12970.163042365231</v>
      </c>
      <c r="AD51" s="274">
        <f t="shared" si="33"/>
        <v>12090.794574763855</v>
      </c>
      <c r="AE51" s="274">
        <f t="shared" si="33"/>
        <v>11201.04551576184</v>
      </c>
      <c r="AF51" s="274">
        <f t="shared" si="33"/>
        <v>10284.287191627805</v>
      </c>
      <c r="AG51" s="274">
        <f t="shared" si="33"/>
        <v>9355.5942281668267</v>
      </c>
      <c r="AH51" s="274">
        <f t="shared" ref="AH51:AN51" si="34">SUM(AH44:AH50)</f>
        <v>8407.8087662718517</v>
      </c>
      <c r="AI51" s="274">
        <f t="shared" si="34"/>
        <v>7448.1344277661665</v>
      </c>
      <c r="AJ51" s="274">
        <f t="shared" si="34"/>
        <v>6470.8640080616251</v>
      </c>
      <c r="AK51" s="274">
        <f t="shared" si="34"/>
        <v>5481.3962987172035</v>
      </c>
      <c r="AL51" s="274">
        <f t="shared" si="34"/>
        <v>4472.4685451338355</v>
      </c>
      <c r="AM51" s="274">
        <f t="shared" si="34"/>
        <v>3452.257785031717</v>
      </c>
      <c r="AN51" s="274">
        <f t="shared" si="34"/>
        <v>2412.0837386057783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2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0B22-9650-443D-A84F-52B36C360927}">
  <sheetPr>
    <tabColor theme="7" tint="0.59999389629810485"/>
  </sheetPr>
  <dimension ref="B2:AQ17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52.5703125" style="231" bestFit="1" customWidth="1"/>
    <col min="3" max="3" width="7.140625" style="231" bestFit="1" customWidth="1"/>
    <col min="4" max="7" width="4.42578125" style="231" bestFit="1" customWidth="1"/>
    <col min="8" max="20" width="5.42578125" style="231" bestFit="1" customWidth="1"/>
    <col min="21" max="43" width="4.42578125" style="231" bestFit="1" customWidth="1"/>
    <col min="44" max="16384" width="9.140625" style="231"/>
  </cols>
  <sheetData>
    <row r="2" spans="2:43" ht="17.45" customHeight="1" x14ac:dyDescent="0.2">
      <c r="B2" s="723" t="s">
        <v>634</v>
      </c>
      <c r="C2" s="723"/>
      <c r="D2" s="723"/>
      <c r="E2" s="723"/>
      <c r="F2" s="723"/>
      <c r="G2" s="723"/>
      <c r="H2" s="723"/>
      <c r="I2" s="723"/>
      <c r="J2" s="723"/>
      <c r="K2" s="723"/>
    </row>
    <row r="4" spans="2:43" x14ac:dyDescent="0.2">
      <c r="B4" s="358" t="s">
        <v>635</v>
      </c>
      <c r="C4" s="359"/>
      <c r="D4" s="256" t="s">
        <v>10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</row>
    <row r="5" spans="2:43" x14ac:dyDescent="0.2">
      <c r="B5" s="259" t="s">
        <v>33</v>
      </c>
      <c r="C5" s="361"/>
      <c r="D5" s="256">
        <v>1</v>
      </c>
      <c r="E5" s="256">
        <v>2</v>
      </c>
      <c r="F5" s="256">
        <v>3</v>
      </c>
      <c r="G5" s="256">
        <v>4</v>
      </c>
      <c r="H5" s="256">
        <v>5</v>
      </c>
      <c r="I5" s="256">
        <v>6</v>
      </c>
      <c r="J5" s="256">
        <v>7</v>
      </c>
      <c r="K5" s="256">
        <v>8</v>
      </c>
      <c r="L5" s="256">
        <v>9</v>
      </c>
      <c r="M5" s="256">
        <v>10</v>
      </c>
      <c r="N5" s="256">
        <v>11</v>
      </c>
      <c r="O5" s="256">
        <v>12</v>
      </c>
      <c r="P5" s="256">
        <v>13</v>
      </c>
      <c r="Q5" s="256">
        <v>14</v>
      </c>
      <c r="R5" s="256">
        <v>15</v>
      </c>
      <c r="S5" s="256">
        <v>16</v>
      </c>
      <c r="T5" s="256">
        <v>17</v>
      </c>
      <c r="U5" s="256">
        <v>18</v>
      </c>
      <c r="V5" s="256">
        <v>19</v>
      </c>
      <c r="W5" s="256">
        <v>20</v>
      </c>
      <c r="X5" s="256">
        <v>21</v>
      </c>
      <c r="Y5" s="256">
        <v>22</v>
      </c>
      <c r="Z5" s="256">
        <v>23</v>
      </c>
      <c r="AA5" s="256">
        <v>24</v>
      </c>
      <c r="AB5" s="256">
        <v>25</v>
      </c>
      <c r="AC5" s="256">
        <v>26</v>
      </c>
      <c r="AD5" s="256">
        <v>27</v>
      </c>
      <c r="AE5" s="256">
        <v>28</v>
      </c>
      <c r="AF5" s="256">
        <v>29</v>
      </c>
      <c r="AG5" s="256">
        <v>30</v>
      </c>
      <c r="AH5" s="256">
        <v>31</v>
      </c>
      <c r="AI5" s="256">
        <v>32</v>
      </c>
      <c r="AJ5" s="256">
        <v>33</v>
      </c>
      <c r="AK5" s="256">
        <v>34</v>
      </c>
      <c r="AL5" s="256">
        <v>35</v>
      </c>
      <c r="AM5" s="256">
        <v>36</v>
      </c>
      <c r="AN5" s="256">
        <v>37</v>
      </c>
      <c r="AO5" s="256">
        <v>38</v>
      </c>
      <c r="AP5" s="256">
        <v>39</v>
      </c>
      <c r="AQ5" s="256">
        <v>40</v>
      </c>
    </row>
    <row r="6" spans="2:43" x14ac:dyDescent="0.2">
      <c r="B6" s="405" t="s">
        <v>644</v>
      </c>
      <c r="C6" s="259" t="s">
        <v>9</v>
      </c>
      <c r="D6" s="304">
        <v>2026</v>
      </c>
      <c r="E6" s="304">
        <f>$D$6+D5</f>
        <v>2027</v>
      </c>
      <c r="F6" s="304">
        <f t="shared" ref="F6:AN6" si="0">$D$6+E5</f>
        <v>2028</v>
      </c>
      <c r="G6" s="304">
        <f t="shared" si="0"/>
        <v>2029</v>
      </c>
      <c r="H6" s="304">
        <f t="shared" si="0"/>
        <v>2030</v>
      </c>
      <c r="I6" s="304">
        <f t="shared" si="0"/>
        <v>2031</v>
      </c>
      <c r="J6" s="304">
        <f t="shared" si="0"/>
        <v>2032</v>
      </c>
      <c r="K6" s="304">
        <f t="shared" si="0"/>
        <v>2033</v>
      </c>
      <c r="L6" s="304">
        <f t="shared" si="0"/>
        <v>2034</v>
      </c>
      <c r="M6" s="304">
        <f t="shared" si="0"/>
        <v>2035</v>
      </c>
      <c r="N6" s="304">
        <f t="shared" si="0"/>
        <v>2036</v>
      </c>
      <c r="O6" s="304">
        <f t="shared" si="0"/>
        <v>2037</v>
      </c>
      <c r="P6" s="304">
        <f t="shared" si="0"/>
        <v>2038</v>
      </c>
      <c r="Q6" s="304">
        <f t="shared" si="0"/>
        <v>2039</v>
      </c>
      <c r="R6" s="304">
        <f t="shared" si="0"/>
        <v>2040</v>
      </c>
      <c r="S6" s="304">
        <f t="shared" si="0"/>
        <v>2041</v>
      </c>
      <c r="T6" s="304">
        <f t="shared" si="0"/>
        <v>2042</v>
      </c>
      <c r="U6" s="304">
        <f t="shared" si="0"/>
        <v>2043</v>
      </c>
      <c r="V6" s="304">
        <f t="shared" si="0"/>
        <v>2044</v>
      </c>
      <c r="W6" s="304">
        <f t="shared" si="0"/>
        <v>2045</v>
      </c>
      <c r="X6" s="304">
        <f t="shared" si="0"/>
        <v>2046</v>
      </c>
      <c r="Y6" s="304">
        <f t="shared" si="0"/>
        <v>2047</v>
      </c>
      <c r="Z6" s="304">
        <f t="shared" si="0"/>
        <v>2048</v>
      </c>
      <c r="AA6" s="304">
        <f t="shared" si="0"/>
        <v>2049</v>
      </c>
      <c r="AB6" s="304">
        <f t="shared" si="0"/>
        <v>2050</v>
      </c>
      <c r="AC6" s="304">
        <f t="shared" si="0"/>
        <v>2051</v>
      </c>
      <c r="AD6" s="304">
        <f t="shared" si="0"/>
        <v>2052</v>
      </c>
      <c r="AE6" s="304">
        <f t="shared" si="0"/>
        <v>2053</v>
      </c>
      <c r="AF6" s="304">
        <f t="shared" si="0"/>
        <v>2054</v>
      </c>
      <c r="AG6" s="304">
        <f t="shared" si="0"/>
        <v>2055</v>
      </c>
      <c r="AH6" s="304">
        <f t="shared" si="0"/>
        <v>2056</v>
      </c>
      <c r="AI6" s="304">
        <f t="shared" si="0"/>
        <v>2057</v>
      </c>
      <c r="AJ6" s="304">
        <f t="shared" si="0"/>
        <v>2058</v>
      </c>
      <c r="AK6" s="304">
        <f t="shared" si="0"/>
        <v>2059</v>
      </c>
      <c r="AL6" s="304">
        <f t="shared" si="0"/>
        <v>2060</v>
      </c>
      <c r="AM6" s="304">
        <f t="shared" si="0"/>
        <v>2061</v>
      </c>
      <c r="AN6" s="304">
        <f t="shared" si="0"/>
        <v>2062</v>
      </c>
      <c r="AO6" s="304">
        <f t="shared" ref="AO6" si="1">$D$6+AN5</f>
        <v>2063</v>
      </c>
      <c r="AP6" s="304">
        <f t="shared" ref="AP6" si="2">$D$6+AO5</f>
        <v>2064</v>
      </c>
      <c r="AQ6" s="304">
        <f t="shared" ref="AQ6" si="3">$D$6+AP5</f>
        <v>2065</v>
      </c>
    </row>
    <row r="7" spans="2:43" x14ac:dyDescent="0.2">
      <c r="B7" s="362" t="s">
        <v>685</v>
      </c>
      <c r="C7" s="363">
        <f>SUM(D7:AQ7)</f>
        <v>680.47391762167376</v>
      </c>
      <c r="D7" s="235">
        <f>('08_A Spotr. PHM_E(cesty)NOV200'!D7*Parametre!$C$98*Parametre!$C$222/1000)+('08_A Spotr. PHM_E(cesty)NOV200'!D13*Parametre!$C$99*Parametre!$C$223/1000)</f>
        <v>0</v>
      </c>
      <c r="E7" s="235">
        <f>('08_A Spotr. PHM_E(cesty)NOV200'!E7*Parametre!$C$98*Parametre!$C$222/1000)+('08_A Spotr. PHM_E(cesty)NOV200'!E13*Parametre!$C$99*Parametre!$C$223/1000)</f>
        <v>0</v>
      </c>
      <c r="F7" s="235">
        <f>('08_A Spotr. PHM_E(cesty)NOV200'!F7*Parametre!$C$98*Parametre!$C$222/1000)+('08_A Spotr. PHM_E(cesty)NOV200'!F13*Parametre!$C$99*Parametre!$C$223/1000)</f>
        <v>0</v>
      </c>
      <c r="G7" s="235">
        <f>('08_A Spotr. PHM_E(cesty)NOV200'!G7*Parametre!$C$98*Parametre!$C$222/1000)+('08_A Spotr. PHM_E(cesty)NOV200'!G13*Parametre!$C$99*Parametre!$C$223/1000)</f>
        <v>15.730193384427075</v>
      </c>
      <c r="H7" s="235">
        <f>('08_A Spotr. PHM_E(cesty)NOV200'!H7*Parametre!$C$98*Parametre!$C$222/1000)+('08_A Spotr. PHM_E(cesty)NOV200'!H13*Parametre!$C$99*Parametre!$C$223/1000)</f>
        <v>29.701579347226403</v>
      </c>
      <c r="I7" s="235">
        <f>('08_A Spotr. PHM_E(cesty)NOV200'!I7*Parametre!$C$98*Parametre!$C$222/1000)+('08_A Spotr. PHM_E(cesty)NOV200'!I13*Parametre!$C$99*Parametre!$C$223/1000)</f>
        <v>34.726275595398285</v>
      </c>
      <c r="J7" s="235">
        <f>('08_A Spotr. PHM_E(cesty)NOV200'!J7*Parametre!$C$98*Parametre!$C$222/1000)+('08_A Spotr. PHM_E(cesty)NOV200'!J13*Parametre!$C$99*Parametre!$C$223/1000)</f>
        <v>34.333944173073725</v>
      </c>
      <c r="K7" s="235">
        <f>('08_A Spotr. PHM_E(cesty)NOV200'!K7*Parametre!$C$98*Parametre!$C$222/1000)+('08_A Spotr. PHM_E(cesty)NOV200'!K13*Parametre!$C$99*Parametre!$C$223/1000)</f>
        <v>33.760873055141637</v>
      </c>
      <c r="L7" s="235">
        <f>('08_A Spotr. PHM_E(cesty)NOV200'!L7*Parametre!$C$98*Parametre!$C$222/1000)+('08_A Spotr. PHM_E(cesty)NOV200'!L13*Parametre!$C$99*Parametre!$C$223/1000)</f>
        <v>33.052349075798958</v>
      </c>
      <c r="M7" s="235">
        <f>('08_A Spotr. PHM_E(cesty)NOV200'!M7*Parametre!$C$98*Parametre!$C$222/1000)+('08_A Spotr. PHM_E(cesty)NOV200'!M13*Parametre!$C$99*Parametre!$C$223/1000)</f>
        <v>32.0120498196775</v>
      </c>
      <c r="N7" s="235">
        <f>('08_A Spotr. PHM_E(cesty)NOV200'!N7*Parametre!$C$98*Parametre!$C$222/1000)+('08_A Spotr. PHM_E(cesty)NOV200'!N13*Parametre!$C$99*Parametre!$C$223/1000)</f>
        <v>31.229306103350467</v>
      </c>
      <c r="O7" s="235">
        <f>('08_A Spotr. PHM_E(cesty)NOV200'!O7*Parametre!$C$98*Parametre!$C$222/1000)+('08_A Spotr. PHM_E(cesty)NOV200'!O13*Parametre!$C$99*Parametre!$C$223/1000)</f>
        <v>30.423699498877991</v>
      </c>
      <c r="P7" s="235">
        <f>('08_A Spotr. PHM_E(cesty)NOV200'!P7*Parametre!$C$98*Parametre!$C$222/1000)+('08_A Spotr. PHM_E(cesty)NOV200'!P13*Parametre!$C$99*Parametre!$C$223/1000)</f>
        <v>29.602904708631044</v>
      </c>
      <c r="Q7" s="235">
        <f>('08_A Spotr. PHM_E(cesty)NOV200'!Q7*Parametre!$C$98*Parametre!$C$222/1000)+('08_A Spotr. PHM_E(cesty)NOV200'!Q13*Parametre!$C$99*Parametre!$C$223/1000)</f>
        <v>28.758564306934687</v>
      </c>
      <c r="R7" s="235">
        <f>('08_A Spotr. PHM_E(cesty)NOV200'!R7*Parametre!$C$98*Parametre!$C$222/1000)+('08_A Spotr. PHM_E(cesty)NOV200'!R13*Parametre!$C$99*Parametre!$C$223/1000)</f>
        <v>27.898505025885054</v>
      </c>
      <c r="S7" s="235">
        <f>('08_A Spotr. PHM_E(cesty)NOV200'!S7*Parametre!$C$98*Parametre!$C$222/1000)+('08_A Spotr. PHM_E(cesty)NOV200'!S13*Parametre!$C$99*Parametre!$C$223/1000)</f>
        <v>26.693238418849337</v>
      </c>
      <c r="T7" s="235">
        <f>('08_A Spotr. PHM_E(cesty)NOV200'!T7*Parametre!$C$98*Parametre!$C$222/1000)+('08_A Spotr. PHM_E(cesty)NOV200'!T13*Parametre!$C$99*Parametre!$C$223/1000)</f>
        <v>25.49679300700944</v>
      </c>
      <c r="U7" s="235">
        <f>('08_A Spotr. PHM_E(cesty)NOV200'!U7*Parametre!$C$98*Parametre!$C$222/1000)+('08_A Spotr. PHM_E(cesty)NOV200'!U13*Parametre!$C$99*Parametre!$C$223/1000)</f>
        <v>24.300923104521036</v>
      </c>
      <c r="V7" s="235">
        <f>('08_A Spotr. PHM_E(cesty)NOV200'!V7*Parametre!$C$98*Parametre!$C$222/1000)+('08_A Spotr. PHM_E(cesty)NOV200'!V13*Parametre!$C$99*Parametre!$C$223/1000)</f>
        <v>23.113829986814061</v>
      </c>
      <c r="W7" s="235">
        <f>('08_A Spotr. PHM_E(cesty)NOV200'!W7*Parametre!$C$98*Parametre!$C$222/1000)+('08_A Spotr. PHM_E(cesty)NOV200'!W13*Parametre!$C$99*Parametre!$C$223/1000)</f>
        <v>21.92730093612667</v>
      </c>
      <c r="X7" s="235">
        <f>('08_A Spotr. PHM_E(cesty)NOV200'!X7*Parametre!$C$98*Parametre!$C$222/1000)+('08_A Spotr. PHM_E(cesty)NOV200'!X13*Parametre!$C$99*Parametre!$C$223/1000)</f>
        <v>20.749504473877394</v>
      </c>
      <c r="Y7" s="235">
        <f>('08_A Spotr. PHM_E(cesty)NOV200'!Y7*Parametre!$C$98*Parametre!$C$222/1000)+('08_A Spotr. PHM_E(cesty)NOV200'!Y13*Parametre!$C$99*Parametre!$C$223/1000)</f>
        <v>19.572260718573165</v>
      </c>
      <c r="Z7" s="235">
        <f>('08_A Spotr. PHM_E(cesty)NOV200'!Z7*Parametre!$C$98*Parametre!$C$222/1000)+('08_A Spotr. PHM_E(cesty)NOV200'!Z13*Parametre!$C$99*Parametre!$C$223/1000)</f>
        <v>18.403705568433061</v>
      </c>
      <c r="AA7" s="235">
        <f>('08_A Spotr. PHM_E(cesty)NOV200'!AA7*Parametre!$C$98*Parametre!$C$222/1000)+('08_A Spotr. PHM_E(cesty)NOV200'!AA13*Parametre!$C$99*Parametre!$C$223/1000)</f>
        <v>17.235691846946168</v>
      </c>
      <c r="AB7" s="235">
        <f>('08_A Spotr. PHM_E(cesty)NOV200'!AB7*Parametre!$C$98*Parametre!$C$222/1000)+('08_A Spotr. PHM_E(cesty)NOV200'!AB13*Parametre!$C$99*Parametre!$C$223/1000)</f>
        <v>16.076322959421617</v>
      </c>
      <c r="AC7" s="235">
        <f>('08_A Spotr. PHM_E(cesty)NOV200'!AC7*Parametre!$C$98*Parametre!$C$222/1000)+('08_A Spotr. PHM_E(cesty)NOV200'!AC13*Parametre!$C$99*Parametre!$C$223/1000)</f>
        <v>14.921522604679776</v>
      </c>
      <c r="AD7" s="235">
        <f>('08_A Spotr. PHM_E(cesty)NOV200'!AD7*Parametre!$C$98*Parametre!$C$222/1000)+('08_A Spotr. PHM_E(cesty)NOV200'!AD13*Parametre!$C$99*Parametre!$C$223/1000)</f>
        <v>13.767246921556412</v>
      </c>
      <c r="AE7" s="235">
        <f>('08_A Spotr. PHM_E(cesty)NOV200'!AE7*Parametre!$C$98*Parametre!$C$222/1000)+('08_A Spotr. PHM_E(cesty)NOV200'!AE13*Parametre!$C$99*Parametre!$C$223/1000)</f>
        <v>12.621550819134754</v>
      </c>
      <c r="AF7" s="235">
        <f>('08_A Spotr. PHM_E(cesty)NOV200'!AF7*Parametre!$C$98*Parametre!$C$222/1000)+('08_A Spotr. PHM_E(cesty)NOV200'!AF13*Parametre!$C$99*Parametre!$C$223/1000)</f>
        <v>11.476368312403588</v>
      </c>
      <c r="AG7" s="235">
        <f>('08_A Spotr. PHM_E(cesty)NOV200'!AG7*Parametre!$C$98*Parametre!$C$222/1000)+('08_A Spotr. PHM_E(cesty)NOV200'!AG13*Parametre!$C$99*Parametre!$C$223/1000)</f>
        <v>10.339722140988114</v>
      </c>
      <c r="AH7" s="235">
        <f>('08_A Spotr. PHM_E(cesty)NOV200'!AH7*Parametre!$C$98*Parametre!$C$222/1000)+('08_A Spotr. PHM_E(cesty)NOV200'!AH13*Parametre!$C$99*Parametre!$C$223/1000)</f>
        <v>9.2035785694759902</v>
      </c>
      <c r="AI7" s="235">
        <f>('08_A Spotr. PHM_E(cesty)NOV200'!AI7*Parametre!$C$98*Parametre!$C$222/1000)+('08_A Spotr. PHM_E(cesty)NOV200'!AI13*Parametre!$C$99*Parametre!$C$223/1000)</f>
        <v>8.0759282965118029</v>
      </c>
      <c r="AJ7" s="235">
        <f>('08_A Spotr. PHM_E(cesty)NOV200'!AJ7*Parametre!$C$98*Parametre!$C$222/1000)+('08_A Spotr. PHM_E(cesty)NOV200'!AJ13*Parametre!$C$99*Parametre!$C$223/1000)</f>
        <v>6.9487697073410404</v>
      </c>
      <c r="AK7" s="235">
        <f>('08_A Spotr. PHM_E(cesty)NOV200'!AK7*Parametre!$C$98*Parametre!$C$222/1000)+('08_A Spotr. PHM_E(cesty)NOV200'!AK13*Parametre!$C$99*Parametre!$C$223/1000)</f>
        <v>5.8300615875919624</v>
      </c>
      <c r="AL7" s="235">
        <f>('08_A Spotr. PHM_E(cesty)NOV200'!AL7*Parametre!$C$98*Parametre!$C$222/1000)+('08_A Spotr. PHM_E(cesty)NOV200'!AL13*Parametre!$C$99*Parametre!$C$223/1000)</f>
        <v>4.7118343147424193</v>
      </c>
      <c r="AM7" s="235">
        <f>('08_A Spotr. PHM_E(cesty)NOV200'!AM7*Parametre!$C$98*Parametre!$C$222/1000)+('08_A Spotr. PHM_E(cesty)NOV200'!AM13*Parametre!$C$99*Parametre!$C$223/1000)</f>
        <v>3.6020148888575498</v>
      </c>
      <c r="AN7" s="235">
        <f>('08_A Spotr. PHM_E(cesty)NOV200'!AN7*Parametre!$C$98*Parametre!$C$222/1000)+('08_A Spotr. PHM_E(cesty)NOV200'!AN13*Parametre!$C$99*Parametre!$C$223/1000)</f>
        <v>2.4926655517355809</v>
      </c>
      <c r="AO7" s="235">
        <f>('08_A Spotr. PHM_E(cesty)NOV200'!AO7*Parametre!$C$98*Parametre!$C$222/1000)+('08_A Spotr. PHM_E(cesty)NOV200'!AO13*Parametre!$C$99*Parametre!$C$223/1000)</f>
        <v>1.3916816448227161</v>
      </c>
      <c r="AP7" s="235">
        <f>('08_A Spotr. PHM_E(cesty)NOV200'!AP7*Parametre!$C$98*Parametre!$C$222/1000)+('08_A Spotr. PHM_E(cesty)NOV200'!AP13*Parametre!$C$99*Parametre!$C$223/1000)</f>
        <v>0.29115714683695954</v>
      </c>
      <c r="AQ7" s="235">
        <f>('08_A Spotr. PHM_E(cesty)NOV200'!AQ7*Parametre!$C$98*Parametre!$C$222/1000)+('08_A Spotr. PHM_E(cesty)NOV200'!AQ13*Parametre!$C$99*Parametre!$C$223/1000)</f>
        <v>0</v>
      </c>
    </row>
    <row r="8" spans="2:43" x14ac:dyDescent="0.2">
      <c r="B8" s="405" t="s">
        <v>645</v>
      </c>
      <c r="C8" s="259" t="s">
        <v>9</v>
      </c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</row>
    <row r="9" spans="2:43" x14ac:dyDescent="0.2">
      <c r="B9" s="362" t="s">
        <v>685</v>
      </c>
      <c r="C9" s="363">
        <f>SUM(D9:AQ9)</f>
        <v>14377.450523574706</v>
      </c>
      <c r="D9" s="235">
        <f>('08_A Spotr. PHM_E(cesty)NOV200'!D7*Parametre!$C$98*Parametre!$D$222/1000)+('08_A Spotr. PHM_E(cesty)NOV200'!D13*Parametre!$C$99*Parametre!$D$223/1000)</f>
        <v>0</v>
      </c>
      <c r="E9" s="235">
        <f>('08_A Spotr. PHM_E(cesty)NOV200'!E7*Parametre!$C$98*Parametre!$D$222/1000)+('08_A Spotr. PHM_E(cesty)NOV200'!E13*Parametre!$C$99*Parametre!$D$223/1000)</f>
        <v>0</v>
      </c>
      <c r="F9" s="235">
        <f>('08_A Spotr. PHM_E(cesty)NOV200'!F7*Parametre!$C$98*Parametre!$D$222/1000)+('08_A Spotr. PHM_E(cesty)NOV200'!F13*Parametre!$C$99*Parametre!$D$223/1000)</f>
        <v>0</v>
      </c>
      <c r="G9" s="235">
        <f>('08_A Spotr. PHM_E(cesty)NOV200'!G7*Parametre!$C$98*Parametre!$D$222/1000)+('08_A Spotr. PHM_E(cesty)NOV200'!G13*Parametre!$C$99*Parametre!$D$223/1000)</f>
        <v>332.35671677367924</v>
      </c>
      <c r="H9" s="235">
        <f>('08_A Spotr. PHM_E(cesty)NOV200'!H7*Parametre!$C$98*Parametre!$D$222/1000)+('08_A Spotr. PHM_E(cesty)NOV200'!H13*Parametre!$C$99*Parametre!$D$223/1000)</f>
        <v>627.55232269489534</v>
      </c>
      <c r="I9" s="235">
        <f>('08_A Spotr. PHM_E(cesty)NOV200'!I7*Parametre!$C$98*Parametre!$D$222/1000)+('08_A Spotr. PHM_E(cesty)NOV200'!I13*Parametre!$C$99*Parametre!$D$223/1000)</f>
        <v>733.71704089096806</v>
      </c>
      <c r="J9" s="235">
        <f>('08_A Spotr. PHM_E(cesty)NOV200'!J7*Parametre!$C$98*Parametre!$D$222/1000)+('08_A Spotr. PHM_E(cesty)NOV200'!J13*Parametre!$C$99*Parametre!$D$223/1000)</f>
        <v>725.42763336594521</v>
      </c>
      <c r="K9" s="235">
        <f>('08_A Spotr. PHM_E(cesty)NOV200'!K7*Parametre!$C$98*Parametre!$D$222/1000)+('08_A Spotr. PHM_E(cesty)NOV200'!K13*Parametre!$C$99*Parametre!$D$223/1000)</f>
        <v>713.31945194827165</v>
      </c>
      <c r="L9" s="235">
        <f>('08_A Spotr. PHM_E(cesty)NOV200'!L7*Parametre!$C$98*Parametre!$D$222/1000)+('08_A Spotr. PHM_E(cesty)NOV200'!L13*Parametre!$C$99*Parametre!$D$223/1000)</f>
        <v>698.34934333136903</v>
      </c>
      <c r="M9" s="235">
        <f>('08_A Spotr. PHM_E(cesty)NOV200'!M7*Parametre!$C$98*Parametre!$D$222/1000)+('08_A Spotr. PHM_E(cesty)NOV200'!M13*Parametre!$C$99*Parametre!$D$223/1000)</f>
        <v>676.36929281470339</v>
      </c>
      <c r="N9" s="235">
        <f>('08_A Spotr. PHM_E(cesty)NOV200'!N7*Parametre!$C$98*Parametre!$D$222/1000)+('08_A Spotr. PHM_E(cesty)NOV200'!N13*Parametre!$C$99*Parametre!$D$223/1000)</f>
        <v>659.83102622916795</v>
      </c>
      <c r="O9" s="235">
        <f>('08_A Spotr. PHM_E(cesty)NOV200'!O7*Parametre!$C$98*Parametre!$D$222/1000)+('08_A Spotr. PHM_E(cesty)NOV200'!O13*Parametre!$C$99*Parametre!$D$223/1000)</f>
        <v>642.80969918440724</v>
      </c>
      <c r="P9" s="235">
        <f>('08_A Spotr. PHM_E(cesty)NOV200'!P7*Parametre!$C$98*Parametre!$D$222/1000)+('08_A Spotr. PHM_E(cesty)NOV200'!P13*Parametre!$C$99*Parametre!$D$223/1000)</f>
        <v>625.46746727634388</v>
      </c>
      <c r="Q9" s="235">
        <f>('08_A Spotr. PHM_E(cesty)NOV200'!Q7*Parametre!$C$98*Parametre!$D$222/1000)+('08_A Spotr. PHM_E(cesty)NOV200'!Q13*Parametre!$C$99*Parametre!$D$223/1000)</f>
        <v>607.62774993218295</v>
      </c>
      <c r="R9" s="235">
        <f>('08_A Spotr. PHM_E(cesty)NOV200'!R7*Parametre!$C$98*Parametre!$D$222/1000)+('08_A Spotr. PHM_E(cesty)NOV200'!R13*Parametre!$C$99*Parametre!$D$223/1000)</f>
        <v>589.45591492070912</v>
      </c>
      <c r="S9" s="235">
        <f>('08_A Spotr. PHM_E(cesty)NOV200'!S7*Parametre!$C$98*Parametre!$D$222/1000)+('08_A Spotr. PHM_E(cesty)NOV200'!S13*Parametre!$C$99*Parametre!$D$223/1000)</f>
        <v>563.99033782564834</v>
      </c>
      <c r="T9" s="235">
        <f>('08_A Spotr. PHM_E(cesty)NOV200'!T7*Parametre!$C$98*Parametre!$D$222/1000)+('08_A Spotr. PHM_E(cesty)NOV200'!T13*Parametre!$C$99*Parametre!$D$223/1000)</f>
        <v>538.71114009679445</v>
      </c>
      <c r="U9" s="235">
        <f>('08_A Spotr. PHM_E(cesty)NOV200'!U7*Parametre!$C$98*Parametre!$D$222/1000)+('08_A Spotr. PHM_E(cesty)NOV200'!U13*Parametre!$C$99*Parametre!$D$223/1000)</f>
        <v>513.44410206578152</v>
      </c>
      <c r="V9" s="235">
        <f>('08_A Spotr. PHM_E(cesty)NOV200'!V7*Parametre!$C$98*Parametre!$D$222/1000)+('08_A Spotr. PHM_E(cesty)NOV200'!V13*Parametre!$C$99*Parametre!$D$223/1000)</f>
        <v>488.36250507179193</v>
      </c>
      <c r="W9" s="235">
        <f>('08_A Spotr. PHM_E(cesty)NOV200'!W7*Parametre!$C$98*Parametre!$D$222/1000)+('08_A Spotr. PHM_E(cesty)NOV200'!W13*Parametre!$C$99*Parametre!$D$223/1000)</f>
        <v>463.29282601536909</v>
      </c>
      <c r="X9" s="235">
        <f>('08_A Spotr. PHM_E(cesty)NOV200'!X7*Parametre!$C$98*Parametre!$D$222/1000)+('08_A Spotr. PHM_E(cesty)NOV200'!X13*Parametre!$C$99*Parametre!$D$223/1000)</f>
        <v>438.40765418980482</v>
      </c>
      <c r="Y9" s="235">
        <f>('08_A Spotr. PHM_E(cesty)NOV200'!Y7*Parametre!$C$98*Parametre!$D$222/1000)+('08_A Spotr. PHM_E(cesty)NOV200'!Y13*Parametre!$C$99*Parametre!$D$223/1000)</f>
        <v>413.53416027951482</v>
      </c>
      <c r="Z9" s="235">
        <f>('08_A Spotr. PHM_E(cesty)NOV200'!Z7*Parametre!$C$98*Parametre!$D$222/1000)+('08_A Spotr. PHM_E(cesty)NOV200'!Z13*Parametre!$C$99*Parametre!$D$223/1000)</f>
        <v>388.84424429577149</v>
      </c>
      <c r="AA9" s="235">
        <f>('08_A Spotr. PHM_E(cesty)NOV200'!AA7*Parametre!$C$98*Parametre!$D$222/1000)+('08_A Spotr. PHM_E(cesty)NOV200'!AA13*Parametre!$C$99*Parametre!$D$223/1000)</f>
        <v>364.16576793296304</v>
      </c>
      <c r="AB9" s="235">
        <f>('08_A Spotr. PHM_E(cesty)NOV200'!AB7*Parametre!$C$98*Parametre!$D$222/1000)+('08_A Spotr. PHM_E(cesty)NOV200'!AB13*Parametre!$C$99*Parametre!$D$223/1000)</f>
        <v>339.66994467317494</v>
      </c>
      <c r="AC9" s="235">
        <f>('08_A Spotr. PHM_E(cesty)NOV200'!AC7*Parametre!$C$98*Parametre!$D$222/1000)+('08_A Spotr. PHM_E(cesty)NOV200'!AC13*Parametre!$C$99*Parametre!$D$223/1000)</f>
        <v>315.2706480433543</v>
      </c>
      <c r="AD9" s="235">
        <f>('08_A Spotr. PHM_E(cesty)NOV200'!AD7*Parametre!$C$98*Parametre!$D$222/1000)+('08_A Spotr. PHM_E(cesty)NOV200'!AD13*Parametre!$C$99*Parametre!$D$223/1000)</f>
        <v>290.88243698204769</v>
      </c>
      <c r="AE9" s="235">
        <f>('08_A Spotr. PHM_E(cesty)NOV200'!AE7*Parametre!$C$98*Parametre!$D$222/1000)+('08_A Spotr. PHM_E(cesty)NOV200'!AE13*Parametre!$C$99*Parametre!$D$223/1000)</f>
        <v>266.67550031474411</v>
      </c>
      <c r="AF9" s="235">
        <f>('08_A Spotr. PHM_E(cesty)NOV200'!AF7*Parametre!$C$98*Parametre!$D$222/1000)+('08_A Spotr. PHM_E(cesty)NOV200'!AF13*Parametre!$C$99*Parametre!$D$223/1000)</f>
        <v>242.47941519727658</v>
      </c>
      <c r="AG9" s="235">
        <f>('08_A Spotr. PHM_E(cesty)NOV200'!AG7*Parametre!$C$98*Parametre!$D$222/1000)+('08_A Spotr. PHM_E(cesty)NOV200'!AG13*Parametre!$C$99*Parametre!$D$223/1000)</f>
        <v>218.46369076002881</v>
      </c>
      <c r="AH9" s="235">
        <f>('08_A Spotr. PHM_E(cesty)NOV200'!AH7*Parametre!$C$98*Parametre!$D$222/1000)+('08_A Spotr. PHM_E(cesty)NOV200'!AH13*Parametre!$C$99*Parametre!$D$223/1000)</f>
        <v>194.45858554720155</v>
      </c>
      <c r="AI9" s="235">
        <f>('08_A Spotr. PHM_E(cesty)NOV200'!AI7*Parametre!$C$98*Parametre!$D$222/1000)+('08_A Spotr. PHM_E(cesty)NOV200'!AI13*Parametre!$C$99*Parametre!$D$223/1000)</f>
        <v>170.63293170861897</v>
      </c>
      <c r="AJ9" s="235">
        <f>('08_A Spotr. PHM_E(cesty)NOV200'!AJ7*Parametre!$C$98*Parametre!$D$222/1000)+('08_A Spotr. PHM_E(cesty)NOV200'!AJ13*Parametre!$C$99*Parametre!$D$223/1000)</f>
        <v>146.8176664525084</v>
      </c>
      <c r="AK9" s="235">
        <f>('08_A Spotr. PHM_E(cesty)NOV200'!AK7*Parametre!$C$98*Parametre!$D$222/1000)+('08_A Spotr. PHM_E(cesty)NOV200'!AK13*Parametre!$C$99*Parametre!$D$223/1000)</f>
        <v>123.18094765183857</v>
      </c>
      <c r="AL9" s="235">
        <f>('08_A Spotr. PHM_E(cesty)NOV200'!AL7*Parametre!$C$98*Parametre!$D$222/1000)+('08_A Spotr. PHM_E(cesty)NOV200'!AL13*Parametre!$C$99*Parametre!$D$223/1000)</f>
        <v>99.554388465414689</v>
      </c>
      <c r="AM9" s="235">
        <f>('08_A Spotr. PHM_E(cesty)NOV200'!AM7*Parametre!$C$98*Parametre!$D$222/1000)+('08_A Spotr. PHM_E(cesty)NOV200'!AM13*Parametre!$C$99*Parametre!$D$223/1000)</f>
        <v>76.105475182256129</v>
      </c>
      <c r="AN9" s="235">
        <f>('08_A Spotr. PHM_E(cesty)NOV200'!AN7*Parametre!$C$98*Parametre!$D$222/1000)+('08_A Spotr. PHM_E(cesty)NOV200'!AN13*Parametre!$C$99*Parametre!$D$223/1000)</f>
        <v>52.666494209146904</v>
      </c>
      <c r="AO9" s="235">
        <f>('08_A Spotr. PHM_E(cesty)NOV200'!AO7*Parametre!$C$98*Parametre!$D$222/1000)+('08_A Spotr. PHM_E(cesty)NOV200'!AO13*Parametre!$C$99*Parametre!$D$223/1000)</f>
        <v>29.404262933307731</v>
      </c>
      <c r="AP9" s="235">
        <f>('08_A Spotr. PHM_E(cesty)NOV200'!AP7*Parametre!$C$98*Parametre!$D$222/1000)+('08_A Spotr. PHM_E(cesty)NOV200'!AP13*Parametre!$C$99*Parametre!$D$223/1000)</f>
        <v>6.1517383177071743</v>
      </c>
      <c r="AQ9" s="235">
        <f>('08_A Spotr. PHM_E(cesty)NOV200'!AQ7*Parametre!$C$98*Parametre!$D$222/1000)+('08_A Spotr. PHM_E(cesty)NOV200'!AQ13*Parametre!$C$99*Parametre!$D$223/1000)</f>
        <v>0</v>
      </c>
    </row>
    <row r="10" spans="2:43" x14ac:dyDescent="0.2">
      <c r="B10" s="405" t="s">
        <v>136</v>
      </c>
      <c r="C10" s="259" t="s">
        <v>9</v>
      </c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</row>
    <row r="11" spans="2:43" x14ac:dyDescent="0.2">
      <c r="B11" s="362" t="s">
        <v>685</v>
      </c>
      <c r="C11" s="363">
        <f>SUM(D11:AQ11)</f>
        <v>27.143902647403493</v>
      </c>
      <c r="D11" s="235">
        <f>('08_A Spotr. PHM_E(cesty)NOV200'!D7*Parametre!$C$98*Parametre!$E$222/1000)+('08_A Spotr. PHM_E(cesty)NOV200'!D13*Parametre!$C$99*Parametre!$E$223/1000)</f>
        <v>0</v>
      </c>
      <c r="E11" s="235">
        <f>('08_A Spotr. PHM_E(cesty)NOV200'!E7*Parametre!$C$98*Parametre!$E$222/1000)+('08_A Spotr. PHM_E(cesty)NOV200'!E13*Parametre!$C$99*Parametre!$E$223/1000)</f>
        <v>0</v>
      </c>
      <c r="F11" s="235">
        <f>('08_A Spotr. PHM_E(cesty)NOV200'!F7*Parametre!$C$98*Parametre!$E$222/1000)+('08_A Spotr. PHM_E(cesty)NOV200'!F13*Parametre!$C$99*Parametre!$E$223/1000)</f>
        <v>0</v>
      </c>
      <c r="G11" s="235">
        <f>('08_A Spotr. PHM_E(cesty)NOV200'!G7*Parametre!$C$98*Parametre!$E$222/1000)+('08_A Spotr. PHM_E(cesty)NOV200'!G13*Parametre!$C$99*Parametre!$E$223/1000)</f>
        <v>0.62747274626491767</v>
      </c>
      <c r="H11" s="235">
        <f>('08_A Spotr. PHM_E(cesty)NOV200'!H7*Parametre!$C$98*Parametre!$E$222/1000)+('08_A Spotr. PHM_E(cesty)NOV200'!H13*Parametre!$C$99*Parametre!$E$223/1000)</f>
        <v>1.1847871863965842</v>
      </c>
      <c r="I11" s="235">
        <f>('08_A Spotr. PHM_E(cesty)NOV200'!I7*Parametre!$C$98*Parametre!$E$222/1000)+('08_A Spotr. PHM_E(cesty)NOV200'!I13*Parametre!$C$99*Parametre!$E$223/1000)</f>
        <v>1.3852208286878973</v>
      </c>
      <c r="J11" s="235">
        <f>('08_A Spotr. PHM_E(cesty)NOV200'!J7*Parametre!$C$98*Parametre!$E$222/1000)+('08_A Spotr. PHM_E(cesty)NOV200'!J13*Parametre!$C$99*Parametre!$E$223/1000)</f>
        <v>1.3695708446733508</v>
      </c>
      <c r="K11" s="235">
        <f>('08_A Spotr. PHM_E(cesty)NOV200'!K7*Parametre!$C$98*Parametre!$E$222/1000)+('08_A Spotr. PHM_E(cesty)NOV200'!K13*Parametre!$C$99*Parametre!$E$223/1000)</f>
        <v>1.3467112078344328</v>
      </c>
      <c r="L11" s="235">
        <f>('08_A Spotr. PHM_E(cesty)NOV200'!L7*Parametre!$C$98*Parametre!$E$222/1000)+('08_A Spotr. PHM_E(cesty)NOV200'!L13*Parametre!$C$99*Parametre!$E$223/1000)</f>
        <v>1.3184483965486646</v>
      </c>
      <c r="M11" s="235">
        <f>('08_A Spotr. PHM_E(cesty)NOV200'!M7*Parametre!$C$98*Parametre!$E$222/1000)+('08_A Spotr. PHM_E(cesty)NOV200'!M13*Parametre!$C$99*Parametre!$E$223/1000)</f>
        <v>1.2769511679245009</v>
      </c>
      <c r="N11" s="235">
        <f>('08_A Spotr. PHM_E(cesty)NOV200'!N7*Parametre!$C$98*Parametre!$E$222/1000)+('08_A Spotr. PHM_E(cesty)NOV200'!N13*Parametre!$C$99*Parametre!$E$223/1000)</f>
        <v>1.2457277533546858</v>
      </c>
      <c r="O11" s="235">
        <f>('08_A Spotr. PHM_E(cesty)NOV200'!O7*Parametre!$C$98*Parametre!$E$222/1000)+('08_A Spotr. PHM_E(cesty)NOV200'!O13*Parametre!$C$99*Parametre!$E$223/1000)</f>
        <v>1.2135923449611723</v>
      </c>
      <c r="P11" s="235">
        <f>('08_A Spotr. PHM_E(cesty)NOV200'!P7*Parametre!$C$98*Parametre!$E$222/1000)+('08_A Spotr. PHM_E(cesty)NOV200'!P13*Parametre!$C$99*Parametre!$E$223/1000)</f>
        <v>1.180851084344118</v>
      </c>
      <c r="Q11" s="235">
        <f>('08_A Spotr. PHM_E(cesty)NOV200'!Q7*Parametre!$C$98*Parametre!$E$222/1000)+('08_A Spotr. PHM_E(cesty)NOV200'!Q13*Parametre!$C$99*Parametre!$E$223/1000)</f>
        <v>1.1471705962733654</v>
      </c>
      <c r="R11" s="235">
        <f>('08_A Spotr. PHM_E(cesty)NOV200'!R7*Parametre!$C$98*Parametre!$E$222/1000)+('08_A Spotr. PHM_E(cesty)NOV200'!R13*Parametre!$C$99*Parametre!$E$223/1000)</f>
        <v>1.1128630867696923</v>
      </c>
      <c r="S11" s="235">
        <f>('08_A Spotr. PHM_E(cesty)NOV200'!S7*Parametre!$C$98*Parametre!$E$222/1000)+('08_A Spotr. PHM_E(cesty)NOV200'!S13*Parametre!$C$99*Parametre!$E$223/1000)</f>
        <v>1.0647853594706236</v>
      </c>
      <c r="T11" s="235">
        <f>('08_A Spotr. PHM_E(cesty)NOV200'!T7*Parametre!$C$98*Parametre!$E$222/1000)+('08_A Spotr. PHM_E(cesty)NOV200'!T13*Parametre!$C$99*Parametre!$E$223/1000)</f>
        <v>1.0170595070302797</v>
      </c>
      <c r="U11" s="235">
        <f>('08_A Spotr. PHM_E(cesty)NOV200'!U7*Parametre!$C$98*Parametre!$E$222/1000)+('08_A Spotr. PHM_E(cesty)NOV200'!U13*Parametre!$C$99*Parametre!$E$223/1000)</f>
        <v>0.96935661148718788</v>
      </c>
      <c r="V11" s="235">
        <f>('08_A Spotr. PHM_E(cesty)NOV200'!V7*Parametre!$C$98*Parametre!$E$222/1000)+('08_A Spotr. PHM_E(cesty)NOV200'!V13*Parametre!$C$99*Parametre!$E$223/1000)</f>
        <v>0.92200381928456931</v>
      </c>
      <c r="W11" s="235">
        <f>('08_A Spotr. PHM_E(cesty)NOV200'!W7*Parametre!$C$98*Parametre!$E$222/1000)+('08_A Spotr. PHM_E(cesty)NOV200'!W13*Parametre!$C$99*Parametre!$E$223/1000)</f>
        <v>0.87467352754797845</v>
      </c>
      <c r="X11" s="235">
        <f>('08_A Spotr. PHM_E(cesty)NOV200'!X7*Parametre!$C$98*Parametre!$E$222/1000)+('08_A Spotr. PHM_E(cesty)NOV200'!X13*Parametre!$C$99*Parametre!$E$223/1000)</f>
        <v>0.82769157617284139</v>
      </c>
      <c r="Y11" s="235">
        <f>('08_A Spotr. PHM_E(cesty)NOV200'!Y7*Parametre!$C$98*Parametre!$E$222/1000)+('08_A Spotr. PHM_E(cesty)NOV200'!Y13*Parametre!$C$99*Parametre!$E$223/1000)</f>
        <v>0.78073167211372962</v>
      </c>
      <c r="Z11" s="235">
        <f>('08_A Spotr. PHM_E(cesty)NOV200'!Z7*Parametre!$C$98*Parametre!$E$222/1000)+('08_A Spotr. PHM_E(cesty)NOV200'!Z13*Parametre!$C$99*Parametre!$E$223/1000)</f>
        <v>0.73411835393632363</v>
      </c>
      <c r="AA11" s="235">
        <f>('08_A Spotr. PHM_E(cesty)NOV200'!AA7*Parametre!$C$98*Parametre!$E$222/1000)+('08_A Spotr. PHM_E(cesty)NOV200'!AA13*Parametre!$C$99*Parametre!$E$223/1000)</f>
        <v>0.68752663318722873</v>
      </c>
      <c r="AB11" s="235">
        <f>('08_A Spotr. PHM_E(cesty)NOV200'!AB7*Parametre!$C$98*Parametre!$E$222/1000)+('08_A Spotr. PHM_E(cesty)NOV200'!AB13*Parametre!$C$99*Parametre!$E$223/1000)</f>
        <v>0.64127975229958922</v>
      </c>
      <c r="AC11" s="235">
        <f>('08_A Spotr. PHM_E(cesty)NOV200'!AC7*Parametre!$C$98*Parametre!$E$222/1000)+('08_A Spotr. PHM_E(cesty)NOV200'!AC13*Parametre!$C$99*Parametre!$E$223/1000)</f>
        <v>0.59521510882896767</v>
      </c>
      <c r="AD11" s="235">
        <f>('08_A Spotr. PHM_E(cesty)NOV200'!AD7*Parametre!$C$98*Parametre!$E$222/1000)+('08_A Spotr. PHM_E(cesty)NOV200'!AD13*Parametre!$C$99*Parametre!$E$223/1000)</f>
        <v>0.54917139435351392</v>
      </c>
      <c r="AE11" s="235">
        <f>('08_A Spotr. PHM_E(cesty)NOV200'!AE7*Parametre!$C$98*Parametre!$E$222/1000)+('08_A Spotr. PHM_E(cesty)NOV200'!AE13*Parametre!$C$99*Parametre!$E$223/1000)</f>
        <v>0.50346991680631248</v>
      </c>
      <c r="AF11" s="235">
        <f>('08_A Spotr. PHM_E(cesty)NOV200'!AF7*Parametre!$C$98*Parametre!$E$222/1000)+('08_A Spotr. PHM_E(cesty)NOV200'!AF13*Parametre!$C$99*Parametre!$E$223/1000)</f>
        <v>0.45778892643879832</v>
      </c>
      <c r="AG11" s="235">
        <f>('08_A Spotr. PHM_E(cesty)NOV200'!AG7*Parametre!$C$98*Parametre!$E$222/1000)+('08_A Spotr. PHM_E(cesty)NOV200'!AG13*Parametre!$C$99*Parametre!$E$223/1000)</f>
        <v>0.41244844795392133</v>
      </c>
      <c r="AH11" s="235">
        <f>('08_A Spotr. PHM_E(cesty)NOV200'!AH7*Parametre!$C$98*Parametre!$E$222/1000)+('08_A Spotr. PHM_E(cesty)NOV200'!AH13*Parametre!$C$99*Parametre!$E$223/1000)</f>
        <v>0.36712801803004536</v>
      </c>
      <c r="AI11" s="235">
        <f>('08_A Spotr. PHM_E(cesty)NOV200'!AI7*Parametre!$C$98*Parametre!$E$222/1000)+('08_A Spotr. PHM_E(cesty)NOV200'!AI13*Parametre!$C$99*Parametre!$E$223/1000)</f>
        <v>0.32214638326491152</v>
      </c>
      <c r="AJ11" s="235">
        <f>('08_A Spotr. PHM_E(cesty)NOV200'!AJ7*Parametre!$C$98*Parametre!$E$222/1000)+('08_A Spotr. PHM_E(cesty)NOV200'!AJ13*Parametre!$C$99*Parametre!$E$223/1000)</f>
        <v>0.27718436162039328</v>
      </c>
      <c r="AK11" s="235">
        <f>('08_A Spotr. PHM_E(cesty)NOV200'!AK7*Parametre!$C$98*Parametre!$E$222/1000)+('08_A Spotr. PHM_E(cesty)NOV200'!AK13*Parametre!$C$99*Parametre!$E$223/1000)</f>
        <v>0.23255942669348018</v>
      </c>
      <c r="AL11" s="235">
        <f>('08_A Spotr. PHM_E(cesty)NOV200'!AL7*Parametre!$C$98*Parametre!$E$222/1000)+('08_A Spotr. PHM_E(cesty)NOV200'!AL13*Parametre!$C$99*Parametre!$E$223/1000)</f>
        <v>0.18795367260670115</v>
      </c>
      <c r="AM11" s="235">
        <f>('08_A Spotr. PHM_E(cesty)NOV200'!AM7*Parametre!$C$98*Parametre!$E$222/1000)+('08_A Spotr. PHM_E(cesty)NOV200'!AM13*Parametre!$C$99*Parametre!$E$223/1000)</f>
        <v>0.14368330504036517</v>
      </c>
      <c r="AN11" s="235">
        <f>('08_A Spotr. PHM_E(cesty)NOV200'!AN7*Parametre!$C$98*Parametre!$E$222/1000)+('08_A Spotr. PHM_E(cesty)NOV200'!AN13*Parametre!$C$99*Parametre!$E$223/1000)</f>
        <v>9.9431689175285276E-2</v>
      </c>
      <c r="AO11" s="235">
        <f>('08_A Spotr. PHM_E(cesty)NOV200'!AO7*Parametre!$C$98*Parametre!$E$222/1000)+('08_A Spotr. PHM_E(cesty)NOV200'!AO13*Parametre!$C$99*Parametre!$E$223/1000)</f>
        <v>5.5513767838855643E-2</v>
      </c>
      <c r="AP11" s="235">
        <f>('08_A Spotr. PHM_E(cesty)NOV200'!AP7*Parametre!$C$98*Parametre!$E$222/1000)+('08_A Spotr. PHM_E(cesty)NOV200'!AP13*Parametre!$C$99*Parametre!$E$223/1000)</f>
        <v>1.1614172188201551E-2</v>
      </c>
      <c r="AQ11" s="235">
        <f>('08_A Spotr. PHM_E(cesty)NOV200'!AQ7*Parametre!$C$98*Parametre!$E$222/1000)+('08_A Spotr. PHM_E(cesty)NOV200'!AQ13*Parametre!$C$99*Parametre!$E$223/1000)</f>
        <v>0</v>
      </c>
    </row>
    <row r="12" spans="2:43" x14ac:dyDescent="0.2">
      <c r="B12" s="405" t="s">
        <v>133</v>
      </c>
      <c r="C12" s="259" t="s">
        <v>9</v>
      </c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</row>
    <row r="13" spans="2:43" x14ac:dyDescent="0.2">
      <c r="B13" s="362" t="s">
        <v>685</v>
      </c>
      <c r="C13" s="363">
        <f>SUM(D13:AQ13)</f>
        <v>8049.401832532576</v>
      </c>
      <c r="D13" s="235">
        <f>('08_A Spotr. PHM_E(cesty)NOV200'!D7*Parametre!$C$98*Parametre!$F$222/1000)+('08_A Spotr. PHM_E(cesty)NOV200'!D13*Parametre!$C$99*Parametre!$F$223/1000)</f>
        <v>0</v>
      </c>
      <c r="E13" s="235">
        <f>('08_A Spotr. PHM_E(cesty)NOV200'!E7*Parametre!$C$98*Parametre!$F$222/1000)+('08_A Spotr. PHM_E(cesty)NOV200'!E13*Parametre!$C$99*Parametre!$F$223/1000)</f>
        <v>0</v>
      </c>
      <c r="F13" s="235">
        <f>('08_A Spotr. PHM_E(cesty)NOV200'!F7*Parametre!$C$98*Parametre!$F$222/1000)+('08_A Spotr. PHM_E(cesty)NOV200'!F13*Parametre!$C$99*Parametre!$F$223/1000)</f>
        <v>0</v>
      </c>
      <c r="G13" s="235">
        <f>('08_A Spotr. PHM_E(cesty)NOV200'!G7*Parametre!$C$98*Parametre!$F$222/1000)+('08_A Spotr. PHM_E(cesty)NOV200'!G13*Parametre!$C$99*Parametre!$F$223/1000)</f>
        <v>186.07421118688035</v>
      </c>
      <c r="H13" s="235">
        <f>('08_A Spotr. PHM_E(cesty)NOV200'!H7*Parametre!$C$98*Parametre!$F$222/1000)+('08_A Spotr. PHM_E(cesty)NOV200'!H13*Parametre!$C$99*Parametre!$F$223/1000)</f>
        <v>351.34329330694271</v>
      </c>
      <c r="I13" s="235">
        <f>('08_A Spotr. PHM_E(cesty)NOV200'!I7*Parametre!$C$98*Parametre!$F$222/1000)+('08_A Spotr. PHM_E(cesty)NOV200'!I13*Parametre!$C$99*Parametre!$F$223/1000)</f>
        <v>410.78098539265329</v>
      </c>
      <c r="J13" s="235">
        <f>('08_A Spotr. PHM_E(cesty)NOV200'!J7*Parametre!$C$98*Parametre!$F$222/1000)+('08_A Spotr. PHM_E(cesty)NOV200'!J13*Parametre!$C$99*Parametre!$F$223/1000)</f>
        <v>406.14005325985829</v>
      </c>
      <c r="K13" s="235">
        <f>('08_A Spotr. PHM_E(cesty)NOV200'!K7*Parametre!$C$98*Parametre!$F$222/1000)+('08_A Spotr. PHM_E(cesty)NOV200'!K13*Parametre!$C$99*Parametre!$F$223/1000)</f>
        <v>399.36113111839467</v>
      </c>
      <c r="L13" s="235">
        <f>('08_A Spotr. PHM_E(cesty)NOV200'!L7*Parametre!$C$98*Parametre!$F$222/1000)+('08_A Spotr. PHM_E(cesty)NOV200'!L13*Parametre!$C$99*Parametre!$F$223/1000)</f>
        <v>390.97992197867109</v>
      </c>
      <c r="M13" s="235">
        <f>('08_A Spotr. PHM_E(cesty)NOV200'!M7*Parametre!$C$98*Parametre!$F$222/1000)+('08_A Spotr. PHM_E(cesty)NOV200'!M13*Parametre!$C$99*Parametre!$F$223/1000)</f>
        <v>378.67410610276869</v>
      </c>
      <c r="N13" s="235">
        <f>('08_A Spotr. PHM_E(cesty)NOV200'!N7*Parametre!$C$98*Parametre!$F$222/1000)+('08_A Spotr. PHM_E(cesty)NOV200'!N13*Parametre!$C$99*Parametre!$F$223/1000)</f>
        <v>369.41494342004972</v>
      </c>
      <c r="O13" s="235">
        <f>('08_A Spotr. PHM_E(cesty)NOV200'!O7*Parametre!$C$98*Parametre!$F$222/1000)+('08_A Spotr. PHM_E(cesty)NOV200'!O13*Parametre!$C$99*Parametre!$F$223/1000)</f>
        <v>359.88533308464457</v>
      </c>
      <c r="P13" s="235">
        <f>('08_A Spotr. PHM_E(cesty)NOV200'!P7*Parametre!$C$98*Parametre!$F$222/1000)+('08_A Spotr. PHM_E(cesty)NOV200'!P13*Parametre!$C$99*Parametre!$F$223/1000)</f>
        <v>350.17606000649511</v>
      </c>
      <c r="Q13" s="235">
        <f>('08_A Spotr. PHM_E(cesty)NOV200'!Q7*Parametre!$C$98*Parametre!$F$222/1000)+('08_A Spotr. PHM_E(cesty)NOV200'!Q13*Parametre!$C$99*Parametre!$F$223/1000)</f>
        <v>340.18826326558525</v>
      </c>
      <c r="R13" s="235">
        <f>('08_A Spotr. PHM_E(cesty)NOV200'!R7*Parametre!$C$98*Parametre!$F$222/1000)+('08_A Spotr. PHM_E(cesty)NOV200'!R13*Parametre!$C$99*Parametre!$F$223/1000)</f>
        <v>330.01452614842435</v>
      </c>
      <c r="S13" s="235">
        <f>('08_A Spotr. PHM_E(cesty)NOV200'!S7*Parametre!$C$98*Parametre!$F$222/1000)+('08_A Spotr. PHM_E(cesty)NOV200'!S13*Parametre!$C$99*Parametre!$F$223/1000)</f>
        <v>315.75729308757172</v>
      </c>
      <c r="T13" s="235">
        <f>('08_A Spotr. PHM_E(cesty)NOV200'!T7*Parametre!$C$98*Parametre!$F$222/1000)+('08_A Spotr. PHM_E(cesty)NOV200'!T13*Parametre!$C$99*Parametre!$F$223/1000)</f>
        <v>301.60440692809999</v>
      </c>
      <c r="U13" s="235">
        <f>('08_A Spotr. PHM_E(cesty)NOV200'!U7*Parametre!$C$98*Parametre!$F$222/1000)+('08_A Spotr. PHM_E(cesty)NOV200'!U13*Parametre!$C$99*Parametre!$F$223/1000)</f>
        <v>287.45832853290636</v>
      </c>
      <c r="V13" s="235">
        <f>('08_A Spotr. PHM_E(cesty)NOV200'!V7*Parametre!$C$98*Parametre!$F$222/1000)+('08_A Spotr. PHM_E(cesty)NOV200'!V13*Parametre!$C$99*Parametre!$F$223/1000)</f>
        <v>273.41607170335089</v>
      </c>
      <c r="W13" s="235">
        <f>('08_A Spotr. PHM_E(cesty)NOV200'!W7*Parametre!$C$98*Parametre!$F$222/1000)+('08_A Spotr. PHM_E(cesty)NOV200'!W13*Parametre!$C$99*Parametre!$F$223/1000)</f>
        <v>259.38048728545363</v>
      </c>
      <c r="X13" s="235">
        <f>('08_A Spotr. PHM_E(cesty)NOV200'!X7*Parametre!$C$98*Parametre!$F$222/1000)+('08_A Spotr. PHM_E(cesty)NOV200'!X13*Parametre!$C$99*Parametre!$F$223/1000)</f>
        <v>245.44820162972238</v>
      </c>
      <c r="Y13" s="235">
        <f>('08_A Spotr. PHM_E(cesty)NOV200'!Y7*Parametre!$C$98*Parametre!$F$222/1000)+('08_A Spotr. PHM_E(cesty)NOV200'!Y13*Parametre!$C$99*Parametre!$F$223/1000)</f>
        <v>231.52245400606125</v>
      </c>
      <c r="Z13" s="235">
        <f>('08_A Spotr. PHM_E(cesty)NOV200'!Z7*Parametre!$C$98*Parametre!$F$222/1000)+('08_A Spotr. PHM_E(cesty)NOV200'!Z13*Parametre!$C$99*Parametre!$F$223/1000)</f>
        <v>217.69948486151463</v>
      </c>
      <c r="AA13" s="235">
        <f>('08_A Spotr. PHM_E(cesty)NOV200'!AA7*Parametre!$C$98*Parametre!$F$222/1000)+('08_A Spotr. PHM_E(cesty)NOV200'!AA13*Parametre!$C$99*Parametre!$F$223/1000)</f>
        <v>203.88292033686676</v>
      </c>
      <c r="AB13" s="235">
        <f>('08_A Spotr. PHM_E(cesty)NOV200'!AB7*Parametre!$C$98*Parametre!$F$222/1000)+('08_A Spotr. PHM_E(cesty)NOV200'!AB13*Parametre!$C$99*Parametre!$F$223/1000)</f>
        <v>190.16861651690772</v>
      </c>
      <c r="AC13" s="235">
        <f>('08_A Spotr. PHM_E(cesty)NOV200'!AC7*Parametre!$C$98*Parametre!$F$222/1000)+('08_A Spotr. PHM_E(cesty)NOV200'!AC13*Parametre!$C$99*Parametre!$F$223/1000)</f>
        <v>176.50835438054725</v>
      </c>
      <c r="AD13" s="235">
        <f>('08_A Spotr. PHM_E(cesty)NOV200'!AD7*Parametre!$C$98*Parametre!$F$222/1000)+('08_A Spotr. PHM_E(cesty)NOV200'!AD13*Parametre!$C$99*Parametre!$F$223/1000)</f>
        <v>162.85429864325343</v>
      </c>
      <c r="AE13" s="235">
        <f>('08_A Spotr. PHM_E(cesty)NOV200'!AE7*Parametre!$C$98*Parametre!$F$222/1000)+('08_A Spotr. PHM_E(cesty)NOV200'!AE13*Parametre!$C$99*Parametre!$F$223/1000)</f>
        <v>149.30173172255388</v>
      </c>
      <c r="AF13" s="235">
        <f>('08_A Spotr. PHM_E(cesty)NOV200'!AF7*Parametre!$C$98*Parametre!$F$222/1000)+('08_A Spotr. PHM_E(cesty)NOV200'!AF13*Parametre!$C$99*Parametre!$F$223/1000)</f>
        <v>135.75524018253412</v>
      </c>
      <c r="AG13" s="235">
        <f>('08_A Spotr. PHM_E(cesty)NOV200'!AG7*Parametre!$C$98*Parametre!$F$222/1000)+('08_A Spotr. PHM_E(cesty)NOV200'!AG13*Parametre!$C$99*Parametre!$F$223/1000)</f>
        <v>122.30972590461639</v>
      </c>
      <c r="AH13" s="235">
        <f>('08_A Spotr. PHM_E(cesty)NOV200'!AH7*Parametre!$C$98*Parametre!$F$222/1000)+('08_A Spotr. PHM_E(cesty)NOV200'!AH13*Parametre!$C$99*Parametre!$F$223/1000)</f>
        <v>108.87015693698648</v>
      </c>
      <c r="AI13" s="235">
        <f>('08_A Spotr. PHM_E(cesty)NOV200'!AI7*Parametre!$C$98*Parametre!$F$222/1000)+('08_A Spotr. PHM_E(cesty)NOV200'!AI13*Parametre!$C$99*Parametre!$F$223/1000)</f>
        <v>95.53105614473489</v>
      </c>
      <c r="AJ13" s="235">
        <f>('08_A Spotr. PHM_E(cesty)NOV200'!AJ7*Parametre!$C$98*Parametre!$F$222/1000)+('08_A Spotr. PHM_E(cesty)NOV200'!AJ13*Parametre!$C$99*Parametre!$F$223/1000)</f>
        <v>82.197771534889952</v>
      </c>
      <c r="AK13" s="235">
        <f>('08_A Spotr. PHM_E(cesty)NOV200'!AK7*Parametre!$C$98*Parametre!$F$222/1000)+('08_A Spotr. PHM_E(cesty)NOV200'!AK13*Parametre!$C$99*Parametre!$F$223/1000)</f>
        <v>68.964448469914174</v>
      </c>
      <c r="AL13" s="235">
        <f>('08_A Spotr. PHM_E(cesty)NOV200'!AL7*Parametre!$C$98*Parametre!$F$222/1000)+('08_A Spotr. PHM_E(cesty)NOV200'!AL13*Parametre!$C$99*Parametre!$F$223/1000)</f>
        <v>55.736813396519075</v>
      </c>
      <c r="AM13" s="235">
        <f>('08_A Spotr. PHM_E(cesty)NOV200'!AM7*Parametre!$C$98*Parametre!$F$222/1000)+('08_A Spotr. PHM_E(cesty)NOV200'!AM13*Parametre!$C$99*Parametre!$F$223/1000)</f>
        <v>42.608635682197544</v>
      </c>
      <c r="AN13" s="235">
        <f>('08_A Spotr. PHM_E(cesty)NOV200'!AN7*Parametre!$C$98*Parametre!$F$222/1000)+('08_A Spotr. PHM_E(cesty)NOV200'!AN13*Parametre!$C$99*Parametre!$F$223/1000)</f>
        <v>29.48601870025907</v>
      </c>
      <c r="AO13" s="235">
        <f>('08_A Spotr. PHM_E(cesty)NOV200'!AO7*Parametre!$C$98*Parametre!$F$222/1000)+('08_A Spotr. PHM_E(cesty)NOV200'!AO13*Parametre!$C$99*Parametre!$F$223/1000)</f>
        <v>16.462357324863799</v>
      </c>
      <c r="AP13" s="235">
        <f>('08_A Spotr. PHM_E(cesty)NOV200'!AP7*Parametre!$C$98*Parametre!$F$222/1000)+('08_A Spotr. PHM_E(cesty)NOV200'!AP13*Parametre!$C$99*Parametre!$F$223/1000)</f>
        <v>3.4441303488833865</v>
      </c>
      <c r="AQ13" s="235">
        <f>('08_A Spotr. PHM_E(cesty)NOV200'!AQ7*Parametre!$C$98*Parametre!$F$222/1000)+('08_A Spotr. PHM_E(cesty)NOV200'!AQ13*Parametre!$C$99*Parametre!$F$223/1000)</f>
        <v>0</v>
      </c>
    </row>
    <row r="14" spans="2:43" x14ac:dyDescent="0.2">
      <c r="B14" s="405" t="s">
        <v>137</v>
      </c>
      <c r="C14" s="259" t="s">
        <v>9</v>
      </c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</row>
    <row r="15" spans="2:43" x14ac:dyDescent="0.2">
      <c r="B15" s="362" t="s">
        <v>685</v>
      </c>
      <c r="C15" s="363">
        <f>SUM(D15:AQ15)</f>
        <v>878.6389899899724</v>
      </c>
      <c r="D15" s="235">
        <f>('08_A Spotr. PHM_E(cesty)NOV200'!D7*Parametre!$C$98*Parametre!$G$222/1000)+('08_A Spotr. PHM_E(cesty)NOV200'!D13*Parametre!$C$99*Parametre!$G$223/1000)</f>
        <v>0</v>
      </c>
      <c r="E15" s="235">
        <f>('08_A Spotr. PHM_E(cesty)NOV200'!E7*Parametre!$C$98*Parametre!$G$222/1000)+('08_A Spotr. PHM_E(cesty)NOV200'!E13*Parametre!$C$99*Parametre!$G$223/1000)</f>
        <v>0</v>
      </c>
      <c r="F15" s="235">
        <f>('08_A Spotr. PHM_E(cesty)NOV200'!F7*Parametre!$C$98*Parametre!$G$222/1000)+('08_A Spotr. PHM_E(cesty)NOV200'!F13*Parametre!$C$99*Parametre!$G$223/1000)</f>
        <v>0</v>
      </c>
      <c r="G15" s="235">
        <f>('08_A Spotr. PHM_E(cesty)NOV200'!G7*Parametre!$C$98*Parametre!$G$222/1000)+('08_A Spotr. PHM_E(cesty)NOV200'!G13*Parametre!$C$99*Parametre!$G$223/1000)</f>
        <v>20.311081541444423</v>
      </c>
      <c r="H15" s="235">
        <f>('08_A Spotr. PHM_E(cesty)NOV200'!H7*Parametre!$C$98*Parametre!$G$222/1000)+('08_A Spotr. PHM_E(cesty)NOV200'!H13*Parametre!$C$99*Parametre!$G$223/1000)</f>
        <v>38.351162333988661</v>
      </c>
      <c r="I15" s="235">
        <f>('08_A Spotr. PHM_E(cesty)NOV200'!I7*Parametre!$C$98*Parametre!$G$222/1000)+('08_A Spotr. PHM_E(cesty)NOV200'!I13*Parametre!$C$99*Parametre!$G$223/1000)</f>
        <v>44.839131853717859</v>
      </c>
      <c r="J15" s="235">
        <f>('08_A Spotr. PHM_E(cesty)NOV200'!J7*Parametre!$C$98*Parametre!$G$222/1000)+('08_A Spotr. PHM_E(cesty)NOV200'!J13*Parametre!$C$99*Parametre!$G$223/1000)</f>
        <v>44.332547140144428</v>
      </c>
      <c r="K15" s="235">
        <f>('08_A Spotr. PHM_E(cesty)NOV200'!K7*Parametre!$C$98*Parametre!$G$222/1000)+('08_A Spotr. PHM_E(cesty)NOV200'!K13*Parametre!$C$99*Parametre!$G$223/1000)</f>
        <v>43.592588391964711</v>
      </c>
      <c r="L15" s="235">
        <f>('08_A Spotr. PHM_E(cesty)NOV200'!L7*Parametre!$C$98*Parametre!$G$222/1000)+('08_A Spotr. PHM_E(cesty)NOV200'!L13*Parametre!$C$99*Parametre!$G$223/1000)</f>
        <v>42.677730706060807</v>
      </c>
      <c r="M15" s="235">
        <f>('08_A Spotr. PHM_E(cesty)NOV200'!M7*Parametre!$C$98*Parametre!$G$222/1000)+('08_A Spotr. PHM_E(cesty)NOV200'!M13*Parametre!$C$99*Parametre!$G$223/1000)</f>
        <v>41.334479386626612</v>
      </c>
      <c r="N15" s="235">
        <f>('08_A Spotr. PHM_E(cesty)NOV200'!N7*Parametre!$C$98*Parametre!$G$222/1000)+('08_A Spotr. PHM_E(cesty)NOV200'!N13*Parametre!$C$99*Parametre!$G$223/1000)</f>
        <v>40.323787969182817</v>
      </c>
      <c r="O15" s="235">
        <f>('08_A Spotr. PHM_E(cesty)NOV200'!O7*Parametre!$C$98*Parametre!$G$222/1000)+('08_A Spotr. PHM_E(cesty)NOV200'!O13*Parametre!$C$99*Parametre!$G$223/1000)</f>
        <v>39.28357561871254</v>
      </c>
      <c r="P15" s="235">
        <f>('08_A Spotr. PHM_E(cesty)NOV200'!P7*Parametre!$C$98*Parametre!$G$222/1000)+('08_A Spotr. PHM_E(cesty)NOV200'!P13*Parametre!$C$99*Parametre!$G$223/1000)</f>
        <v>38.22375203574228</v>
      </c>
      <c r="Q15" s="235">
        <f>('08_A Spotr. PHM_E(cesty)NOV200'!Q7*Parametre!$C$98*Parametre!$G$222/1000)+('08_A Spotr. PHM_E(cesty)NOV200'!Q13*Parametre!$C$99*Parametre!$G$223/1000)</f>
        <v>37.133525976311347</v>
      </c>
      <c r="R15" s="235">
        <f>('08_A Spotr. PHM_E(cesty)NOV200'!R7*Parametre!$C$98*Parametre!$G$222/1000)+('08_A Spotr. PHM_E(cesty)NOV200'!R13*Parametre!$C$99*Parametre!$G$223/1000)</f>
        <v>36.0230034442</v>
      </c>
      <c r="S15" s="235">
        <f>('08_A Spotr. PHM_E(cesty)NOV200'!S7*Parametre!$C$98*Parametre!$G$222/1000)+('08_A Spotr. PHM_E(cesty)NOV200'!S13*Parametre!$C$99*Parametre!$G$223/1000)</f>
        <v>34.466743598156526</v>
      </c>
      <c r="T15" s="235">
        <f>('08_A Spotr. PHM_E(cesty)NOV200'!T7*Parametre!$C$98*Parametre!$G$222/1000)+('08_A Spotr. PHM_E(cesty)NOV200'!T13*Parametre!$C$99*Parametre!$G$223/1000)</f>
        <v>32.921873822822086</v>
      </c>
      <c r="U15" s="235">
        <f>('08_A Spotr. PHM_E(cesty)NOV200'!U7*Parametre!$C$98*Parametre!$G$222/1000)+('08_A Spotr. PHM_E(cesty)NOV200'!U13*Parametre!$C$99*Parametre!$G$223/1000)</f>
        <v>31.377747154522652</v>
      </c>
      <c r="V15" s="235">
        <f>('08_A Spotr. PHM_E(cesty)NOV200'!V7*Parametre!$C$98*Parametre!$G$222/1000)+('08_A Spotr. PHM_E(cesty)NOV200'!V13*Parametre!$C$99*Parametre!$G$223/1000)</f>
        <v>29.844953213482871</v>
      </c>
      <c r="W15" s="235">
        <f>('08_A Spotr. PHM_E(cesty)NOV200'!W7*Parametre!$C$98*Parametre!$G$222/1000)+('08_A Spotr. PHM_E(cesty)NOV200'!W13*Parametre!$C$99*Parametre!$G$223/1000)</f>
        <v>28.31288760495303</v>
      </c>
      <c r="X15" s="235">
        <f>('08_A Spotr. PHM_E(cesty)NOV200'!X7*Parametre!$C$98*Parametre!$G$222/1000)+('08_A Spotr. PHM_E(cesty)NOV200'!X13*Parametre!$C$99*Parametre!$G$223/1000)</f>
        <v>26.792097656645534</v>
      </c>
      <c r="Y15" s="235">
        <f>('08_A Spotr. PHM_E(cesty)NOV200'!Y7*Parametre!$C$98*Parametre!$G$222/1000)+('08_A Spotr. PHM_E(cesty)NOV200'!Y13*Parametre!$C$99*Parametre!$G$223/1000)</f>
        <v>25.272021372534972</v>
      </c>
      <c r="Z15" s="235">
        <f>('08_A Spotr. PHM_E(cesty)NOV200'!Z7*Parametre!$C$98*Parametre!$G$222/1000)+('08_A Spotr. PHM_E(cesty)NOV200'!Z13*Parametre!$C$99*Parametre!$G$223/1000)</f>
        <v>23.763163956728</v>
      </c>
      <c r="AA15" s="235">
        <f>('08_A Spotr. PHM_E(cesty)NOV200'!AA7*Parametre!$C$98*Parametre!$G$222/1000)+('08_A Spotr. PHM_E(cesty)NOV200'!AA13*Parametre!$C$99*Parametre!$G$223/1000)</f>
        <v>22.255005642404122</v>
      </c>
      <c r="AB15" s="235">
        <f>('08_A Spotr. PHM_E(cesty)NOV200'!AB7*Parametre!$C$98*Parametre!$G$222/1000)+('08_A Spotr. PHM_E(cesty)NOV200'!AB13*Parametre!$C$99*Parametre!$G$223/1000)</f>
        <v>20.758009678296169</v>
      </c>
      <c r="AC15" s="235">
        <f>('08_A Spotr. PHM_E(cesty)NOV200'!AC7*Parametre!$C$98*Parametre!$G$222/1000)+('08_A Spotr. PHM_E(cesty)NOV200'!AC13*Parametre!$C$99*Parametre!$G$223/1000)</f>
        <v>19.266912678022088</v>
      </c>
      <c r="AD15" s="235">
        <f>('08_A Spotr. PHM_E(cesty)NOV200'!AD7*Parametre!$C$98*Parametre!$G$222/1000)+('08_A Spotr. PHM_E(cesty)NOV200'!AD13*Parametre!$C$99*Parametre!$G$223/1000)</f>
        <v>17.776493142275289</v>
      </c>
      <c r="AE15" s="235">
        <f>('08_A Spotr. PHM_E(cesty)NOV200'!AE7*Parametre!$C$98*Parametre!$G$222/1000)+('08_A Spotr. PHM_E(cesty)NOV200'!AE13*Parametre!$C$99*Parametre!$G$223/1000)</f>
        <v>16.297151700672988</v>
      </c>
      <c r="AF15" s="235">
        <f>('08_A Spotr. PHM_E(cesty)NOV200'!AF7*Parametre!$C$98*Parametre!$G$222/1000)+('08_A Spotr. PHM_E(cesty)NOV200'!AF13*Parametre!$C$99*Parametre!$G$223/1000)</f>
        <v>14.818473422179615</v>
      </c>
      <c r="AG15" s="235">
        <f>('08_A Spotr. PHM_E(cesty)NOV200'!AG7*Parametre!$C$98*Parametre!$G$222/1000)+('08_A Spotr. PHM_E(cesty)NOV200'!AG13*Parametre!$C$99*Parametre!$G$223/1000)</f>
        <v>13.350817398684953</v>
      </c>
      <c r="AH15" s="235">
        <f>('08_A Spotr. PHM_E(cesty)NOV200'!AH7*Parametre!$C$98*Parametre!$G$222/1000)+('08_A Spotr. PHM_E(cesty)NOV200'!AH13*Parametre!$C$99*Parametre!$G$223/1000)</f>
        <v>11.883810340360023</v>
      </c>
      <c r="AI15" s="235">
        <f>('08_A Spotr. PHM_E(cesty)NOV200'!AI7*Parametre!$C$98*Parametre!$G$222/1000)+('08_A Spotr. PHM_E(cesty)NOV200'!AI13*Parametre!$C$99*Parametre!$G$223/1000)</f>
        <v>10.427769967259303</v>
      </c>
      <c r="AJ15" s="235">
        <f>('08_A Spotr. PHM_E(cesty)NOV200'!AJ7*Parametre!$C$98*Parametre!$G$222/1000)+('08_A Spotr. PHM_E(cesty)NOV200'!AJ13*Parametre!$C$99*Parametre!$G$223/1000)</f>
        <v>8.9723644642696367</v>
      </c>
      <c r="AK15" s="235">
        <f>('08_A Spotr. PHM_E(cesty)NOV200'!AK7*Parametre!$C$98*Parametre!$G$222/1000)+('08_A Spotr. PHM_E(cesty)NOV200'!AK13*Parametre!$C$99*Parametre!$G$223/1000)</f>
        <v>7.5278703448397692</v>
      </c>
      <c r="AL15" s="235">
        <f>('08_A Spotr. PHM_E(cesty)NOV200'!AL7*Parametre!$C$98*Parametre!$G$222/1000)+('08_A Spotr. PHM_E(cesty)NOV200'!AL13*Parametre!$C$99*Parametre!$G$223/1000)</f>
        <v>6.0839971027473085</v>
      </c>
      <c r="AM15" s="235">
        <f>('08_A Spotr. PHM_E(cesty)NOV200'!AM7*Parametre!$C$98*Parametre!$G$222/1000)+('08_A Spotr. PHM_E(cesty)NOV200'!AM13*Parametre!$C$99*Parametre!$G$223/1000)</f>
        <v>4.6509802094049242</v>
      </c>
      <c r="AN15" s="235">
        <f>('08_A Spotr. PHM_E(cesty)NOV200'!AN7*Parametre!$C$98*Parametre!$G$222/1000)+('08_A Spotr. PHM_E(cesty)NOV200'!AN13*Parametre!$C$99*Parametre!$G$223/1000)</f>
        <v>3.2185703023189469</v>
      </c>
      <c r="AO15" s="235">
        <f>('08_A Spotr. PHM_E(cesty)NOV200'!AO7*Parametre!$C$98*Parametre!$G$222/1000)+('08_A Spotr. PHM_E(cesty)NOV200'!AO13*Parametre!$C$99*Parametre!$G$223/1000)</f>
        <v>1.7969619747783674</v>
      </c>
      <c r="AP15" s="235">
        <f>('08_A Spotr. PHM_E(cesty)NOV200'!AP7*Parametre!$C$98*Parametre!$G$222/1000)+('08_A Spotr. PHM_E(cesty)NOV200'!AP13*Parametre!$C$99*Parametre!$G$223/1000)</f>
        <v>0.37594684351651941</v>
      </c>
      <c r="AQ15" s="235">
        <f>('08_A Spotr. PHM_E(cesty)NOV200'!AQ7*Parametre!$C$98*Parametre!$G$222/1000)+('08_A Spotr. PHM_E(cesty)NOV200'!AQ13*Parametre!$C$99*Parametre!$G$223/1000)</f>
        <v>0</v>
      </c>
    </row>
    <row r="16" spans="2:43" x14ac:dyDescent="0.2">
      <c r="B16" s="305"/>
      <c r="C16" s="305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</row>
    <row r="17" spans="2:43" x14ac:dyDescent="0.2">
      <c r="B17" s="305"/>
      <c r="C17" s="306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AQ76"/>
  <sheetViews>
    <sheetView zoomScale="90" zoomScaleNormal="90" workbookViewId="0"/>
  </sheetViews>
  <sheetFormatPr defaultColWidth="9.140625" defaultRowHeight="11.25" x14ac:dyDescent="0.2"/>
  <cols>
    <col min="1" max="1" width="3.85546875" style="30" customWidth="1"/>
    <col min="2" max="2" width="43" style="30" customWidth="1"/>
    <col min="3" max="3" width="12.5703125" style="30" bestFit="1" customWidth="1"/>
    <col min="4" max="43" width="10.140625" style="30" bestFit="1" customWidth="1"/>
    <col min="44" max="16384" width="9.140625" style="30"/>
  </cols>
  <sheetData>
    <row r="2" spans="2:43" x14ac:dyDescent="0.2">
      <c r="B2" s="733" t="s">
        <v>453</v>
      </c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737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x14ac:dyDescent="0.2">
      <c r="B4" s="34" t="s">
        <v>33</v>
      </c>
      <c r="C4" s="34" t="s">
        <v>9</v>
      </c>
      <c r="D4" s="35">
        <f>Parametre!C13</f>
        <v>2026</v>
      </c>
      <c r="E4" s="35">
        <f>$D$4+D3</f>
        <v>2027</v>
      </c>
      <c r="F4" s="35">
        <f>$D$4+E3</f>
        <v>2028</v>
      </c>
      <c r="G4" s="35">
        <f t="shared" ref="G4:AG4" si="0">$D$4+F3</f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si="0"/>
        <v>2055</v>
      </c>
      <c r="AH4" s="35">
        <f t="shared" ref="AH4" si="1">$D$4+AG3</f>
        <v>2056</v>
      </c>
      <c r="AI4" s="35">
        <f t="shared" ref="AI4" si="2">$D$4+AH3</f>
        <v>2057</v>
      </c>
      <c r="AJ4" s="35">
        <f t="shared" ref="AJ4" si="3">$D$4+AI3</f>
        <v>2058</v>
      </c>
      <c r="AK4" s="35">
        <f t="shared" ref="AK4" si="4">$D$4+AJ3</f>
        <v>2059</v>
      </c>
      <c r="AL4" s="35">
        <f t="shared" ref="AL4" si="5">$D$4+AK3</f>
        <v>2060</v>
      </c>
      <c r="AM4" s="35">
        <f t="shared" ref="AM4" si="6">$D$4+AL3</f>
        <v>2061</v>
      </c>
      <c r="AN4" s="35">
        <f t="shared" ref="AN4" si="7">$D$4+AM3</f>
        <v>2062</v>
      </c>
      <c r="AO4" s="35">
        <f t="shared" ref="AO4" si="8">$D$4+AN3</f>
        <v>2063</v>
      </c>
      <c r="AP4" s="35">
        <f t="shared" ref="AP4" si="9">$D$4+AO3</f>
        <v>2064</v>
      </c>
      <c r="AQ4" s="35">
        <f t="shared" ref="AQ4" si="10">$D$4+AP3</f>
        <v>2065</v>
      </c>
    </row>
    <row r="5" spans="2:43" x14ac:dyDescent="0.2">
      <c r="B5" s="31" t="s">
        <v>150</v>
      </c>
      <c r="C5" s="37">
        <f>SUM(D5:AQ5)</f>
        <v>0</v>
      </c>
      <c r="D5" s="121">
        <f>'11a Znečisťujúce l.(voz.)NOV200'!D6*Parametre!$C$107/1000</f>
        <v>0</v>
      </c>
      <c r="E5" s="121">
        <f>'11a Znečisťujúce l.(voz.)NOV200'!E6*Parametre!$C$107/1000</f>
        <v>0</v>
      </c>
      <c r="F5" s="121">
        <f>'11a Znečisťujúce l.(voz.)NOV200'!F6*Parametre!$C$107/1000</f>
        <v>0</v>
      </c>
      <c r="G5" s="121">
        <f>'11a Znečisťujúce l.(voz.)NOV200'!G6*Parametre!$C$107/1000</f>
        <v>0</v>
      </c>
      <c r="H5" s="121">
        <f>'11a Znečisťujúce l.(voz.)NOV200'!H6*Parametre!$C$107/1000</f>
        <v>0</v>
      </c>
      <c r="I5" s="121">
        <f>'11a Znečisťujúce l.(voz.)NOV200'!I6*Parametre!$C$107/1000</f>
        <v>0</v>
      </c>
      <c r="J5" s="121">
        <f>'11a Znečisťujúce l.(voz.)NOV200'!J6*Parametre!$C$107/1000</f>
        <v>0</v>
      </c>
      <c r="K5" s="121">
        <f>'11a Znečisťujúce l.(voz.)NOV200'!K6*Parametre!$C$107/1000</f>
        <v>0</v>
      </c>
      <c r="L5" s="121">
        <f>'11a Znečisťujúce l.(voz.)NOV200'!L6*Parametre!$C$107/1000</f>
        <v>0</v>
      </c>
      <c r="M5" s="121">
        <f>'11a Znečisťujúce l.(voz.)NOV200'!M6*Parametre!$C$107/1000</f>
        <v>0</v>
      </c>
      <c r="N5" s="121">
        <f>'11a Znečisťujúce l.(voz.)NOV200'!N6*Parametre!$C$107/1000</f>
        <v>0</v>
      </c>
      <c r="O5" s="121">
        <f>'11a Znečisťujúce l.(voz.)NOV200'!O6*Parametre!$C$107/1000</f>
        <v>0</v>
      </c>
      <c r="P5" s="121">
        <f>'11a Znečisťujúce l.(voz.)NOV200'!P6*Parametre!$C$107/1000</f>
        <v>0</v>
      </c>
      <c r="Q5" s="121">
        <f>'11a Znečisťujúce l.(voz.)NOV200'!Q6*Parametre!$C$107/1000</f>
        <v>0</v>
      </c>
      <c r="R5" s="121">
        <f>'11a Znečisťujúce l.(voz.)NOV200'!R6*Parametre!$C$107/1000</f>
        <v>0</v>
      </c>
      <c r="S5" s="121">
        <f>'11a Znečisťujúce l.(voz.)NOV200'!S6*Parametre!$C$107/1000</f>
        <v>0</v>
      </c>
      <c r="T5" s="121">
        <f>'11a Znečisťujúce l.(voz.)NOV200'!T6*Parametre!$C$107/1000</f>
        <v>0</v>
      </c>
      <c r="U5" s="121">
        <f>'11a Znečisťujúce l.(voz.)NOV200'!U6*Parametre!$C$107/1000</f>
        <v>0</v>
      </c>
      <c r="V5" s="121">
        <f>'11a Znečisťujúce l.(voz.)NOV200'!V6*Parametre!$C$107/1000</f>
        <v>0</v>
      </c>
      <c r="W5" s="121">
        <f>'11a Znečisťujúce l.(voz.)NOV200'!W6*Parametre!$C$107/1000</f>
        <v>0</v>
      </c>
      <c r="X5" s="121">
        <f>'11a Znečisťujúce l.(voz.)NOV200'!X6*Parametre!$C$107/1000</f>
        <v>0</v>
      </c>
      <c r="Y5" s="121">
        <f>'11a Znečisťujúce l.(voz.)NOV200'!Y6*Parametre!$C$107/1000</f>
        <v>0</v>
      </c>
      <c r="Z5" s="121">
        <f>'11a Znečisťujúce l.(voz.)NOV200'!Z6*Parametre!$C$107/1000</f>
        <v>0</v>
      </c>
      <c r="AA5" s="121">
        <f>'11a Znečisťujúce l.(voz.)NOV200'!AA6*Parametre!$C$107/1000</f>
        <v>0</v>
      </c>
      <c r="AB5" s="121">
        <f>'11a Znečisťujúce l.(voz.)NOV200'!AB6*Parametre!$C$107/1000</f>
        <v>0</v>
      </c>
      <c r="AC5" s="121">
        <f>'11a Znečisťujúce l.(voz.)NOV200'!AC6*Parametre!$C$107/1000</f>
        <v>0</v>
      </c>
      <c r="AD5" s="121">
        <f>'11a Znečisťujúce l.(voz.)NOV200'!AD6*Parametre!$C$107/1000</f>
        <v>0</v>
      </c>
      <c r="AE5" s="121">
        <f>'11a Znečisťujúce l.(voz.)NOV200'!AE6*Parametre!$C$107/1000</f>
        <v>0</v>
      </c>
      <c r="AF5" s="121">
        <f>'11a Znečisťujúce l.(voz.)NOV200'!AF6*Parametre!$C$107/1000</f>
        <v>0</v>
      </c>
      <c r="AG5" s="121">
        <f>'11a Znečisťujúce l.(voz.)NOV200'!AG6*Parametre!$C$107/1000</f>
        <v>0</v>
      </c>
      <c r="AH5" s="121">
        <f>'11a Znečisťujúce l.(voz.)NOV200'!AH6*Parametre!$C$107/1000</f>
        <v>0</v>
      </c>
      <c r="AI5" s="121">
        <f>'11a Znečisťujúce l.(voz.)NOV200'!AI6*Parametre!$C$107/1000</f>
        <v>0</v>
      </c>
      <c r="AJ5" s="121">
        <f>'11a Znečisťujúce l.(voz.)NOV200'!AJ6*Parametre!$C$107/1000</f>
        <v>0</v>
      </c>
      <c r="AK5" s="121">
        <f>'11a Znečisťujúce l.(voz.)NOV200'!AK6*Parametre!$C$107/1000</f>
        <v>0</v>
      </c>
      <c r="AL5" s="121">
        <f>'11a Znečisťujúce l.(voz.)NOV200'!AL6*Parametre!$C$107/1000</f>
        <v>0</v>
      </c>
      <c r="AM5" s="121">
        <f>'11a Znečisťujúce l.(voz.)NOV200'!AM6*Parametre!$C$107/1000</f>
        <v>0</v>
      </c>
      <c r="AN5" s="121">
        <f>'11a Znečisťujúce l.(voz.)NOV200'!AN6*Parametre!$C$107/1000</f>
        <v>0</v>
      </c>
      <c r="AO5" s="121">
        <f>'11a Znečisťujúce l.(voz.)NOV200'!AO6*Parametre!$C$107/1000</f>
        <v>0</v>
      </c>
      <c r="AP5" s="121">
        <f>'11a Znečisťujúce l.(voz.)NOV200'!AP6*Parametre!$C$107/1000</f>
        <v>0</v>
      </c>
      <c r="AQ5" s="121">
        <f>'11a Znečisťujúce l.(voz.)NOV200'!AQ6*Parametre!$C$107/1000</f>
        <v>0</v>
      </c>
    </row>
    <row r="6" spans="2:43" x14ac:dyDescent="0.2">
      <c r="B6" s="31" t="s">
        <v>151</v>
      </c>
      <c r="C6" s="37">
        <f t="shared" ref="C6:C8" si="11">SUM(D6:AQ6)</f>
        <v>0</v>
      </c>
      <c r="D6" s="121">
        <f>'12a_A Skleník. p. (voz.)NOV200 '!D20</f>
        <v>0</v>
      </c>
      <c r="E6" s="121">
        <f>'12a_A Skleník. p. (voz.)NOV200 '!E20</f>
        <v>0</v>
      </c>
      <c r="F6" s="121">
        <f>'12a_A Skleník. p. (voz.)NOV200 '!F20</f>
        <v>0</v>
      </c>
      <c r="G6" s="121">
        <f>'12a_A Skleník. p. (voz.)NOV200 '!G20</f>
        <v>0</v>
      </c>
      <c r="H6" s="121">
        <f>'12a_A Skleník. p. (voz.)NOV200 '!H20</f>
        <v>0</v>
      </c>
      <c r="I6" s="121">
        <f>'12a_A Skleník. p. (voz.)NOV200 '!I20</f>
        <v>0</v>
      </c>
      <c r="J6" s="121">
        <f>'12a_A Skleník. p. (voz.)NOV200 '!J20</f>
        <v>0</v>
      </c>
      <c r="K6" s="121">
        <f>'12a_A Skleník. p. (voz.)NOV200 '!K20</f>
        <v>0</v>
      </c>
      <c r="L6" s="121">
        <f>'12a_A Skleník. p. (voz.)NOV200 '!L20</f>
        <v>0</v>
      </c>
      <c r="M6" s="121">
        <f>'12a_A Skleník. p. (voz.)NOV200 '!M20</f>
        <v>0</v>
      </c>
      <c r="N6" s="121">
        <f>'12a_A Skleník. p. (voz.)NOV200 '!N20</f>
        <v>0</v>
      </c>
      <c r="O6" s="121">
        <f>'12a_A Skleník. p. (voz.)NOV200 '!O20</f>
        <v>0</v>
      </c>
      <c r="P6" s="121">
        <f>'12a_A Skleník. p. (voz.)NOV200 '!P20</f>
        <v>0</v>
      </c>
      <c r="Q6" s="121">
        <f>'12a_A Skleník. p. (voz.)NOV200 '!Q20</f>
        <v>0</v>
      </c>
      <c r="R6" s="121">
        <f>'12a_A Skleník. p. (voz.)NOV200 '!R20</f>
        <v>0</v>
      </c>
      <c r="S6" s="121">
        <f>'12a_A Skleník. p. (voz.)NOV200 '!S20</f>
        <v>0</v>
      </c>
      <c r="T6" s="121">
        <f>'12a_A Skleník. p. (voz.)NOV200 '!T20</f>
        <v>0</v>
      </c>
      <c r="U6" s="121">
        <f>'12a_A Skleník. p. (voz.)NOV200 '!U20</f>
        <v>0</v>
      </c>
      <c r="V6" s="121">
        <f>'12a_A Skleník. p. (voz.)NOV200 '!V20</f>
        <v>0</v>
      </c>
      <c r="W6" s="121">
        <f>'12a_A Skleník. p. (voz.)NOV200 '!W20</f>
        <v>0</v>
      </c>
      <c r="X6" s="121">
        <f>'12a_A Skleník. p. (voz.)NOV200 '!X20</f>
        <v>0</v>
      </c>
      <c r="Y6" s="121">
        <f>'12a_A Skleník. p. (voz.)NOV200 '!Y20</f>
        <v>0</v>
      </c>
      <c r="Z6" s="121">
        <f>'12a_A Skleník. p. (voz.)NOV200 '!Z20</f>
        <v>0</v>
      </c>
      <c r="AA6" s="121">
        <f>'12a_A Skleník. p. (voz.)NOV200 '!AA20</f>
        <v>0</v>
      </c>
      <c r="AB6" s="121">
        <f>'12a_A Skleník. p. (voz.)NOV200 '!AB20</f>
        <v>0</v>
      </c>
      <c r="AC6" s="121">
        <f>'12a_A Skleník. p. (voz.)NOV200 '!AC20</f>
        <v>0</v>
      </c>
      <c r="AD6" s="121">
        <f>'12a_A Skleník. p. (voz.)NOV200 '!AD20</f>
        <v>0</v>
      </c>
      <c r="AE6" s="121">
        <f>'12a_A Skleník. p. (voz.)NOV200 '!AE20</f>
        <v>0</v>
      </c>
      <c r="AF6" s="121">
        <f>'12a_A Skleník. p. (voz.)NOV200 '!AF20</f>
        <v>0</v>
      </c>
      <c r="AG6" s="121">
        <f>'12a_A Skleník. p. (voz.)NOV200 '!AG20</f>
        <v>0</v>
      </c>
      <c r="AH6" s="121">
        <f>'12a_A Skleník. p. (voz.)NOV200 '!AH20</f>
        <v>0</v>
      </c>
      <c r="AI6" s="121">
        <f>'12a_A Skleník. p. (voz.)NOV200 '!AI20</f>
        <v>0</v>
      </c>
      <c r="AJ6" s="121">
        <f>'12a_A Skleník. p. (voz.)NOV200 '!AJ20</f>
        <v>0</v>
      </c>
      <c r="AK6" s="121">
        <f>'12a_A Skleník. p. (voz.)NOV200 '!AK20</f>
        <v>0</v>
      </c>
      <c r="AL6" s="121">
        <f>'12a_A Skleník. p. (voz.)NOV200 '!AL20</f>
        <v>0</v>
      </c>
      <c r="AM6" s="121">
        <f>'12a_A Skleník. p. (voz.)NOV200 '!AM20</f>
        <v>0</v>
      </c>
      <c r="AN6" s="121">
        <f>'12a_A Skleník. p. (voz.)NOV200 '!AN20</f>
        <v>0</v>
      </c>
      <c r="AO6" s="121">
        <f>'12a_A Skleník. p. (voz.)NOV200 '!AO20</f>
        <v>0</v>
      </c>
      <c r="AP6" s="121">
        <f>'12a_A Skleník. p. (voz.)NOV200 '!AP20</f>
        <v>0</v>
      </c>
      <c r="AQ6" s="121">
        <f>'12a_A Skleník. p. (voz.)NOV200 '!AQ20</f>
        <v>0</v>
      </c>
    </row>
    <row r="7" spans="2:43" x14ac:dyDescent="0.2">
      <c r="B7" s="31" t="s">
        <v>152</v>
      </c>
      <c r="C7" s="37">
        <f t="shared" si="11"/>
        <v>0</v>
      </c>
      <c r="D7" s="121">
        <f>'12a_A Skleník. p. (voz.)NOV200 '!D22</f>
        <v>0</v>
      </c>
      <c r="E7" s="121">
        <f>'12a_A Skleník. p. (voz.)NOV200 '!E22</f>
        <v>0</v>
      </c>
      <c r="F7" s="121">
        <f>'12a_A Skleník. p. (voz.)NOV200 '!F22</f>
        <v>0</v>
      </c>
      <c r="G7" s="121">
        <f>'12a_A Skleník. p. (voz.)NOV200 '!G22</f>
        <v>0</v>
      </c>
      <c r="H7" s="121">
        <f>'12a_A Skleník. p. (voz.)NOV200 '!H22</f>
        <v>0</v>
      </c>
      <c r="I7" s="121">
        <f>'12a_A Skleník. p. (voz.)NOV200 '!I22</f>
        <v>0</v>
      </c>
      <c r="J7" s="121">
        <f>'12a_A Skleník. p. (voz.)NOV200 '!J22</f>
        <v>0</v>
      </c>
      <c r="K7" s="121">
        <f>'12a_A Skleník. p. (voz.)NOV200 '!K22</f>
        <v>0</v>
      </c>
      <c r="L7" s="121">
        <f>'12a_A Skleník. p. (voz.)NOV200 '!L22</f>
        <v>0</v>
      </c>
      <c r="M7" s="121">
        <f>'12a_A Skleník. p. (voz.)NOV200 '!M22</f>
        <v>0</v>
      </c>
      <c r="N7" s="121">
        <f>'12a_A Skleník. p. (voz.)NOV200 '!N22</f>
        <v>0</v>
      </c>
      <c r="O7" s="121">
        <f>'12a_A Skleník. p. (voz.)NOV200 '!O22</f>
        <v>0</v>
      </c>
      <c r="P7" s="121">
        <f>'12a_A Skleník. p. (voz.)NOV200 '!P22</f>
        <v>0</v>
      </c>
      <c r="Q7" s="121">
        <f>'12a_A Skleník. p. (voz.)NOV200 '!Q22</f>
        <v>0</v>
      </c>
      <c r="R7" s="121">
        <f>'12a_A Skleník. p. (voz.)NOV200 '!R22</f>
        <v>0</v>
      </c>
      <c r="S7" s="121">
        <f>'12a_A Skleník. p. (voz.)NOV200 '!S22</f>
        <v>0</v>
      </c>
      <c r="T7" s="121">
        <f>'12a_A Skleník. p. (voz.)NOV200 '!T22</f>
        <v>0</v>
      </c>
      <c r="U7" s="121">
        <f>'12a_A Skleník. p. (voz.)NOV200 '!U22</f>
        <v>0</v>
      </c>
      <c r="V7" s="121">
        <f>'12a_A Skleník. p. (voz.)NOV200 '!V22</f>
        <v>0</v>
      </c>
      <c r="W7" s="121">
        <f>'12a_A Skleník. p. (voz.)NOV200 '!W22</f>
        <v>0</v>
      </c>
      <c r="X7" s="121">
        <f>'12a_A Skleník. p. (voz.)NOV200 '!X22</f>
        <v>0</v>
      </c>
      <c r="Y7" s="121">
        <f>'12a_A Skleník. p. (voz.)NOV200 '!Y22</f>
        <v>0</v>
      </c>
      <c r="Z7" s="121">
        <f>'12a_A Skleník. p. (voz.)NOV200 '!Z22</f>
        <v>0</v>
      </c>
      <c r="AA7" s="121">
        <f>'12a_A Skleník. p. (voz.)NOV200 '!AA22</f>
        <v>0</v>
      </c>
      <c r="AB7" s="121">
        <f>'12a_A Skleník. p. (voz.)NOV200 '!AB22</f>
        <v>0</v>
      </c>
      <c r="AC7" s="121">
        <f>'12a_A Skleník. p. (voz.)NOV200 '!AC22</f>
        <v>0</v>
      </c>
      <c r="AD7" s="121">
        <f>'12a_A Skleník. p. (voz.)NOV200 '!AD22</f>
        <v>0</v>
      </c>
      <c r="AE7" s="121">
        <f>'12a_A Skleník. p. (voz.)NOV200 '!AE22</f>
        <v>0</v>
      </c>
      <c r="AF7" s="121">
        <f>'12a_A Skleník. p. (voz.)NOV200 '!AF22</f>
        <v>0</v>
      </c>
      <c r="AG7" s="121">
        <f>'12a_A Skleník. p. (voz.)NOV200 '!AG22</f>
        <v>0</v>
      </c>
      <c r="AH7" s="121">
        <f>'12a_A Skleník. p. (voz.)NOV200 '!AH22</f>
        <v>0</v>
      </c>
      <c r="AI7" s="121">
        <f>'12a_A Skleník. p. (voz.)NOV200 '!AI22</f>
        <v>0</v>
      </c>
      <c r="AJ7" s="121">
        <f>'12a_A Skleník. p. (voz.)NOV200 '!AJ22</f>
        <v>0</v>
      </c>
      <c r="AK7" s="121">
        <f>'12a_A Skleník. p. (voz.)NOV200 '!AK22</f>
        <v>0</v>
      </c>
      <c r="AL7" s="121">
        <f>'12a_A Skleník. p. (voz.)NOV200 '!AL22</f>
        <v>0</v>
      </c>
      <c r="AM7" s="121">
        <f>'12a_A Skleník. p. (voz.)NOV200 '!AM22</f>
        <v>0</v>
      </c>
      <c r="AN7" s="121">
        <f>'12a_A Skleník. p. (voz.)NOV200 '!AN22</f>
        <v>0</v>
      </c>
      <c r="AO7" s="121">
        <f>'12a_A Skleník. p. (voz.)NOV200 '!AO22</f>
        <v>0</v>
      </c>
      <c r="AP7" s="121">
        <f>'12a_A Skleník. p. (voz.)NOV200 '!AP22</f>
        <v>0</v>
      </c>
      <c r="AQ7" s="121">
        <f>'12a_A Skleník. p. (voz.)NOV200 '!AQ22</f>
        <v>0</v>
      </c>
    </row>
    <row r="8" spans="2:43" x14ac:dyDescent="0.2">
      <c r="B8" s="32" t="s">
        <v>9</v>
      </c>
      <c r="C8" s="122">
        <f t="shared" si="11"/>
        <v>0</v>
      </c>
      <c r="D8" s="122">
        <v>0</v>
      </c>
      <c r="E8" s="122">
        <f t="shared" ref="E8:AG8" si="12">SUM(E5:E7)</f>
        <v>0</v>
      </c>
      <c r="F8" s="122">
        <f t="shared" si="12"/>
        <v>0</v>
      </c>
      <c r="G8" s="122">
        <f t="shared" si="12"/>
        <v>0</v>
      </c>
      <c r="H8" s="122">
        <f t="shared" si="12"/>
        <v>0</v>
      </c>
      <c r="I8" s="122">
        <f t="shared" si="12"/>
        <v>0</v>
      </c>
      <c r="J8" s="122">
        <f t="shared" si="12"/>
        <v>0</v>
      </c>
      <c r="K8" s="122">
        <f t="shared" si="12"/>
        <v>0</v>
      </c>
      <c r="L8" s="122">
        <f t="shared" si="12"/>
        <v>0</v>
      </c>
      <c r="M8" s="122">
        <f t="shared" si="12"/>
        <v>0</v>
      </c>
      <c r="N8" s="122">
        <f t="shared" si="12"/>
        <v>0</v>
      </c>
      <c r="O8" s="122">
        <f t="shared" si="12"/>
        <v>0</v>
      </c>
      <c r="P8" s="122">
        <f t="shared" si="12"/>
        <v>0</v>
      </c>
      <c r="Q8" s="122">
        <f t="shared" si="12"/>
        <v>0</v>
      </c>
      <c r="R8" s="122">
        <f t="shared" si="12"/>
        <v>0</v>
      </c>
      <c r="S8" s="122">
        <f t="shared" si="12"/>
        <v>0</v>
      </c>
      <c r="T8" s="122">
        <f t="shared" si="12"/>
        <v>0</v>
      </c>
      <c r="U8" s="122">
        <f t="shared" si="12"/>
        <v>0</v>
      </c>
      <c r="V8" s="122">
        <f t="shared" si="12"/>
        <v>0</v>
      </c>
      <c r="W8" s="122">
        <f t="shared" si="12"/>
        <v>0</v>
      </c>
      <c r="X8" s="122">
        <f t="shared" si="12"/>
        <v>0</v>
      </c>
      <c r="Y8" s="122">
        <f t="shared" si="12"/>
        <v>0</v>
      </c>
      <c r="Z8" s="122">
        <f t="shared" si="12"/>
        <v>0</v>
      </c>
      <c r="AA8" s="122">
        <f t="shared" si="12"/>
        <v>0</v>
      </c>
      <c r="AB8" s="122">
        <f t="shared" si="12"/>
        <v>0</v>
      </c>
      <c r="AC8" s="122">
        <f t="shared" si="12"/>
        <v>0</v>
      </c>
      <c r="AD8" s="122">
        <f t="shared" si="12"/>
        <v>0</v>
      </c>
      <c r="AE8" s="122">
        <f t="shared" si="12"/>
        <v>0</v>
      </c>
      <c r="AF8" s="122">
        <f t="shared" si="12"/>
        <v>0</v>
      </c>
      <c r="AG8" s="122">
        <f t="shared" si="12"/>
        <v>0</v>
      </c>
      <c r="AH8" s="122">
        <f t="shared" ref="AH8:AN8" si="13">SUM(AH5:AH7)</f>
        <v>0</v>
      </c>
      <c r="AI8" s="122">
        <f t="shared" si="13"/>
        <v>0</v>
      </c>
      <c r="AJ8" s="122">
        <f t="shared" si="13"/>
        <v>0</v>
      </c>
      <c r="AK8" s="122">
        <f t="shared" si="13"/>
        <v>0</v>
      </c>
      <c r="AL8" s="122">
        <f t="shared" si="13"/>
        <v>0</v>
      </c>
      <c r="AM8" s="122">
        <f t="shared" si="13"/>
        <v>0</v>
      </c>
      <c r="AN8" s="122">
        <f t="shared" si="13"/>
        <v>0</v>
      </c>
      <c r="AO8" s="122">
        <f t="shared" ref="AO8:AQ8" si="14">SUM(AO5:AO7)</f>
        <v>0</v>
      </c>
      <c r="AP8" s="122">
        <f t="shared" si="14"/>
        <v>0</v>
      </c>
      <c r="AQ8" s="122">
        <f t="shared" si="14"/>
        <v>0</v>
      </c>
    </row>
    <row r="11" spans="2:43" x14ac:dyDescent="0.2">
      <c r="B11" s="733" t="s">
        <v>454</v>
      </c>
      <c r="C11" s="31"/>
      <c r="D11" s="31" t="s">
        <v>10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2:43" x14ac:dyDescent="0.2">
      <c r="B12" s="737"/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  <c r="AM12" s="33">
        <v>36</v>
      </c>
      <c r="AN12" s="33">
        <v>37</v>
      </c>
      <c r="AO12" s="33">
        <v>38</v>
      </c>
      <c r="AP12" s="33">
        <v>39</v>
      </c>
      <c r="AQ12" s="33">
        <v>40</v>
      </c>
    </row>
    <row r="13" spans="2:43" x14ac:dyDescent="0.2">
      <c r="B13" s="34" t="s">
        <v>34</v>
      </c>
      <c r="C13" s="34" t="s">
        <v>9</v>
      </c>
      <c r="D13" s="35">
        <f>D4</f>
        <v>2026</v>
      </c>
      <c r="E13" s="35">
        <f t="shared" ref="E13:AG13" si="15">E4</f>
        <v>2027</v>
      </c>
      <c r="F13" s="35">
        <f t="shared" si="15"/>
        <v>2028</v>
      </c>
      <c r="G13" s="35">
        <f t="shared" si="15"/>
        <v>2029</v>
      </c>
      <c r="H13" s="35">
        <f t="shared" si="15"/>
        <v>2030</v>
      </c>
      <c r="I13" s="35">
        <f t="shared" si="15"/>
        <v>2031</v>
      </c>
      <c r="J13" s="35">
        <f t="shared" si="15"/>
        <v>2032</v>
      </c>
      <c r="K13" s="35">
        <f t="shared" si="15"/>
        <v>2033</v>
      </c>
      <c r="L13" s="35">
        <f t="shared" si="15"/>
        <v>2034</v>
      </c>
      <c r="M13" s="35">
        <f t="shared" si="15"/>
        <v>2035</v>
      </c>
      <c r="N13" s="35">
        <f t="shared" si="15"/>
        <v>2036</v>
      </c>
      <c r="O13" s="35">
        <f t="shared" si="15"/>
        <v>2037</v>
      </c>
      <c r="P13" s="35">
        <f t="shared" si="15"/>
        <v>2038</v>
      </c>
      <c r="Q13" s="35">
        <f t="shared" si="15"/>
        <v>2039</v>
      </c>
      <c r="R13" s="35">
        <f t="shared" si="15"/>
        <v>2040</v>
      </c>
      <c r="S13" s="35">
        <f t="shared" si="15"/>
        <v>2041</v>
      </c>
      <c r="T13" s="35">
        <f t="shared" si="15"/>
        <v>2042</v>
      </c>
      <c r="U13" s="35">
        <f t="shared" si="15"/>
        <v>2043</v>
      </c>
      <c r="V13" s="35">
        <f t="shared" si="15"/>
        <v>2044</v>
      </c>
      <c r="W13" s="35">
        <f t="shared" si="15"/>
        <v>2045</v>
      </c>
      <c r="X13" s="35">
        <f t="shared" si="15"/>
        <v>2046</v>
      </c>
      <c r="Y13" s="35">
        <f t="shared" si="15"/>
        <v>2047</v>
      </c>
      <c r="Z13" s="35">
        <f t="shared" si="15"/>
        <v>2048</v>
      </c>
      <c r="AA13" s="35">
        <f t="shared" si="15"/>
        <v>2049</v>
      </c>
      <c r="AB13" s="35">
        <f t="shared" si="15"/>
        <v>2050</v>
      </c>
      <c r="AC13" s="35">
        <f t="shared" si="15"/>
        <v>2051</v>
      </c>
      <c r="AD13" s="35">
        <f t="shared" si="15"/>
        <v>2052</v>
      </c>
      <c r="AE13" s="35">
        <f t="shared" si="15"/>
        <v>2053</v>
      </c>
      <c r="AF13" s="35">
        <f t="shared" si="15"/>
        <v>2054</v>
      </c>
      <c r="AG13" s="35">
        <f t="shared" si="15"/>
        <v>2055</v>
      </c>
      <c r="AH13" s="35">
        <f t="shared" ref="AH13:AN13" si="16">AH4</f>
        <v>2056</v>
      </c>
      <c r="AI13" s="35">
        <f t="shared" si="16"/>
        <v>2057</v>
      </c>
      <c r="AJ13" s="35">
        <f t="shared" si="16"/>
        <v>2058</v>
      </c>
      <c r="AK13" s="35">
        <f t="shared" si="16"/>
        <v>2059</v>
      </c>
      <c r="AL13" s="35">
        <f t="shared" si="16"/>
        <v>2060</v>
      </c>
      <c r="AM13" s="35">
        <f t="shared" si="16"/>
        <v>2061</v>
      </c>
      <c r="AN13" s="35">
        <f t="shared" si="16"/>
        <v>2062</v>
      </c>
      <c r="AO13" s="35">
        <f t="shared" ref="AO13:AQ13" si="17">AO4</f>
        <v>2063</v>
      </c>
      <c r="AP13" s="35">
        <f t="shared" si="17"/>
        <v>2064</v>
      </c>
      <c r="AQ13" s="35">
        <f t="shared" si="17"/>
        <v>2065</v>
      </c>
    </row>
    <row r="14" spans="2:43" x14ac:dyDescent="0.2">
      <c r="B14" s="31" t="s">
        <v>150</v>
      </c>
      <c r="C14" s="37">
        <f t="shared" ref="C14:C17" si="18">SUM(D14:AQ14)</f>
        <v>0</v>
      </c>
      <c r="D14" s="121">
        <f>'12a_A Skleník. p. (voz.)NOV200 '!D28</f>
        <v>0</v>
      </c>
      <c r="E14" s="121">
        <f>'12a_A Skleník. p. (voz.)NOV200 '!E28</f>
        <v>0</v>
      </c>
      <c r="F14" s="121">
        <f>'12a_A Skleník. p. (voz.)NOV200 '!F28</f>
        <v>0</v>
      </c>
      <c r="G14" s="121">
        <f>'12a_A Skleník. p. (voz.)NOV200 '!G28</f>
        <v>0</v>
      </c>
      <c r="H14" s="121">
        <f>'12a_A Skleník. p. (voz.)NOV200 '!H28</f>
        <v>0</v>
      </c>
      <c r="I14" s="121">
        <f>'12a_A Skleník. p. (voz.)NOV200 '!I28</f>
        <v>0</v>
      </c>
      <c r="J14" s="121">
        <f>'12a_A Skleník. p. (voz.)NOV200 '!J28</f>
        <v>0</v>
      </c>
      <c r="K14" s="121">
        <f>'12a_A Skleník. p. (voz.)NOV200 '!K28</f>
        <v>0</v>
      </c>
      <c r="L14" s="121">
        <f>'12a_A Skleník. p. (voz.)NOV200 '!L28</f>
        <v>0</v>
      </c>
      <c r="M14" s="121">
        <f>'12a_A Skleník. p. (voz.)NOV200 '!M28</f>
        <v>0</v>
      </c>
      <c r="N14" s="121">
        <f>'12a_A Skleník. p. (voz.)NOV200 '!N28</f>
        <v>0</v>
      </c>
      <c r="O14" s="121">
        <f>'12a_A Skleník. p. (voz.)NOV200 '!O28</f>
        <v>0</v>
      </c>
      <c r="P14" s="121">
        <f>'12a_A Skleník. p. (voz.)NOV200 '!P28</f>
        <v>0</v>
      </c>
      <c r="Q14" s="121">
        <f>'12a_A Skleník. p. (voz.)NOV200 '!Q28</f>
        <v>0</v>
      </c>
      <c r="R14" s="121">
        <f>'12a_A Skleník. p. (voz.)NOV200 '!R28</f>
        <v>0</v>
      </c>
      <c r="S14" s="121">
        <f>'12a_A Skleník. p. (voz.)NOV200 '!S28</f>
        <v>0</v>
      </c>
      <c r="T14" s="121">
        <f>'12a_A Skleník. p. (voz.)NOV200 '!T28</f>
        <v>0</v>
      </c>
      <c r="U14" s="121">
        <f>'12a_A Skleník. p. (voz.)NOV200 '!U28</f>
        <v>0</v>
      </c>
      <c r="V14" s="121">
        <f>'12a_A Skleník. p. (voz.)NOV200 '!V28</f>
        <v>0</v>
      </c>
      <c r="W14" s="121">
        <f>'12a_A Skleník. p. (voz.)NOV200 '!W28</f>
        <v>0</v>
      </c>
      <c r="X14" s="121">
        <f>'12a_A Skleník. p. (voz.)NOV200 '!X28</f>
        <v>0</v>
      </c>
      <c r="Y14" s="121">
        <f>'12a_A Skleník. p. (voz.)NOV200 '!Y28</f>
        <v>0</v>
      </c>
      <c r="Z14" s="121">
        <f>'12a_A Skleník. p. (voz.)NOV200 '!Z28</f>
        <v>0</v>
      </c>
      <c r="AA14" s="121">
        <f>'12a_A Skleník. p. (voz.)NOV200 '!AA28</f>
        <v>0</v>
      </c>
      <c r="AB14" s="121">
        <f>'12a_A Skleník. p. (voz.)NOV200 '!AB28</f>
        <v>0</v>
      </c>
      <c r="AC14" s="121">
        <f>'12a_A Skleník. p. (voz.)NOV200 '!AC28</f>
        <v>0</v>
      </c>
      <c r="AD14" s="121">
        <f>'12a_A Skleník. p. (voz.)NOV200 '!AD28</f>
        <v>0</v>
      </c>
      <c r="AE14" s="121">
        <f>'12a_A Skleník. p. (voz.)NOV200 '!AE28</f>
        <v>0</v>
      </c>
      <c r="AF14" s="121">
        <f>'12a_A Skleník. p. (voz.)NOV200 '!AF28</f>
        <v>0</v>
      </c>
      <c r="AG14" s="121">
        <f>'12a_A Skleník. p. (voz.)NOV200 '!AG28</f>
        <v>0</v>
      </c>
      <c r="AH14" s="121">
        <f>'12a_A Skleník. p. (voz.)NOV200 '!AH28</f>
        <v>0</v>
      </c>
      <c r="AI14" s="121">
        <f>'12a_A Skleník. p. (voz.)NOV200 '!AI28</f>
        <v>0</v>
      </c>
      <c r="AJ14" s="121">
        <f>'12a_A Skleník. p. (voz.)NOV200 '!AJ28</f>
        <v>0</v>
      </c>
      <c r="AK14" s="121">
        <f>'12a_A Skleník. p. (voz.)NOV200 '!AK28</f>
        <v>0</v>
      </c>
      <c r="AL14" s="121">
        <f>'12a_A Skleník. p. (voz.)NOV200 '!AL28</f>
        <v>0</v>
      </c>
      <c r="AM14" s="121">
        <f>'12a_A Skleník. p. (voz.)NOV200 '!AM28</f>
        <v>0</v>
      </c>
      <c r="AN14" s="121">
        <f>'12a_A Skleník. p. (voz.)NOV200 '!AN28</f>
        <v>0</v>
      </c>
      <c r="AO14" s="121">
        <f>'12a_A Skleník. p. (voz.)NOV200 '!AO28</f>
        <v>0</v>
      </c>
      <c r="AP14" s="121">
        <f>'12a_A Skleník. p. (voz.)NOV200 '!AP28</f>
        <v>0</v>
      </c>
      <c r="AQ14" s="121">
        <f>'12a_A Skleník. p. (voz.)NOV200 '!AQ28</f>
        <v>0</v>
      </c>
    </row>
    <row r="15" spans="2:43" x14ac:dyDescent="0.2">
      <c r="B15" s="31" t="s">
        <v>151</v>
      </c>
      <c r="C15" s="37">
        <f t="shared" si="18"/>
        <v>0</v>
      </c>
      <c r="D15" s="121">
        <f>'12a_A Skleník. p. (voz.)NOV200 '!D30</f>
        <v>0</v>
      </c>
      <c r="E15" s="121">
        <f>'12a_A Skleník. p. (voz.)NOV200 '!E30</f>
        <v>0</v>
      </c>
      <c r="F15" s="121">
        <f>'12a_A Skleník. p. (voz.)NOV200 '!F30</f>
        <v>0</v>
      </c>
      <c r="G15" s="121">
        <f>'12a_A Skleník. p. (voz.)NOV200 '!G30</f>
        <v>0</v>
      </c>
      <c r="H15" s="121">
        <f>'12a_A Skleník. p. (voz.)NOV200 '!H30</f>
        <v>0</v>
      </c>
      <c r="I15" s="121">
        <f>'12a_A Skleník. p. (voz.)NOV200 '!I30</f>
        <v>0</v>
      </c>
      <c r="J15" s="121">
        <f>'12a_A Skleník. p. (voz.)NOV200 '!J30</f>
        <v>0</v>
      </c>
      <c r="K15" s="121">
        <f>'12a_A Skleník. p. (voz.)NOV200 '!K30</f>
        <v>0</v>
      </c>
      <c r="L15" s="121">
        <f>'12a_A Skleník. p. (voz.)NOV200 '!L30</f>
        <v>0</v>
      </c>
      <c r="M15" s="121">
        <f>'12a_A Skleník. p. (voz.)NOV200 '!M30</f>
        <v>0</v>
      </c>
      <c r="N15" s="121">
        <f>'12a_A Skleník. p. (voz.)NOV200 '!N30</f>
        <v>0</v>
      </c>
      <c r="O15" s="121">
        <f>'12a_A Skleník. p. (voz.)NOV200 '!O30</f>
        <v>0</v>
      </c>
      <c r="P15" s="121">
        <f>'12a_A Skleník. p. (voz.)NOV200 '!P30</f>
        <v>0</v>
      </c>
      <c r="Q15" s="121">
        <f>'12a_A Skleník. p. (voz.)NOV200 '!Q30</f>
        <v>0</v>
      </c>
      <c r="R15" s="121">
        <f>'12a_A Skleník. p. (voz.)NOV200 '!R30</f>
        <v>0</v>
      </c>
      <c r="S15" s="121">
        <f>'12a_A Skleník. p. (voz.)NOV200 '!S30</f>
        <v>0</v>
      </c>
      <c r="T15" s="121">
        <f>'12a_A Skleník. p. (voz.)NOV200 '!T30</f>
        <v>0</v>
      </c>
      <c r="U15" s="121">
        <f>'12a_A Skleník. p. (voz.)NOV200 '!U30</f>
        <v>0</v>
      </c>
      <c r="V15" s="121">
        <f>'12a_A Skleník. p. (voz.)NOV200 '!V30</f>
        <v>0</v>
      </c>
      <c r="W15" s="121">
        <f>'12a_A Skleník. p. (voz.)NOV200 '!W30</f>
        <v>0</v>
      </c>
      <c r="X15" s="121">
        <f>'12a_A Skleník. p. (voz.)NOV200 '!X30</f>
        <v>0</v>
      </c>
      <c r="Y15" s="121">
        <f>'12a_A Skleník. p. (voz.)NOV200 '!Y30</f>
        <v>0</v>
      </c>
      <c r="Z15" s="121">
        <f>'12a_A Skleník. p. (voz.)NOV200 '!Z30</f>
        <v>0</v>
      </c>
      <c r="AA15" s="121">
        <f>'12a_A Skleník. p. (voz.)NOV200 '!AA30</f>
        <v>0</v>
      </c>
      <c r="AB15" s="121">
        <f>'12a_A Skleník. p. (voz.)NOV200 '!AB30</f>
        <v>0</v>
      </c>
      <c r="AC15" s="121">
        <f>'12a_A Skleník. p. (voz.)NOV200 '!AC30</f>
        <v>0</v>
      </c>
      <c r="AD15" s="121">
        <f>'12a_A Skleník. p. (voz.)NOV200 '!AD30</f>
        <v>0</v>
      </c>
      <c r="AE15" s="121">
        <f>'12a_A Skleník. p. (voz.)NOV200 '!AE30</f>
        <v>0</v>
      </c>
      <c r="AF15" s="121">
        <f>'12a_A Skleník. p. (voz.)NOV200 '!AF30</f>
        <v>0</v>
      </c>
      <c r="AG15" s="121">
        <f>'12a_A Skleník. p. (voz.)NOV200 '!AG30</f>
        <v>0</v>
      </c>
      <c r="AH15" s="121">
        <f>'12a_A Skleník. p. (voz.)NOV200 '!AH30</f>
        <v>0</v>
      </c>
      <c r="AI15" s="121">
        <f>'12a_A Skleník. p. (voz.)NOV200 '!AI30</f>
        <v>0</v>
      </c>
      <c r="AJ15" s="121">
        <f>'12a_A Skleník. p. (voz.)NOV200 '!AJ30</f>
        <v>0</v>
      </c>
      <c r="AK15" s="121">
        <f>'12a_A Skleník. p. (voz.)NOV200 '!AK30</f>
        <v>0</v>
      </c>
      <c r="AL15" s="121">
        <f>'12a_A Skleník. p. (voz.)NOV200 '!AL30</f>
        <v>0</v>
      </c>
      <c r="AM15" s="121">
        <f>'12a_A Skleník. p. (voz.)NOV200 '!AM30</f>
        <v>0</v>
      </c>
      <c r="AN15" s="121">
        <f>'12a_A Skleník. p. (voz.)NOV200 '!AN30</f>
        <v>0</v>
      </c>
      <c r="AO15" s="121">
        <f>'12a_A Skleník. p. (voz.)NOV200 '!AO30</f>
        <v>0</v>
      </c>
      <c r="AP15" s="121">
        <f>'12a_A Skleník. p. (voz.)NOV200 '!AP30</f>
        <v>0</v>
      </c>
      <c r="AQ15" s="121">
        <f>'12a_A Skleník. p. (voz.)NOV200 '!AQ30</f>
        <v>0</v>
      </c>
    </row>
    <row r="16" spans="2:43" x14ac:dyDescent="0.2">
      <c r="B16" s="31" t="s">
        <v>152</v>
      </c>
      <c r="C16" s="37">
        <f t="shared" si="18"/>
        <v>0</v>
      </c>
      <c r="D16" s="121">
        <f>'12a_A Skleník. p. (voz.)NOV200 '!D32</f>
        <v>0</v>
      </c>
      <c r="E16" s="121">
        <f>'12a_A Skleník. p. (voz.)NOV200 '!E32</f>
        <v>0</v>
      </c>
      <c r="F16" s="121">
        <f>'12a_A Skleník. p. (voz.)NOV200 '!F32</f>
        <v>0</v>
      </c>
      <c r="G16" s="121">
        <f>'12a_A Skleník. p. (voz.)NOV200 '!G32</f>
        <v>0</v>
      </c>
      <c r="H16" s="121">
        <f>'12a_A Skleník. p. (voz.)NOV200 '!H32</f>
        <v>0</v>
      </c>
      <c r="I16" s="121">
        <f>'12a_A Skleník. p. (voz.)NOV200 '!I32</f>
        <v>0</v>
      </c>
      <c r="J16" s="121">
        <f>'12a_A Skleník. p. (voz.)NOV200 '!J32</f>
        <v>0</v>
      </c>
      <c r="K16" s="121">
        <f>'12a_A Skleník. p. (voz.)NOV200 '!K32</f>
        <v>0</v>
      </c>
      <c r="L16" s="121">
        <f>'12a_A Skleník. p. (voz.)NOV200 '!L32</f>
        <v>0</v>
      </c>
      <c r="M16" s="121">
        <f>'12a_A Skleník. p. (voz.)NOV200 '!M32</f>
        <v>0</v>
      </c>
      <c r="N16" s="121">
        <f>'12a_A Skleník. p. (voz.)NOV200 '!N32</f>
        <v>0</v>
      </c>
      <c r="O16" s="121">
        <f>'12a_A Skleník. p. (voz.)NOV200 '!O32</f>
        <v>0</v>
      </c>
      <c r="P16" s="121">
        <f>'12a_A Skleník. p. (voz.)NOV200 '!P32</f>
        <v>0</v>
      </c>
      <c r="Q16" s="121">
        <f>'12a_A Skleník. p. (voz.)NOV200 '!Q32</f>
        <v>0</v>
      </c>
      <c r="R16" s="121">
        <f>'12a_A Skleník. p. (voz.)NOV200 '!R32</f>
        <v>0</v>
      </c>
      <c r="S16" s="121">
        <f>'12a_A Skleník. p. (voz.)NOV200 '!S32</f>
        <v>0</v>
      </c>
      <c r="T16" s="121">
        <f>'12a_A Skleník. p. (voz.)NOV200 '!T32</f>
        <v>0</v>
      </c>
      <c r="U16" s="121">
        <f>'12a_A Skleník. p. (voz.)NOV200 '!U32</f>
        <v>0</v>
      </c>
      <c r="V16" s="121">
        <f>'12a_A Skleník. p. (voz.)NOV200 '!V32</f>
        <v>0</v>
      </c>
      <c r="W16" s="121">
        <f>'12a_A Skleník. p. (voz.)NOV200 '!W32</f>
        <v>0</v>
      </c>
      <c r="X16" s="121">
        <f>'12a_A Skleník. p. (voz.)NOV200 '!X32</f>
        <v>0</v>
      </c>
      <c r="Y16" s="121">
        <f>'12a_A Skleník. p. (voz.)NOV200 '!Y32</f>
        <v>0</v>
      </c>
      <c r="Z16" s="121">
        <f>'12a_A Skleník. p. (voz.)NOV200 '!Z32</f>
        <v>0</v>
      </c>
      <c r="AA16" s="121">
        <f>'12a_A Skleník. p. (voz.)NOV200 '!AA32</f>
        <v>0</v>
      </c>
      <c r="AB16" s="121">
        <f>'12a_A Skleník. p. (voz.)NOV200 '!AB32</f>
        <v>0</v>
      </c>
      <c r="AC16" s="121">
        <f>'12a_A Skleník. p. (voz.)NOV200 '!AC32</f>
        <v>0</v>
      </c>
      <c r="AD16" s="121">
        <f>'12a_A Skleník. p. (voz.)NOV200 '!AD32</f>
        <v>0</v>
      </c>
      <c r="AE16" s="121">
        <f>'12a_A Skleník. p. (voz.)NOV200 '!AE32</f>
        <v>0</v>
      </c>
      <c r="AF16" s="121">
        <f>'12a_A Skleník. p. (voz.)NOV200 '!AF32</f>
        <v>0</v>
      </c>
      <c r="AG16" s="121">
        <f>'12a_A Skleník. p. (voz.)NOV200 '!AG32</f>
        <v>0</v>
      </c>
      <c r="AH16" s="121">
        <f>'12a_A Skleník. p. (voz.)NOV200 '!AH32</f>
        <v>0</v>
      </c>
      <c r="AI16" s="121">
        <f>'12a_A Skleník. p. (voz.)NOV200 '!AI32</f>
        <v>0</v>
      </c>
      <c r="AJ16" s="121">
        <f>'12a_A Skleník. p. (voz.)NOV200 '!AJ32</f>
        <v>0</v>
      </c>
      <c r="AK16" s="121">
        <f>'12a_A Skleník. p. (voz.)NOV200 '!AK32</f>
        <v>0</v>
      </c>
      <c r="AL16" s="121">
        <f>'12a_A Skleník. p. (voz.)NOV200 '!AL32</f>
        <v>0</v>
      </c>
      <c r="AM16" s="121">
        <f>'12a_A Skleník. p. (voz.)NOV200 '!AM32</f>
        <v>0</v>
      </c>
      <c r="AN16" s="121">
        <f>'12a_A Skleník. p. (voz.)NOV200 '!AN32</f>
        <v>0</v>
      </c>
      <c r="AO16" s="121">
        <f>'12a_A Skleník. p. (voz.)NOV200 '!AO32</f>
        <v>0</v>
      </c>
      <c r="AP16" s="121">
        <f>'12a_A Skleník. p. (voz.)NOV200 '!AP32</f>
        <v>0</v>
      </c>
      <c r="AQ16" s="121">
        <f>'12a_A Skleník. p. (voz.)NOV200 '!AQ32</f>
        <v>0</v>
      </c>
    </row>
    <row r="17" spans="2:43" x14ac:dyDescent="0.2">
      <c r="B17" s="32" t="s">
        <v>35</v>
      </c>
      <c r="C17" s="122">
        <f t="shared" si="18"/>
        <v>0</v>
      </c>
      <c r="D17" s="122">
        <f t="shared" ref="D17:AG17" si="19">SUM(D14:D16)</f>
        <v>0</v>
      </c>
      <c r="E17" s="122">
        <f t="shared" si="19"/>
        <v>0</v>
      </c>
      <c r="F17" s="122">
        <f t="shared" si="19"/>
        <v>0</v>
      </c>
      <c r="G17" s="122">
        <f t="shared" si="19"/>
        <v>0</v>
      </c>
      <c r="H17" s="122">
        <f t="shared" si="19"/>
        <v>0</v>
      </c>
      <c r="I17" s="122">
        <f t="shared" si="19"/>
        <v>0</v>
      </c>
      <c r="J17" s="122">
        <f t="shared" si="19"/>
        <v>0</v>
      </c>
      <c r="K17" s="122">
        <f t="shared" si="19"/>
        <v>0</v>
      </c>
      <c r="L17" s="122">
        <f t="shared" si="19"/>
        <v>0</v>
      </c>
      <c r="M17" s="122">
        <f t="shared" si="19"/>
        <v>0</v>
      </c>
      <c r="N17" s="122">
        <f t="shared" si="19"/>
        <v>0</v>
      </c>
      <c r="O17" s="122">
        <f t="shared" si="19"/>
        <v>0</v>
      </c>
      <c r="P17" s="122">
        <f t="shared" si="19"/>
        <v>0</v>
      </c>
      <c r="Q17" s="122">
        <f t="shared" si="19"/>
        <v>0</v>
      </c>
      <c r="R17" s="122">
        <f t="shared" si="19"/>
        <v>0</v>
      </c>
      <c r="S17" s="122">
        <f t="shared" si="19"/>
        <v>0</v>
      </c>
      <c r="T17" s="122">
        <f t="shared" si="19"/>
        <v>0</v>
      </c>
      <c r="U17" s="122">
        <f t="shared" si="19"/>
        <v>0</v>
      </c>
      <c r="V17" s="122">
        <f t="shared" si="19"/>
        <v>0</v>
      </c>
      <c r="W17" s="122">
        <f t="shared" si="19"/>
        <v>0</v>
      </c>
      <c r="X17" s="122">
        <f t="shared" si="19"/>
        <v>0</v>
      </c>
      <c r="Y17" s="122">
        <f t="shared" si="19"/>
        <v>0</v>
      </c>
      <c r="Z17" s="122">
        <f t="shared" si="19"/>
        <v>0</v>
      </c>
      <c r="AA17" s="122">
        <f t="shared" si="19"/>
        <v>0</v>
      </c>
      <c r="AB17" s="122">
        <f t="shared" si="19"/>
        <v>0</v>
      </c>
      <c r="AC17" s="122">
        <f t="shared" si="19"/>
        <v>0</v>
      </c>
      <c r="AD17" s="122">
        <f t="shared" si="19"/>
        <v>0</v>
      </c>
      <c r="AE17" s="122">
        <f t="shared" si="19"/>
        <v>0</v>
      </c>
      <c r="AF17" s="122">
        <f t="shared" si="19"/>
        <v>0</v>
      </c>
      <c r="AG17" s="122">
        <f t="shared" si="19"/>
        <v>0</v>
      </c>
      <c r="AH17" s="122">
        <f t="shared" ref="AH17:AN17" si="20">SUM(AH14:AH16)</f>
        <v>0</v>
      </c>
      <c r="AI17" s="122">
        <f t="shared" si="20"/>
        <v>0</v>
      </c>
      <c r="AJ17" s="122">
        <f t="shared" si="20"/>
        <v>0</v>
      </c>
      <c r="AK17" s="122">
        <f t="shared" si="20"/>
        <v>0</v>
      </c>
      <c r="AL17" s="122">
        <f t="shared" si="20"/>
        <v>0</v>
      </c>
      <c r="AM17" s="122">
        <f t="shared" si="20"/>
        <v>0</v>
      </c>
      <c r="AN17" s="122">
        <f t="shared" si="20"/>
        <v>0</v>
      </c>
      <c r="AO17" s="122">
        <f t="shared" ref="AO17:AQ17" si="21">SUM(AO14:AO16)</f>
        <v>0</v>
      </c>
      <c r="AP17" s="122">
        <f t="shared" si="21"/>
        <v>0</v>
      </c>
      <c r="AQ17" s="122">
        <f t="shared" si="21"/>
        <v>0</v>
      </c>
    </row>
    <row r="20" spans="2:43" x14ac:dyDescent="0.2">
      <c r="B20" s="733" t="s">
        <v>455</v>
      </c>
      <c r="C20" s="31"/>
      <c r="D20" s="31" t="s">
        <v>10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2:43" x14ac:dyDescent="0.2">
      <c r="B21" s="737"/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  <c r="AM21" s="33">
        <v>36</v>
      </c>
      <c r="AN21" s="33">
        <v>37</v>
      </c>
      <c r="AO21" s="33">
        <v>38</v>
      </c>
      <c r="AP21" s="33">
        <v>39</v>
      </c>
      <c r="AQ21" s="33">
        <v>40</v>
      </c>
    </row>
    <row r="22" spans="2:43" x14ac:dyDescent="0.2">
      <c r="B22" s="34" t="s">
        <v>63</v>
      </c>
      <c r="C22" s="34" t="s">
        <v>9</v>
      </c>
      <c r="D22" s="35">
        <f>D4</f>
        <v>2026</v>
      </c>
      <c r="E22" s="35">
        <f t="shared" ref="E22:AG22" si="22">E4</f>
        <v>2027</v>
      </c>
      <c r="F22" s="35">
        <f t="shared" si="22"/>
        <v>2028</v>
      </c>
      <c r="G22" s="35">
        <f t="shared" si="22"/>
        <v>2029</v>
      </c>
      <c r="H22" s="35">
        <f t="shared" si="22"/>
        <v>2030</v>
      </c>
      <c r="I22" s="35">
        <f t="shared" si="22"/>
        <v>2031</v>
      </c>
      <c r="J22" s="35">
        <f t="shared" si="22"/>
        <v>2032</v>
      </c>
      <c r="K22" s="35">
        <f t="shared" si="22"/>
        <v>2033</v>
      </c>
      <c r="L22" s="35">
        <f t="shared" si="22"/>
        <v>2034</v>
      </c>
      <c r="M22" s="35">
        <f t="shared" si="22"/>
        <v>2035</v>
      </c>
      <c r="N22" s="35">
        <f t="shared" si="22"/>
        <v>2036</v>
      </c>
      <c r="O22" s="35">
        <f t="shared" si="22"/>
        <v>2037</v>
      </c>
      <c r="P22" s="35">
        <f t="shared" si="22"/>
        <v>2038</v>
      </c>
      <c r="Q22" s="35">
        <f t="shared" si="22"/>
        <v>2039</v>
      </c>
      <c r="R22" s="35">
        <f t="shared" si="22"/>
        <v>2040</v>
      </c>
      <c r="S22" s="35">
        <f t="shared" si="22"/>
        <v>2041</v>
      </c>
      <c r="T22" s="35">
        <f t="shared" si="22"/>
        <v>2042</v>
      </c>
      <c r="U22" s="35">
        <f t="shared" si="22"/>
        <v>2043</v>
      </c>
      <c r="V22" s="35">
        <f t="shared" si="22"/>
        <v>2044</v>
      </c>
      <c r="W22" s="35">
        <f t="shared" si="22"/>
        <v>2045</v>
      </c>
      <c r="X22" s="35">
        <f t="shared" si="22"/>
        <v>2046</v>
      </c>
      <c r="Y22" s="35">
        <f t="shared" si="22"/>
        <v>2047</v>
      </c>
      <c r="Z22" s="35">
        <f t="shared" si="22"/>
        <v>2048</v>
      </c>
      <c r="AA22" s="35">
        <f t="shared" si="22"/>
        <v>2049</v>
      </c>
      <c r="AB22" s="35">
        <f t="shared" si="22"/>
        <v>2050</v>
      </c>
      <c r="AC22" s="35">
        <f t="shared" si="22"/>
        <v>2051</v>
      </c>
      <c r="AD22" s="35">
        <f t="shared" si="22"/>
        <v>2052</v>
      </c>
      <c r="AE22" s="35">
        <f t="shared" si="22"/>
        <v>2053</v>
      </c>
      <c r="AF22" s="35">
        <f t="shared" si="22"/>
        <v>2054</v>
      </c>
      <c r="AG22" s="35">
        <f t="shared" si="22"/>
        <v>2055</v>
      </c>
      <c r="AH22" s="35">
        <f t="shared" ref="AH22:AN22" si="23">AH4</f>
        <v>2056</v>
      </c>
      <c r="AI22" s="35">
        <f t="shared" si="23"/>
        <v>2057</v>
      </c>
      <c r="AJ22" s="35">
        <f t="shared" si="23"/>
        <v>2058</v>
      </c>
      <c r="AK22" s="35">
        <f t="shared" si="23"/>
        <v>2059</v>
      </c>
      <c r="AL22" s="35">
        <f t="shared" si="23"/>
        <v>2060</v>
      </c>
      <c r="AM22" s="35">
        <f t="shared" si="23"/>
        <v>2061</v>
      </c>
      <c r="AN22" s="35">
        <f t="shared" si="23"/>
        <v>2062</v>
      </c>
      <c r="AO22" s="35">
        <f t="shared" ref="AO22:AQ22" si="24">AO4</f>
        <v>2063</v>
      </c>
      <c r="AP22" s="35">
        <f t="shared" si="24"/>
        <v>2064</v>
      </c>
      <c r="AQ22" s="35">
        <f t="shared" si="24"/>
        <v>2065</v>
      </c>
    </row>
    <row r="23" spans="2:43" x14ac:dyDescent="0.2">
      <c r="B23" s="31" t="s">
        <v>150</v>
      </c>
      <c r="C23" s="37">
        <f t="shared" ref="C23:C27" si="25">SUM(D23:AQ23)</f>
        <v>0</v>
      </c>
      <c r="D23" s="37">
        <f t="shared" ref="D23:AG23" si="26">D5-D14</f>
        <v>0</v>
      </c>
      <c r="E23" s="37">
        <f t="shared" si="26"/>
        <v>0</v>
      </c>
      <c r="F23" s="37">
        <f t="shared" si="26"/>
        <v>0</v>
      </c>
      <c r="G23" s="37">
        <f t="shared" si="26"/>
        <v>0</v>
      </c>
      <c r="H23" s="37">
        <f t="shared" si="26"/>
        <v>0</v>
      </c>
      <c r="I23" s="37">
        <f t="shared" si="26"/>
        <v>0</v>
      </c>
      <c r="J23" s="37">
        <f t="shared" si="26"/>
        <v>0</v>
      </c>
      <c r="K23" s="37">
        <f t="shared" si="26"/>
        <v>0</v>
      </c>
      <c r="L23" s="37">
        <f t="shared" si="26"/>
        <v>0</v>
      </c>
      <c r="M23" s="37">
        <f t="shared" si="26"/>
        <v>0</v>
      </c>
      <c r="N23" s="37">
        <f t="shared" si="26"/>
        <v>0</v>
      </c>
      <c r="O23" s="37">
        <f t="shared" si="26"/>
        <v>0</v>
      </c>
      <c r="P23" s="37">
        <f t="shared" si="26"/>
        <v>0</v>
      </c>
      <c r="Q23" s="37">
        <f t="shared" si="26"/>
        <v>0</v>
      </c>
      <c r="R23" s="37">
        <f t="shared" si="26"/>
        <v>0</v>
      </c>
      <c r="S23" s="37">
        <f t="shared" si="26"/>
        <v>0</v>
      </c>
      <c r="T23" s="37">
        <f t="shared" si="26"/>
        <v>0</v>
      </c>
      <c r="U23" s="37">
        <f t="shared" si="26"/>
        <v>0</v>
      </c>
      <c r="V23" s="37">
        <f t="shared" si="26"/>
        <v>0</v>
      </c>
      <c r="W23" s="37">
        <f t="shared" si="26"/>
        <v>0</v>
      </c>
      <c r="X23" s="37">
        <f t="shared" si="26"/>
        <v>0</v>
      </c>
      <c r="Y23" s="37">
        <f t="shared" si="26"/>
        <v>0</v>
      </c>
      <c r="Z23" s="37">
        <f t="shared" si="26"/>
        <v>0</v>
      </c>
      <c r="AA23" s="37">
        <f t="shared" si="26"/>
        <v>0</v>
      </c>
      <c r="AB23" s="37">
        <f t="shared" si="26"/>
        <v>0</v>
      </c>
      <c r="AC23" s="37">
        <f t="shared" si="26"/>
        <v>0</v>
      </c>
      <c r="AD23" s="37">
        <f t="shared" si="26"/>
        <v>0</v>
      </c>
      <c r="AE23" s="37">
        <f t="shared" si="26"/>
        <v>0</v>
      </c>
      <c r="AF23" s="37">
        <f t="shared" si="26"/>
        <v>0</v>
      </c>
      <c r="AG23" s="37">
        <f t="shared" si="26"/>
        <v>0</v>
      </c>
      <c r="AH23" s="37">
        <f t="shared" ref="AH23:AN23" si="27">AH5-AH14</f>
        <v>0</v>
      </c>
      <c r="AI23" s="37">
        <f t="shared" si="27"/>
        <v>0</v>
      </c>
      <c r="AJ23" s="37">
        <f t="shared" si="27"/>
        <v>0</v>
      </c>
      <c r="AK23" s="37">
        <f t="shared" si="27"/>
        <v>0</v>
      </c>
      <c r="AL23" s="37">
        <f t="shared" si="27"/>
        <v>0</v>
      </c>
      <c r="AM23" s="37">
        <f t="shared" si="27"/>
        <v>0</v>
      </c>
      <c r="AN23" s="37">
        <f t="shared" si="27"/>
        <v>0</v>
      </c>
      <c r="AO23" s="37">
        <f t="shared" ref="AO23:AQ23" si="28">AO5-AO14</f>
        <v>0</v>
      </c>
      <c r="AP23" s="37">
        <f t="shared" si="28"/>
        <v>0</v>
      </c>
      <c r="AQ23" s="37">
        <f t="shared" si="28"/>
        <v>0</v>
      </c>
    </row>
    <row r="24" spans="2:43" x14ac:dyDescent="0.2">
      <c r="B24" s="31" t="s">
        <v>151</v>
      </c>
      <c r="C24" s="37">
        <f t="shared" si="25"/>
        <v>0</v>
      </c>
      <c r="D24" s="37">
        <f t="shared" ref="D24:AG24" si="29">D6-D15</f>
        <v>0</v>
      </c>
      <c r="E24" s="37">
        <f t="shared" si="29"/>
        <v>0</v>
      </c>
      <c r="F24" s="37">
        <f t="shared" si="29"/>
        <v>0</v>
      </c>
      <c r="G24" s="37">
        <f t="shared" si="29"/>
        <v>0</v>
      </c>
      <c r="H24" s="37">
        <f t="shared" si="29"/>
        <v>0</v>
      </c>
      <c r="I24" s="37">
        <f t="shared" si="29"/>
        <v>0</v>
      </c>
      <c r="J24" s="37">
        <f t="shared" si="29"/>
        <v>0</v>
      </c>
      <c r="K24" s="37">
        <f t="shared" si="29"/>
        <v>0</v>
      </c>
      <c r="L24" s="37">
        <f t="shared" si="29"/>
        <v>0</v>
      </c>
      <c r="M24" s="37">
        <f t="shared" si="29"/>
        <v>0</v>
      </c>
      <c r="N24" s="37">
        <f t="shared" si="29"/>
        <v>0</v>
      </c>
      <c r="O24" s="37">
        <f t="shared" si="29"/>
        <v>0</v>
      </c>
      <c r="P24" s="37">
        <f t="shared" si="29"/>
        <v>0</v>
      </c>
      <c r="Q24" s="37">
        <f t="shared" si="29"/>
        <v>0</v>
      </c>
      <c r="R24" s="37">
        <f t="shared" si="29"/>
        <v>0</v>
      </c>
      <c r="S24" s="37">
        <f t="shared" si="29"/>
        <v>0</v>
      </c>
      <c r="T24" s="37">
        <f t="shared" si="29"/>
        <v>0</v>
      </c>
      <c r="U24" s="37">
        <f t="shared" si="29"/>
        <v>0</v>
      </c>
      <c r="V24" s="37">
        <f t="shared" si="29"/>
        <v>0</v>
      </c>
      <c r="W24" s="37">
        <f t="shared" si="29"/>
        <v>0</v>
      </c>
      <c r="X24" s="37">
        <f t="shared" si="29"/>
        <v>0</v>
      </c>
      <c r="Y24" s="37">
        <f t="shared" si="29"/>
        <v>0</v>
      </c>
      <c r="Z24" s="37">
        <f t="shared" si="29"/>
        <v>0</v>
      </c>
      <c r="AA24" s="37">
        <f t="shared" si="29"/>
        <v>0</v>
      </c>
      <c r="AB24" s="37">
        <f t="shared" si="29"/>
        <v>0</v>
      </c>
      <c r="AC24" s="37">
        <f t="shared" si="29"/>
        <v>0</v>
      </c>
      <c r="AD24" s="37">
        <f t="shared" si="29"/>
        <v>0</v>
      </c>
      <c r="AE24" s="37">
        <f t="shared" si="29"/>
        <v>0</v>
      </c>
      <c r="AF24" s="37">
        <f t="shared" si="29"/>
        <v>0</v>
      </c>
      <c r="AG24" s="37">
        <f t="shared" si="29"/>
        <v>0</v>
      </c>
      <c r="AH24" s="37">
        <f t="shared" ref="AH24:AN24" si="30">AH6-AH15</f>
        <v>0</v>
      </c>
      <c r="AI24" s="37">
        <f t="shared" si="30"/>
        <v>0</v>
      </c>
      <c r="AJ24" s="37">
        <f t="shared" si="30"/>
        <v>0</v>
      </c>
      <c r="AK24" s="37">
        <f t="shared" si="30"/>
        <v>0</v>
      </c>
      <c r="AL24" s="37">
        <f t="shared" si="30"/>
        <v>0</v>
      </c>
      <c r="AM24" s="37">
        <f t="shared" si="30"/>
        <v>0</v>
      </c>
      <c r="AN24" s="37">
        <f t="shared" si="30"/>
        <v>0</v>
      </c>
      <c r="AO24" s="37">
        <f t="shared" ref="AO24:AQ24" si="31">AO6-AO15</f>
        <v>0</v>
      </c>
      <c r="AP24" s="37">
        <f t="shared" si="31"/>
        <v>0</v>
      </c>
      <c r="AQ24" s="37">
        <f t="shared" si="31"/>
        <v>0</v>
      </c>
    </row>
    <row r="25" spans="2:43" x14ac:dyDescent="0.2">
      <c r="B25" s="31" t="s">
        <v>152</v>
      </c>
      <c r="C25" s="37">
        <f t="shared" si="25"/>
        <v>0</v>
      </c>
      <c r="D25" s="37">
        <f t="shared" ref="D25:AG25" si="32">D7-D16</f>
        <v>0</v>
      </c>
      <c r="E25" s="37">
        <f t="shared" si="32"/>
        <v>0</v>
      </c>
      <c r="F25" s="37">
        <f t="shared" si="32"/>
        <v>0</v>
      </c>
      <c r="G25" s="37">
        <f t="shared" si="32"/>
        <v>0</v>
      </c>
      <c r="H25" s="37">
        <f t="shared" si="32"/>
        <v>0</v>
      </c>
      <c r="I25" s="37">
        <f t="shared" si="32"/>
        <v>0</v>
      </c>
      <c r="J25" s="37">
        <f t="shared" si="32"/>
        <v>0</v>
      </c>
      <c r="K25" s="37">
        <f t="shared" si="32"/>
        <v>0</v>
      </c>
      <c r="L25" s="37">
        <f t="shared" si="32"/>
        <v>0</v>
      </c>
      <c r="M25" s="37">
        <f t="shared" si="32"/>
        <v>0</v>
      </c>
      <c r="N25" s="37">
        <f t="shared" si="32"/>
        <v>0</v>
      </c>
      <c r="O25" s="37">
        <f t="shared" si="32"/>
        <v>0</v>
      </c>
      <c r="P25" s="37">
        <f t="shared" si="32"/>
        <v>0</v>
      </c>
      <c r="Q25" s="37">
        <f t="shared" si="32"/>
        <v>0</v>
      </c>
      <c r="R25" s="37">
        <f t="shared" si="32"/>
        <v>0</v>
      </c>
      <c r="S25" s="37">
        <f t="shared" si="32"/>
        <v>0</v>
      </c>
      <c r="T25" s="37">
        <f t="shared" si="32"/>
        <v>0</v>
      </c>
      <c r="U25" s="37">
        <f t="shared" si="32"/>
        <v>0</v>
      </c>
      <c r="V25" s="37">
        <f t="shared" si="32"/>
        <v>0</v>
      </c>
      <c r="W25" s="37">
        <f t="shared" si="32"/>
        <v>0</v>
      </c>
      <c r="X25" s="37">
        <f t="shared" si="32"/>
        <v>0</v>
      </c>
      <c r="Y25" s="37">
        <f t="shared" si="32"/>
        <v>0</v>
      </c>
      <c r="Z25" s="37">
        <f t="shared" si="32"/>
        <v>0</v>
      </c>
      <c r="AA25" s="37">
        <f t="shared" si="32"/>
        <v>0</v>
      </c>
      <c r="AB25" s="37">
        <f t="shared" si="32"/>
        <v>0</v>
      </c>
      <c r="AC25" s="37">
        <f t="shared" si="32"/>
        <v>0</v>
      </c>
      <c r="AD25" s="37">
        <f t="shared" si="32"/>
        <v>0</v>
      </c>
      <c r="AE25" s="37">
        <f t="shared" si="32"/>
        <v>0</v>
      </c>
      <c r="AF25" s="37">
        <f t="shared" si="32"/>
        <v>0</v>
      </c>
      <c r="AG25" s="37">
        <f t="shared" si="32"/>
        <v>0</v>
      </c>
      <c r="AH25" s="37">
        <f t="shared" ref="AH25:AN25" si="33">AH7-AH16</f>
        <v>0</v>
      </c>
      <c r="AI25" s="37">
        <f t="shared" si="33"/>
        <v>0</v>
      </c>
      <c r="AJ25" s="37">
        <f t="shared" si="33"/>
        <v>0</v>
      </c>
      <c r="AK25" s="37">
        <f t="shared" si="33"/>
        <v>0</v>
      </c>
      <c r="AL25" s="37">
        <f t="shared" si="33"/>
        <v>0</v>
      </c>
      <c r="AM25" s="37">
        <f t="shared" si="33"/>
        <v>0</v>
      </c>
      <c r="AN25" s="37">
        <f t="shared" si="33"/>
        <v>0</v>
      </c>
      <c r="AO25" s="37">
        <f t="shared" ref="AO25:AQ25" si="34">AO7-AO16</f>
        <v>0</v>
      </c>
      <c r="AP25" s="37">
        <f t="shared" si="34"/>
        <v>0</v>
      </c>
      <c r="AQ25" s="37">
        <f t="shared" si="34"/>
        <v>0</v>
      </c>
    </row>
    <row r="26" spans="2:43" x14ac:dyDescent="0.2">
      <c r="B26" s="162" t="s">
        <v>59</v>
      </c>
      <c r="C26" s="163">
        <f t="shared" si="25"/>
        <v>0</v>
      </c>
      <c r="D26" s="164">
        <f t="shared" ref="D26:AG26" si="35">SUM(D23:D25)</f>
        <v>0</v>
      </c>
      <c r="E26" s="163">
        <f t="shared" si="35"/>
        <v>0</v>
      </c>
      <c r="F26" s="163">
        <f t="shared" si="35"/>
        <v>0</v>
      </c>
      <c r="G26" s="163">
        <f t="shared" si="35"/>
        <v>0</v>
      </c>
      <c r="H26" s="163">
        <f t="shared" si="35"/>
        <v>0</v>
      </c>
      <c r="I26" s="163">
        <f t="shared" si="35"/>
        <v>0</v>
      </c>
      <c r="J26" s="163">
        <f t="shared" si="35"/>
        <v>0</v>
      </c>
      <c r="K26" s="163">
        <f t="shared" si="35"/>
        <v>0</v>
      </c>
      <c r="L26" s="163">
        <f t="shared" si="35"/>
        <v>0</v>
      </c>
      <c r="M26" s="163">
        <f t="shared" si="35"/>
        <v>0</v>
      </c>
      <c r="N26" s="163">
        <f t="shared" si="35"/>
        <v>0</v>
      </c>
      <c r="O26" s="163">
        <f t="shared" si="35"/>
        <v>0</v>
      </c>
      <c r="P26" s="163">
        <f t="shared" si="35"/>
        <v>0</v>
      </c>
      <c r="Q26" s="163">
        <f t="shared" si="35"/>
        <v>0</v>
      </c>
      <c r="R26" s="163">
        <f t="shared" si="35"/>
        <v>0</v>
      </c>
      <c r="S26" s="163">
        <f t="shared" si="35"/>
        <v>0</v>
      </c>
      <c r="T26" s="163">
        <f t="shared" si="35"/>
        <v>0</v>
      </c>
      <c r="U26" s="163">
        <f t="shared" si="35"/>
        <v>0</v>
      </c>
      <c r="V26" s="163">
        <f t="shared" si="35"/>
        <v>0</v>
      </c>
      <c r="W26" s="163">
        <f t="shared" si="35"/>
        <v>0</v>
      </c>
      <c r="X26" s="163">
        <f t="shared" si="35"/>
        <v>0</v>
      </c>
      <c r="Y26" s="163">
        <f t="shared" si="35"/>
        <v>0</v>
      </c>
      <c r="Z26" s="163">
        <f t="shared" si="35"/>
        <v>0</v>
      </c>
      <c r="AA26" s="163">
        <f t="shared" si="35"/>
        <v>0</v>
      </c>
      <c r="AB26" s="163">
        <f t="shared" si="35"/>
        <v>0</v>
      </c>
      <c r="AC26" s="163">
        <f t="shared" si="35"/>
        <v>0</v>
      </c>
      <c r="AD26" s="163">
        <f t="shared" si="35"/>
        <v>0</v>
      </c>
      <c r="AE26" s="163">
        <f t="shared" si="35"/>
        <v>0</v>
      </c>
      <c r="AF26" s="163">
        <f t="shared" si="35"/>
        <v>0</v>
      </c>
      <c r="AG26" s="163">
        <f t="shared" si="35"/>
        <v>0</v>
      </c>
      <c r="AH26" s="163">
        <f t="shared" ref="AH26:AN26" si="36">SUM(AH23:AH25)</f>
        <v>0</v>
      </c>
      <c r="AI26" s="163">
        <f t="shared" si="36"/>
        <v>0</v>
      </c>
      <c r="AJ26" s="163">
        <f t="shared" si="36"/>
        <v>0</v>
      </c>
      <c r="AK26" s="163">
        <f t="shared" si="36"/>
        <v>0</v>
      </c>
      <c r="AL26" s="163">
        <f t="shared" si="36"/>
        <v>0</v>
      </c>
      <c r="AM26" s="163">
        <f t="shared" si="36"/>
        <v>0</v>
      </c>
      <c r="AN26" s="163">
        <f t="shared" si="36"/>
        <v>0</v>
      </c>
      <c r="AO26" s="163">
        <f t="shared" ref="AO26:AQ26" si="37">SUM(AO23:AO25)</f>
        <v>0</v>
      </c>
      <c r="AP26" s="163">
        <f t="shared" si="37"/>
        <v>0</v>
      </c>
      <c r="AQ26" s="163">
        <f t="shared" si="37"/>
        <v>0</v>
      </c>
    </row>
    <row r="27" spans="2:43" x14ac:dyDescent="0.2">
      <c r="B27" s="169" t="s">
        <v>409</v>
      </c>
      <c r="C27" s="167">
        <f t="shared" si="25"/>
        <v>0</v>
      </c>
      <c r="D27" s="167">
        <f>(D23*Parametre!$C$117)+(D24*Parametre!$D$117)+(D25*Parametre!$E$117)</f>
        <v>0</v>
      </c>
      <c r="E27" s="167">
        <f>(E23*Parametre!$C$117)+(E24*Parametre!$D$117)+(E25*Parametre!$E$117)</f>
        <v>0</v>
      </c>
      <c r="F27" s="167">
        <f>(F23*Parametre!$C$117)+(F24*Parametre!$D$117)+(F25*Parametre!$E$117)</f>
        <v>0</v>
      </c>
      <c r="G27" s="167">
        <f>(G23*Parametre!$C$117)+(G24*Parametre!$D$117)+(G25*Parametre!$E$117)</f>
        <v>0</v>
      </c>
      <c r="H27" s="167">
        <f>(H23*Parametre!$C$117)+(H24*Parametre!$D$117)+(H25*Parametre!$E$117)</f>
        <v>0</v>
      </c>
      <c r="I27" s="167">
        <f>(I23*Parametre!$C$117)+(I24*Parametre!$D$117)+(I25*Parametre!$E$117)</f>
        <v>0</v>
      </c>
      <c r="J27" s="167">
        <f>(J23*Parametre!$C$117)+(J24*Parametre!$D$117)+(J25*Parametre!$E$117)</f>
        <v>0</v>
      </c>
      <c r="K27" s="167">
        <f>(K23*Parametre!$C$117)+(K24*Parametre!$D$117)+(K25*Parametre!$E$117)</f>
        <v>0</v>
      </c>
      <c r="L27" s="167">
        <f>(L23*Parametre!$C$117)+(L24*Parametre!$D$117)+(L25*Parametre!$E$117)</f>
        <v>0</v>
      </c>
      <c r="M27" s="167">
        <f>(M23*Parametre!$C$117)+(M24*Parametre!$D$117)+(M25*Parametre!$E$117)</f>
        <v>0</v>
      </c>
      <c r="N27" s="167">
        <f>(N23*Parametre!$C$117)+(N24*Parametre!$D$117)+(N25*Parametre!$E$117)</f>
        <v>0</v>
      </c>
      <c r="O27" s="167">
        <f>(O23*Parametre!$C$117)+(O24*Parametre!$D$117)+(O25*Parametre!$E$117)</f>
        <v>0</v>
      </c>
      <c r="P27" s="167">
        <f>(P23*Parametre!$C$117)+(P24*Parametre!$D$117)+(P25*Parametre!$E$117)</f>
        <v>0</v>
      </c>
      <c r="Q27" s="167">
        <f>(Q23*Parametre!$C$117)+(Q24*Parametre!$D$117)+(Q25*Parametre!$E$117)</f>
        <v>0</v>
      </c>
      <c r="R27" s="167">
        <f>(R23*Parametre!$C$117)+(R24*Parametre!$D$117)+(R25*Parametre!$E$117)</f>
        <v>0</v>
      </c>
      <c r="S27" s="167">
        <f>(S23*Parametre!$C$117)+(S24*Parametre!$D$117)+(S25*Parametre!$E$117)</f>
        <v>0</v>
      </c>
      <c r="T27" s="167">
        <f>(T23*Parametre!$C$117)+(T24*Parametre!$D$117)+(T25*Parametre!$E$117)</f>
        <v>0</v>
      </c>
      <c r="U27" s="167">
        <f>(U23*Parametre!$C$117)+(U24*Parametre!$D$117)+(U25*Parametre!$E$117)</f>
        <v>0</v>
      </c>
      <c r="V27" s="167">
        <f>(V23*Parametre!$C$117)+(V24*Parametre!$D$117)+(V25*Parametre!$E$117)</f>
        <v>0</v>
      </c>
      <c r="W27" s="167">
        <f>(W23*Parametre!$C$117)+(W24*Parametre!$D$117)+(W25*Parametre!$E$117)</f>
        <v>0</v>
      </c>
      <c r="X27" s="167">
        <f>(X23*Parametre!$C$117)+(X24*Parametre!$D$117)+(X25*Parametre!$E$117)</f>
        <v>0</v>
      </c>
      <c r="Y27" s="167">
        <f>(Y23*Parametre!$C$117)+(Y24*Parametre!$D$117)+(Y25*Parametre!$E$117)</f>
        <v>0</v>
      </c>
      <c r="Z27" s="167">
        <f>(Z23*Parametre!$C$117)+(Z24*Parametre!$D$117)+(Z25*Parametre!$E$117)</f>
        <v>0</v>
      </c>
      <c r="AA27" s="167">
        <f>(AA23*Parametre!$C$117)+(AA24*Parametre!$D$117)+(AA25*Parametre!$E$117)</f>
        <v>0</v>
      </c>
      <c r="AB27" s="167">
        <f>(AB23*Parametre!$C$117)+(AB24*Parametre!$D$117)+(AB25*Parametre!$E$117)</f>
        <v>0</v>
      </c>
      <c r="AC27" s="167">
        <f>(AC23*Parametre!$C$117)+(AC24*Parametre!$D$117)+(AC25*Parametre!$E$117)</f>
        <v>0</v>
      </c>
      <c r="AD27" s="167">
        <f>(AD23*Parametre!$C$117)+(AD24*Parametre!$D$117)+(AD25*Parametre!$E$117)</f>
        <v>0</v>
      </c>
      <c r="AE27" s="167">
        <f>(AE23*Parametre!$C$117)+(AE24*Parametre!$D$117)+(AE25*Parametre!$E$117)</f>
        <v>0</v>
      </c>
      <c r="AF27" s="167">
        <f>(AF23*Parametre!$C$117)+(AF24*Parametre!$D$117)+(AF25*Parametre!$E$117)</f>
        <v>0</v>
      </c>
      <c r="AG27" s="167">
        <f>(AG23*Parametre!$C$117)+(AG24*Parametre!$D$117)+(AG25*Parametre!$E$117)</f>
        <v>0</v>
      </c>
      <c r="AH27" s="167">
        <f>(AH23*Parametre!$C$117)+(AH24*Parametre!$D$117)+(AH25*Parametre!$E$117)</f>
        <v>0</v>
      </c>
      <c r="AI27" s="167">
        <f>(AI23*Parametre!$C$117)+(AI24*Parametre!$D$117)+(AI25*Parametre!$E$117)</f>
        <v>0</v>
      </c>
      <c r="AJ27" s="167">
        <f>(AJ23*Parametre!$C$117)+(AJ24*Parametre!$D$117)+(AJ25*Parametre!$E$117)</f>
        <v>0</v>
      </c>
      <c r="AK27" s="167">
        <f>(AK23*Parametre!$C$117)+(AK24*Parametre!$D$117)+(AK25*Parametre!$E$117)</f>
        <v>0</v>
      </c>
      <c r="AL27" s="167">
        <f>(AL23*Parametre!$C$117)+(AL24*Parametre!$D$117)+(AL25*Parametre!$E$117)</f>
        <v>0</v>
      </c>
      <c r="AM27" s="167">
        <f>(AM23*Parametre!$C$117)+(AM24*Parametre!$D$117)+(AM25*Parametre!$E$117)</f>
        <v>0</v>
      </c>
      <c r="AN27" s="167">
        <f>(AN23*Parametre!$C$117)+(AN24*Parametre!$D$117)+(AN25*Parametre!$E$117)</f>
        <v>0</v>
      </c>
      <c r="AO27" s="167">
        <f>(AO23*Parametre!$C$117)+(AO24*Parametre!$D$117)+(AO25*Parametre!$E$117)</f>
        <v>0</v>
      </c>
      <c r="AP27" s="167">
        <f>(AP23*Parametre!$C$117)+(AP24*Parametre!$D$117)+(AP25*Parametre!$E$117)</f>
        <v>0</v>
      </c>
      <c r="AQ27" s="167">
        <f>(AQ23*Parametre!$C$117)+(AQ24*Parametre!$D$117)+(AQ25*Parametre!$E$117)</f>
        <v>0</v>
      </c>
    </row>
    <row r="30" spans="2:43" x14ac:dyDescent="0.2">
      <c r="B30" s="733" t="s">
        <v>456</v>
      </c>
      <c r="C30" s="31"/>
      <c r="D30" s="31" t="s">
        <v>10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</row>
    <row r="31" spans="2:43" x14ac:dyDescent="0.2">
      <c r="B31" s="737"/>
      <c r="C31" s="32"/>
      <c r="D31" s="33">
        <v>1</v>
      </c>
      <c r="E31" s="33">
        <v>2</v>
      </c>
      <c r="F31" s="33">
        <v>3</v>
      </c>
      <c r="G31" s="33">
        <v>4</v>
      </c>
      <c r="H31" s="33">
        <v>5</v>
      </c>
      <c r="I31" s="33">
        <v>6</v>
      </c>
      <c r="J31" s="33">
        <v>7</v>
      </c>
      <c r="K31" s="33">
        <v>8</v>
      </c>
      <c r="L31" s="33">
        <v>9</v>
      </c>
      <c r="M31" s="33">
        <v>10</v>
      </c>
      <c r="N31" s="33">
        <v>11</v>
      </c>
      <c r="O31" s="33">
        <v>12</v>
      </c>
      <c r="P31" s="33">
        <v>13</v>
      </c>
      <c r="Q31" s="33">
        <v>14</v>
      </c>
      <c r="R31" s="33">
        <v>15</v>
      </c>
      <c r="S31" s="33">
        <v>16</v>
      </c>
      <c r="T31" s="33">
        <v>17</v>
      </c>
      <c r="U31" s="33">
        <v>18</v>
      </c>
      <c r="V31" s="33">
        <v>19</v>
      </c>
      <c r="W31" s="33">
        <v>20</v>
      </c>
      <c r="X31" s="33">
        <v>21</v>
      </c>
      <c r="Y31" s="33">
        <v>22</v>
      </c>
      <c r="Z31" s="33">
        <v>23</v>
      </c>
      <c r="AA31" s="33">
        <v>24</v>
      </c>
      <c r="AB31" s="33">
        <v>25</v>
      </c>
      <c r="AC31" s="33">
        <v>26</v>
      </c>
      <c r="AD31" s="33">
        <v>27</v>
      </c>
      <c r="AE31" s="33">
        <v>28</v>
      </c>
      <c r="AF31" s="33">
        <v>29</v>
      </c>
      <c r="AG31" s="33">
        <v>30</v>
      </c>
      <c r="AH31" s="33">
        <v>31</v>
      </c>
      <c r="AI31" s="33">
        <v>32</v>
      </c>
      <c r="AJ31" s="33">
        <v>33</v>
      </c>
      <c r="AK31" s="33">
        <v>34</v>
      </c>
      <c r="AL31" s="33">
        <v>35</v>
      </c>
      <c r="AM31" s="33">
        <v>36</v>
      </c>
      <c r="AN31" s="33">
        <v>37</v>
      </c>
      <c r="AO31" s="33">
        <v>38</v>
      </c>
      <c r="AP31" s="33">
        <v>39</v>
      </c>
      <c r="AQ31" s="33">
        <v>40</v>
      </c>
    </row>
    <row r="32" spans="2:43" x14ac:dyDescent="0.2">
      <c r="B32" s="34" t="s">
        <v>33</v>
      </c>
      <c r="C32" s="34" t="s">
        <v>9</v>
      </c>
      <c r="D32" s="35">
        <f>D4</f>
        <v>2026</v>
      </c>
      <c r="E32" s="35">
        <f t="shared" ref="E32:AG32" si="38">E4</f>
        <v>2027</v>
      </c>
      <c r="F32" s="35">
        <f t="shared" si="38"/>
        <v>2028</v>
      </c>
      <c r="G32" s="35">
        <f t="shared" si="38"/>
        <v>2029</v>
      </c>
      <c r="H32" s="35">
        <f t="shared" si="38"/>
        <v>2030</v>
      </c>
      <c r="I32" s="35">
        <f t="shared" si="38"/>
        <v>2031</v>
      </c>
      <c r="J32" s="35">
        <f t="shared" si="38"/>
        <v>2032</v>
      </c>
      <c r="K32" s="35">
        <f t="shared" si="38"/>
        <v>2033</v>
      </c>
      <c r="L32" s="35">
        <f t="shared" si="38"/>
        <v>2034</v>
      </c>
      <c r="M32" s="35">
        <f t="shared" si="38"/>
        <v>2035</v>
      </c>
      <c r="N32" s="35">
        <f t="shared" si="38"/>
        <v>2036</v>
      </c>
      <c r="O32" s="35">
        <f t="shared" si="38"/>
        <v>2037</v>
      </c>
      <c r="P32" s="35">
        <f t="shared" si="38"/>
        <v>2038</v>
      </c>
      <c r="Q32" s="35">
        <f t="shared" si="38"/>
        <v>2039</v>
      </c>
      <c r="R32" s="35">
        <f t="shared" si="38"/>
        <v>2040</v>
      </c>
      <c r="S32" s="35">
        <f t="shared" si="38"/>
        <v>2041</v>
      </c>
      <c r="T32" s="35">
        <f t="shared" si="38"/>
        <v>2042</v>
      </c>
      <c r="U32" s="35">
        <f t="shared" si="38"/>
        <v>2043</v>
      </c>
      <c r="V32" s="35">
        <f t="shared" si="38"/>
        <v>2044</v>
      </c>
      <c r="W32" s="35">
        <f t="shared" si="38"/>
        <v>2045</v>
      </c>
      <c r="X32" s="35">
        <f t="shared" si="38"/>
        <v>2046</v>
      </c>
      <c r="Y32" s="35">
        <f t="shared" si="38"/>
        <v>2047</v>
      </c>
      <c r="Z32" s="35">
        <f t="shared" si="38"/>
        <v>2048</v>
      </c>
      <c r="AA32" s="35">
        <f t="shared" si="38"/>
        <v>2049</v>
      </c>
      <c r="AB32" s="35">
        <f t="shared" si="38"/>
        <v>2050</v>
      </c>
      <c r="AC32" s="35">
        <f t="shared" si="38"/>
        <v>2051</v>
      </c>
      <c r="AD32" s="35">
        <f t="shared" si="38"/>
        <v>2052</v>
      </c>
      <c r="AE32" s="35">
        <f t="shared" si="38"/>
        <v>2053</v>
      </c>
      <c r="AF32" s="35">
        <f t="shared" si="38"/>
        <v>2054</v>
      </c>
      <c r="AG32" s="35">
        <f t="shared" si="38"/>
        <v>2055</v>
      </c>
      <c r="AH32" s="35">
        <f t="shared" ref="AH32:AN32" si="39">AH4</f>
        <v>2056</v>
      </c>
      <c r="AI32" s="35">
        <f t="shared" si="39"/>
        <v>2057</v>
      </c>
      <c r="AJ32" s="35">
        <f t="shared" si="39"/>
        <v>2058</v>
      </c>
      <c r="AK32" s="35">
        <f t="shared" si="39"/>
        <v>2059</v>
      </c>
      <c r="AL32" s="35">
        <f t="shared" si="39"/>
        <v>2060</v>
      </c>
      <c r="AM32" s="35">
        <f t="shared" si="39"/>
        <v>2061</v>
      </c>
      <c r="AN32" s="35">
        <f t="shared" si="39"/>
        <v>2062</v>
      </c>
      <c r="AO32" s="35">
        <f t="shared" ref="AO32:AQ32" si="40">AO4</f>
        <v>2063</v>
      </c>
      <c r="AP32" s="35">
        <f t="shared" si="40"/>
        <v>2064</v>
      </c>
      <c r="AQ32" s="35">
        <f t="shared" si="40"/>
        <v>2065</v>
      </c>
    </row>
    <row r="33" spans="2:43" x14ac:dyDescent="0.2">
      <c r="B33" s="759" t="s">
        <v>230</v>
      </c>
      <c r="C33" s="37">
        <f t="shared" ref="C33:C38" si="41">SUM(D33:AQ33)</f>
        <v>0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2:43" x14ac:dyDescent="0.2">
      <c r="B34" s="759" t="s">
        <v>287</v>
      </c>
      <c r="C34" s="37">
        <f t="shared" si="41"/>
        <v>0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</row>
    <row r="35" spans="2:43" x14ac:dyDescent="0.2">
      <c r="B35" s="759" t="s">
        <v>239</v>
      </c>
      <c r="C35" s="37">
        <f t="shared" si="41"/>
        <v>1337612891.999999</v>
      </c>
      <c r="D35" s="121">
        <f>'12a_A Skleník. p. (voz.)NOV200 '!D6</f>
        <v>33440322.299999997</v>
      </c>
      <c r="E35" s="121">
        <f>'12a_A Skleník. p. (voz.)NOV200 '!E6</f>
        <v>33440322.299999997</v>
      </c>
      <c r="F35" s="121">
        <f>'12a_A Skleník. p. (voz.)NOV200 '!F6</f>
        <v>33440322.299999997</v>
      </c>
      <c r="G35" s="121">
        <f>'12a_A Skleník. p. (voz.)NOV200 '!G6</f>
        <v>33440322.299999997</v>
      </c>
      <c r="H35" s="121">
        <f>'12a_A Skleník. p. (voz.)NOV200 '!H6</f>
        <v>33440322.299999997</v>
      </c>
      <c r="I35" s="121">
        <f>'12a_A Skleník. p. (voz.)NOV200 '!I6</f>
        <v>33440322.299999997</v>
      </c>
      <c r="J35" s="121">
        <f>'12a_A Skleník. p. (voz.)NOV200 '!J6</f>
        <v>33440322.299999997</v>
      </c>
      <c r="K35" s="121">
        <f>'12a_A Skleník. p. (voz.)NOV200 '!K6</f>
        <v>33440322.299999997</v>
      </c>
      <c r="L35" s="121">
        <f>'12a_A Skleník. p. (voz.)NOV200 '!L6</f>
        <v>33440322.299999997</v>
      </c>
      <c r="M35" s="121">
        <f>'12a_A Skleník. p. (voz.)NOV200 '!M6</f>
        <v>33440322.299999997</v>
      </c>
      <c r="N35" s="121">
        <f>'12a_A Skleník. p. (voz.)NOV200 '!N6</f>
        <v>33440322.299999997</v>
      </c>
      <c r="O35" s="121">
        <f>'12a_A Skleník. p. (voz.)NOV200 '!O6</f>
        <v>33440322.299999997</v>
      </c>
      <c r="P35" s="121">
        <f>'12a_A Skleník. p. (voz.)NOV200 '!P6</f>
        <v>33440322.299999997</v>
      </c>
      <c r="Q35" s="121">
        <f>'12a_A Skleník. p. (voz.)NOV200 '!Q6</f>
        <v>33440322.299999997</v>
      </c>
      <c r="R35" s="121">
        <f>'12a_A Skleník. p. (voz.)NOV200 '!R6</f>
        <v>33440322.299999997</v>
      </c>
      <c r="S35" s="121">
        <f>'12a_A Skleník. p. (voz.)NOV200 '!S6</f>
        <v>33440322.299999997</v>
      </c>
      <c r="T35" s="121">
        <f>'12a_A Skleník. p. (voz.)NOV200 '!T6</f>
        <v>33440322.299999997</v>
      </c>
      <c r="U35" s="121">
        <f>'12a_A Skleník. p. (voz.)NOV200 '!U6</f>
        <v>33440322.299999997</v>
      </c>
      <c r="V35" s="121">
        <f>'12a_A Skleník. p. (voz.)NOV200 '!V6</f>
        <v>33440322.299999997</v>
      </c>
      <c r="W35" s="121">
        <f>'12a_A Skleník. p. (voz.)NOV200 '!W6</f>
        <v>33440322.299999997</v>
      </c>
      <c r="X35" s="121">
        <f>'12a_A Skleník. p. (voz.)NOV200 '!X6</f>
        <v>33440322.299999997</v>
      </c>
      <c r="Y35" s="121">
        <f>'12a_A Skleník. p. (voz.)NOV200 '!Y6</f>
        <v>33440322.299999997</v>
      </c>
      <c r="Z35" s="121">
        <f>'12a_A Skleník. p. (voz.)NOV200 '!Z6</f>
        <v>33440322.299999997</v>
      </c>
      <c r="AA35" s="121">
        <f>'12a_A Skleník. p. (voz.)NOV200 '!AA6</f>
        <v>33440322.299999997</v>
      </c>
      <c r="AB35" s="121">
        <f>'12a_A Skleník. p. (voz.)NOV200 '!AB6</f>
        <v>33440322.299999997</v>
      </c>
      <c r="AC35" s="121">
        <f>'12a_A Skleník. p. (voz.)NOV200 '!AC6</f>
        <v>33440322.299999997</v>
      </c>
      <c r="AD35" s="121">
        <f>'12a_A Skleník. p. (voz.)NOV200 '!AD6</f>
        <v>33440322.299999997</v>
      </c>
      <c r="AE35" s="121">
        <f>'12a_A Skleník. p. (voz.)NOV200 '!AE6</f>
        <v>33440322.299999997</v>
      </c>
      <c r="AF35" s="121">
        <f>'12a_A Skleník. p. (voz.)NOV200 '!AF6</f>
        <v>33440322.299999997</v>
      </c>
      <c r="AG35" s="121">
        <f>'12a_A Skleník. p. (voz.)NOV200 '!AG6</f>
        <v>33440322.299999997</v>
      </c>
      <c r="AH35" s="121">
        <f>'12a_A Skleník. p. (voz.)NOV200 '!AH6</f>
        <v>33440322.299999997</v>
      </c>
      <c r="AI35" s="121">
        <f>'12a_A Skleník. p. (voz.)NOV200 '!AI6</f>
        <v>33440322.299999997</v>
      </c>
      <c r="AJ35" s="121">
        <f>'12a_A Skleník. p. (voz.)NOV200 '!AJ6</f>
        <v>33440322.299999997</v>
      </c>
      <c r="AK35" s="121">
        <f>'12a_A Skleník. p. (voz.)NOV200 '!AK6</f>
        <v>33440322.299999997</v>
      </c>
      <c r="AL35" s="121">
        <f>'12a_A Skleník. p. (voz.)NOV200 '!AL6</f>
        <v>33440322.299999997</v>
      </c>
      <c r="AM35" s="121">
        <f>'12a_A Skleník. p. (voz.)NOV200 '!AM6</f>
        <v>33440322.299999997</v>
      </c>
      <c r="AN35" s="121">
        <f>'12a_A Skleník. p. (voz.)NOV200 '!AN6</f>
        <v>33440322.299999997</v>
      </c>
      <c r="AO35" s="121">
        <f>'12a_A Skleník. p. (voz.)NOV200 '!AO6</f>
        <v>33440322.299999997</v>
      </c>
      <c r="AP35" s="121">
        <f>'12a_A Skleník. p. (voz.)NOV200 '!AP6</f>
        <v>33440322.299999997</v>
      </c>
      <c r="AQ35" s="121">
        <f>'12a_A Skleník. p. (voz.)NOV200 '!AQ6</f>
        <v>33440322.299999997</v>
      </c>
    </row>
    <row r="36" spans="2:43" x14ac:dyDescent="0.2">
      <c r="B36" s="759" t="s">
        <v>240</v>
      </c>
      <c r="C36" s="37">
        <f t="shared" si="41"/>
        <v>0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</row>
    <row r="37" spans="2:43" x14ac:dyDescent="0.2">
      <c r="B37" s="759" t="s">
        <v>601</v>
      </c>
      <c r="C37" s="37">
        <f t="shared" si="41"/>
        <v>0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</row>
    <row r="38" spans="2:43" x14ac:dyDescent="0.2">
      <c r="B38" s="32" t="s">
        <v>35</v>
      </c>
      <c r="C38" s="122">
        <f t="shared" si="41"/>
        <v>1337612891.999999</v>
      </c>
      <c r="D38" s="122">
        <f t="shared" ref="D38:AG38" si="42">SUM(D33:D37)</f>
        <v>33440322.299999997</v>
      </c>
      <c r="E38" s="122">
        <f t="shared" si="42"/>
        <v>33440322.299999997</v>
      </c>
      <c r="F38" s="122">
        <f t="shared" si="42"/>
        <v>33440322.299999997</v>
      </c>
      <c r="G38" s="122">
        <f t="shared" si="42"/>
        <v>33440322.299999997</v>
      </c>
      <c r="H38" s="122">
        <f t="shared" si="42"/>
        <v>33440322.299999997</v>
      </c>
      <c r="I38" s="122">
        <f t="shared" si="42"/>
        <v>33440322.299999997</v>
      </c>
      <c r="J38" s="122">
        <f t="shared" si="42"/>
        <v>33440322.299999997</v>
      </c>
      <c r="K38" s="122">
        <f t="shared" si="42"/>
        <v>33440322.299999997</v>
      </c>
      <c r="L38" s="122">
        <f t="shared" si="42"/>
        <v>33440322.299999997</v>
      </c>
      <c r="M38" s="122">
        <f t="shared" si="42"/>
        <v>33440322.299999997</v>
      </c>
      <c r="N38" s="122">
        <f t="shared" si="42"/>
        <v>33440322.299999997</v>
      </c>
      <c r="O38" s="122">
        <f t="shared" si="42"/>
        <v>33440322.299999997</v>
      </c>
      <c r="P38" s="122">
        <f t="shared" si="42"/>
        <v>33440322.299999997</v>
      </c>
      <c r="Q38" s="122">
        <f t="shared" si="42"/>
        <v>33440322.299999997</v>
      </c>
      <c r="R38" s="122">
        <f t="shared" si="42"/>
        <v>33440322.299999997</v>
      </c>
      <c r="S38" s="122">
        <f t="shared" si="42"/>
        <v>33440322.299999997</v>
      </c>
      <c r="T38" s="122">
        <f t="shared" si="42"/>
        <v>33440322.299999997</v>
      </c>
      <c r="U38" s="122">
        <f t="shared" si="42"/>
        <v>33440322.299999997</v>
      </c>
      <c r="V38" s="122">
        <f t="shared" si="42"/>
        <v>33440322.299999997</v>
      </c>
      <c r="W38" s="122">
        <f t="shared" si="42"/>
        <v>33440322.299999997</v>
      </c>
      <c r="X38" s="122">
        <f t="shared" si="42"/>
        <v>33440322.299999997</v>
      </c>
      <c r="Y38" s="122">
        <f t="shared" si="42"/>
        <v>33440322.299999997</v>
      </c>
      <c r="Z38" s="122">
        <f t="shared" si="42"/>
        <v>33440322.299999997</v>
      </c>
      <c r="AA38" s="122">
        <f t="shared" si="42"/>
        <v>33440322.299999997</v>
      </c>
      <c r="AB38" s="122">
        <f t="shared" si="42"/>
        <v>33440322.299999997</v>
      </c>
      <c r="AC38" s="122">
        <f t="shared" si="42"/>
        <v>33440322.299999997</v>
      </c>
      <c r="AD38" s="122">
        <f t="shared" si="42"/>
        <v>33440322.299999997</v>
      </c>
      <c r="AE38" s="122">
        <f t="shared" si="42"/>
        <v>33440322.299999997</v>
      </c>
      <c r="AF38" s="122">
        <f t="shared" si="42"/>
        <v>33440322.299999997</v>
      </c>
      <c r="AG38" s="122">
        <f t="shared" si="42"/>
        <v>33440322.299999997</v>
      </c>
      <c r="AH38" s="122">
        <f t="shared" ref="AH38:AN38" si="43">SUM(AH33:AH37)</f>
        <v>33440322.299999997</v>
      </c>
      <c r="AI38" s="122">
        <f t="shared" si="43"/>
        <v>33440322.299999997</v>
      </c>
      <c r="AJ38" s="122">
        <f t="shared" si="43"/>
        <v>33440322.299999997</v>
      </c>
      <c r="AK38" s="122">
        <f t="shared" si="43"/>
        <v>33440322.299999997</v>
      </c>
      <c r="AL38" s="122">
        <f t="shared" si="43"/>
        <v>33440322.299999997</v>
      </c>
      <c r="AM38" s="122">
        <f t="shared" si="43"/>
        <v>33440322.299999997</v>
      </c>
      <c r="AN38" s="122">
        <f t="shared" si="43"/>
        <v>33440322.299999997</v>
      </c>
      <c r="AO38" s="122">
        <f t="shared" ref="AO38:AQ38" si="44">SUM(AO33:AO37)</f>
        <v>33440322.299999997</v>
      </c>
      <c r="AP38" s="122">
        <f t="shared" si="44"/>
        <v>33440322.299999997</v>
      </c>
      <c r="AQ38" s="122">
        <f t="shared" si="44"/>
        <v>33440322.299999997</v>
      </c>
    </row>
    <row r="41" spans="2:43" x14ac:dyDescent="0.2">
      <c r="B41" s="733" t="s">
        <v>457</v>
      </c>
      <c r="C41" s="31"/>
      <c r="D41" s="31" t="s">
        <v>10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2:43" x14ac:dyDescent="0.2">
      <c r="B42" s="737"/>
      <c r="C42" s="32"/>
      <c r="D42" s="33">
        <v>1</v>
      </c>
      <c r="E42" s="33">
        <v>2</v>
      </c>
      <c r="F42" s="33">
        <v>3</v>
      </c>
      <c r="G42" s="33">
        <v>4</v>
      </c>
      <c r="H42" s="33">
        <v>5</v>
      </c>
      <c r="I42" s="33">
        <v>6</v>
      </c>
      <c r="J42" s="33">
        <v>7</v>
      </c>
      <c r="K42" s="33">
        <v>8</v>
      </c>
      <c r="L42" s="33">
        <v>9</v>
      </c>
      <c r="M42" s="33">
        <v>10</v>
      </c>
      <c r="N42" s="33">
        <v>11</v>
      </c>
      <c r="O42" s="33">
        <v>12</v>
      </c>
      <c r="P42" s="33">
        <v>13</v>
      </c>
      <c r="Q42" s="33">
        <v>14</v>
      </c>
      <c r="R42" s="33">
        <v>15</v>
      </c>
      <c r="S42" s="33">
        <v>16</v>
      </c>
      <c r="T42" s="33">
        <v>17</v>
      </c>
      <c r="U42" s="33">
        <v>18</v>
      </c>
      <c r="V42" s="33">
        <v>19</v>
      </c>
      <c r="W42" s="33">
        <v>20</v>
      </c>
      <c r="X42" s="33">
        <v>21</v>
      </c>
      <c r="Y42" s="33">
        <v>22</v>
      </c>
      <c r="Z42" s="33">
        <v>23</v>
      </c>
      <c r="AA42" s="33">
        <v>24</v>
      </c>
      <c r="AB42" s="33">
        <v>25</v>
      </c>
      <c r="AC42" s="33">
        <v>26</v>
      </c>
      <c r="AD42" s="33">
        <v>27</v>
      </c>
      <c r="AE42" s="33">
        <v>28</v>
      </c>
      <c r="AF42" s="33">
        <v>29</v>
      </c>
      <c r="AG42" s="33">
        <v>30</v>
      </c>
      <c r="AH42" s="33">
        <v>31</v>
      </c>
      <c r="AI42" s="33">
        <v>32</v>
      </c>
      <c r="AJ42" s="33">
        <v>33</v>
      </c>
      <c r="AK42" s="33">
        <v>34</v>
      </c>
      <c r="AL42" s="33">
        <v>35</v>
      </c>
      <c r="AM42" s="33">
        <v>36</v>
      </c>
      <c r="AN42" s="33">
        <v>37</v>
      </c>
      <c r="AO42" s="33">
        <v>38</v>
      </c>
      <c r="AP42" s="33">
        <v>39</v>
      </c>
      <c r="AQ42" s="33">
        <v>40</v>
      </c>
    </row>
    <row r="43" spans="2:43" x14ac:dyDescent="0.2">
      <c r="B43" s="34" t="s">
        <v>34</v>
      </c>
      <c r="C43" s="34" t="s">
        <v>9</v>
      </c>
      <c r="D43" s="35">
        <f t="shared" ref="D43:AG43" si="45">D4</f>
        <v>2026</v>
      </c>
      <c r="E43" s="35">
        <f t="shared" si="45"/>
        <v>2027</v>
      </c>
      <c r="F43" s="35">
        <f t="shared" si="45"/>
        <v>2028</v>
      </c>
      <c r="G43" s="35">
        <f t="shared" si="45"/>
        <v>2029</v>
      </c>
      <c r="H43" s="35">
        <f t="shared" si="45"/>
        <v>2030</v>
      </c>
      <c r="I43" s="35">
        <f t="shared" si="45"/>
        <v>2031</v>
      </c>
      <c r="J43" s="35">
        <f t="shared" si="45"/>
        <v>2032</v>
      </c>
      <c r="K43" s="35">
        <f t="shared" si="45"/>
        <v>2033</v>
      </c>
      <c r="L43" s="35">
        <f t="shared" si="45"/>
        <v>2034</v>
      </c>
      <c r="M43" s="35">
        <f t="shared" si="45"/>
        <v>2035</v>
      </c>
      <c r="N43" s="35">
        <f t="shared" si="45"/>
        <v>2036</v>
      </c>
      <c r="O43" s="35">
        <f t="shared" si="45"/>
        <v>2037</v>
      </c>
      <c r="P43" s="35">
        <f t="shared" si="45"/>
        <v>2038</v>
      </c>
      <c r="Q43" s="35">
        <f t="shared" si="45"/>
        <v>2039</v>
      </c>
      <c r="R43" s="35">
        <f t="shared" si="45"/>
        <v>2040</v>
      </c>
      <c r="S43" s="35">
        <f t="shared" si="45"/>
        <v>2041</v>
      </c>
      <c r="T43" s="35">
        <f t="shared" si="45"/>
        <v>2042</v>
      </c>
      <c r="U43" s="35">
        <f t="shared" si="45"/>
        <v>2043</v>
      </c>
      <c r="V43" s="35">
        <f t="shared" si="45"/>
        <v>2044</v>
      </c>
      <c r="W43" s="35">
        <f t="shared" si="45"/>
        <v>2045</v>
      </c>
      <c r="X43" s="35">
        <f t="shared" si="45"/>
        <v>2046</v>
      </c>
      <c r="Y43" s="35">
        <f t="shared" si="45"/>
        <v>2047</v>
      </c>
      <c r="Z43" s="35">
        <f t="shared" si="45"/>
        <v>2048</v>
      </c>
      <c r="AA43" s="35">
        <f t="shared" si="45"/>
        <v>2049</v>
      </c>
      <c r="AB43" s="35">
        <f t="shared" si="45"/>
        <v>2050</v>
      </c>
      <c r="AC43" s="35">
        <f t="shared" si="45"/>
        <v>2051</v>
      </c>
      <c r="AD43" s="35">
        <f t="shared" si="45"/>
        <v>2052</v>
      </c>
      <c r="AE43" s="35">
        <f t="shared" si="45"/>
        <v>2053</v>
      </c>
      <c r="AF43" s="35">
        <f t="shared" si="45"/>
        <v>2054</v>
      </c>
      <c r="AG43" s="35">
        <f t="shared" si="45"/>
        <v>2055</v>
      </c>
      <c r="AH43" s="35">
        <f t="shared" ref="AH43:AN43" si="46">AH4</f>
        <v>2056</v>
      </c>
      <c r="AI43" s="35">
        <f t="shared" si="46"/>
        <v>2057</v>
      </c>
      <c r="AJ43" s="35">
        <f t="shared" si="46"/>
        <v>2058</v>
      </c>
      <c r="AK43" s="35">
        <f t="shared" si="46"/>
        <v>2059</v>
      </c>
      <c r="AL43" s="35">
        <f t="shared" si="46"/>
        <v>2060</v>
      </c>
      <c r="AM43" s="35">
        <f t="shared" si="46"/>
        <v>2061</v>
      </c>
      <c r="AN43" s="35">
        <f t="shared" si="46"/>
        <v>2062</v>
      </c>
      <c r="AO43" s="35">
        <f t="shared" ref="AO43:AQ43" si="47">AO4</f>
        <v>2063</v>
      </c>
      <c r="AP43" s="35">
        <f t="shared" si="47"/>
        <v>2064</v>
      </c>
      <c r="AQ43" s="35">
        <f t="shared" si="47"/>
        <v>2065</v>
      </c>
    </row>
    <row r="44" spans="2:43" x14ac:dyDescent="0.2">
      <c r="B44" s="759" t="s">
        <v>230</v>
      </c>
      <c r="C44" s="37">
        <f t="shared" ref="C44:C49" si="48">SUM(D44:AQ44)</f>
        <v>0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</row>
    <row r="45" spans="2:43" x14ac:dyDescent="0.2">
      <c r="B45" s="759" t="s">
        <v>287</v>
      </c>
      <c r="C45" s="37">
        <f t="shared" si="48"/>
        <v>0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</row>
    <row r="46" spans="2:43" x14ac:dyDescent="0.2">
      <c r="B46" s="759" t="s">
        <v>239</v>
      </c>
      <c r="C46" s="37">
        <f t="shared" si="48"/>
        <v>1522929691.8000011</v>
      </c>
      <c r="D46" s="121">
        <f>'12a_A Skleník. p. (voz.)NOV200 '!D12</f>
        <v>33440322.299999997</v>
      </c>
      <c r="E46" s="121">
        <f>'12a_A Skleník. p. (voz.)NOV200 '!E12</f>
        <v>33440322.299999997</v>
      </c>
      <c r="F46" s="121">
        <f>'12a_A Skleník. p. (voz.)NOV200 '!F12</f>
        <v>33440322.299999997</v>
      </c>
      <c r="G46" s="121">
        <f>'12a_A Skleník. p. (voz.)NOV200 '!G12</f>
        <v>35629103.399999999</v>
      </c>
      <c r="H46" s="121">
        <f>'12a_A Skleník. p. (voz.)NOV200 '!H12</f>
        <v>37817884.5</v>
      </c>
      <c r="I46" s="121">
        <f>'12a_A Skleník. p. (voz.)NOV200 '!I12</f>
        <v>38547478.199999996</v>
      </c>
      <c r="J46" s="121">
        <f>'12a_A Skleník. p. (voz.)NOV200 '!J12</f>
        <v>38547478.199999996</v>
      </c>
      <c r="K46" s="121">
        <f>'12a_A Skleník. p. (voz.)NOV200 '!K12</f>
        <v>38547478.199999996</v>
      </c>
      <c r="L46" s="121">
        <f>'12a_A Skleník. p. (voz.)NOV200 '!L12</f>
        <v>38547478.199999996</v>
      </c>
      <c r="M46" s="121">
        <f>'12a_A Skleník. p. (voz.)NOV200 '!M12</f>
        <v>38547478.199999996</v>
      </c>
      <c r="N46" s="121">
        <f>'12a_A Skleník. p. (voz.)NOV200 '!N12</f>
        <v>38547478.199999996</v>
      </c>
      <c r="O46" s="121">
        <f>'12a_A Skleník. p. (voz.)NOV200 '!O12</f>
        <v>38547478.199999996</v>
      </c>
      <c r="P46" s="121">
        <f>'12a_A Skleník. p. (voz.)NOV200 '!P12</f>
        <v>38547478.199999996</v>
      </c>
      <c r="Q46" s="121">
        <f>'12a_A Skleník. p. (voz.)NOV200 '!Q12</f>
        <v>38547478.199999996</v>
      </c>
      <c r="R46" s="121">
        <f>'12a_A Skleník. p. (voz.)NOV200 '!R12</f>
        <v>38547478.199999996</v>
      </c>
      <c r="S46" s="121">
        <f>'12a_A Skleník. p. (voz.)NOV200 '!S12</f>
        <v>38547478.199999996</v>
      </c>
      <c r="T46" s="121">
        <f>'12a_A Skleník. p. (voz.)NOV200 '!T12</f>
        <v>38547478.199999996</v>
      </c>
      <c r="U46" s="121">
        <f>'12a_A Skleník. p. (voz.)NOV200 '!U12</f>
        <v>38547478.199999996</v>
      </c>
      <c r="V46" s="121">
        <f>'12a_A Skleník. p. (voz.)NOV200 '!V12</f>
        <v>38547478.199999996</v>
      </c>
      <c r="W46" s="121">
        <f>'12a_A Skleník. p. (voz.)NOV200 '!W12</f>
        <v>38547478.199999996</v>
      </c>
      <c r="X46" s="121">
        <f>'12a_A Skleník. p. (voz.)NOV200 '!X12</f>
        <v>38547478.199999996</v>
      </c>
      <c r="Y46" s="121">
        <f>'12a_A Skleník. p. (voz.)NOV200 '!Y12</f>
        <v>38547478.199999996</v>
      </c>
      <c r="Z46" s="121">
        <f>'12a_A Skleník. p. (voz.)NOV200 '!Z12</f>
        <v>38547478.199999996</v>
      </c>
      <c r="AA46" s="121">
        <f>'12a_A Skleník. p. (voz.)NOV200 '!AA12</f>
        <v>38547478.199999996</v>
      </c>
      <c r="AB46" s="121">
        <f>'12a_A Skleník. p. (voz.)NOV200 '!AB12</f>
        <v>38547478.199999996</v>
      </c>
      <c r="AC46" s="121">
        <f>'12a_A Skleník. p. (voz.)NOV200 '!AC12</f>
        <v>38547478.199999996</v>
      </c>
      <c r="AD46" s="121">
        <f>'12a_A Skleník. p. (voz.)NOV200 '!AD12</f>
        <v>38547478.199999996</v>
      </c>
      <c r="AE46" s="121">
        <f>'12a_A Skleník. p. (voz.)NOV200 '!AE12</f>
        <v>38547478.199999996</v>
      </c>
      <c r="AF46" s="121">
        <f>'12a_A Skleník. p. (voz.)NOV200 '!AF12</f>
        <v>38547478.199999996</v>
      </c>
      <c r="AG46" s="121">
        <f>'12a_A Skleník. p. (voz.)NOV200 '!AG12</f>
        <v>38547478.199999996</v>
      </c>
      <c r="AH46" s="121">
        <f>'12a_A Skleník. p. (voz.)NOV200 '!AH12</f>
        <v>38547478.199999996</v>
      </c>
      <c r="AI46" s="121">
        <f>'12a_A Skleník. p. (voz.)NOV200 '!AI12</f>
        <v>38547478.199999996</v>
      </c>
      <c r="AJ46" s="121">
        <f>'12a_A Skleník. p. (voz.)NOV200 '!AJ12</f>
        <v>38547478.199999996</v>
      </c>
      <c r="AK46" s="121">
        <f>'12a_A Skleník. p. (voz.)NOV200 '!AK12</f>
        <v>38547478.199999996</v>
      </c>
      <c r="AL46" s="121">
        <f>'12a_A Skleník. p. (voz.)NOV200 '!AL12</f>
        <v>38547478.199999996</v>
      </c>
      <c r="AM46" s="121">
        <f>'12a_A Skleník. p. (voz.)NOV200 '!AM12</f>
        <v>38547478.199999996</v>
      </c>
      <c r="AN46" s="121">
        <f>'12a_A Skleník. p. (voz.)NOV200 '!AN12</f>
        <v>38547478.199999996</v>
      </c>
      <c r="AO46" s="121">
        <f>'12a_A Skleník. p. (voz.)NOV200 '!AO12</f>
        <v>38547478.199999996</v>
      </c>
      <c r="AP46" s="121">
        <f>'12a_A Skleník. p. (voz.)NOV200 '!AP12</f>
        <v>38547478.199999996</v>
      </c>
      <c r="AQ46" s="121">
        <f>'12a_A Skleník. p. (voz.)NOV200 '!AQ12</f>
        <v>38547478.199999996</v>
      </c>
    </row>
    <row r="47" spans="2:43" x14ac:dyDescent="0.2">
      <c r="B47" s="759" t="s">
        <v>240</v>
      </c>
      <c r="C47" s="37">
        <f t="shared" si="48"/>
        <v>0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</row>
    <row r="48" spans="2:43" x14ac:dyDescent="0.2">
      <c r="B48" s="759" t="s">
        <v>601</v>
      </c>
      <c r="C48" s="37">
        <f t="shared" si="48"/>
        <v>0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</row>
    <row r="49" spans="2:43" x14ac:dyDescent="0.2">
      <c r="B49" s="32" t="s">
        <v>35</v>
      </c>
      <c r="C49" s="122">
        <f t="shared" si="48"/>
        <v>1522929691.8000011</v>
      </c>
      <c r="D49" s="122">
        <f t="shared" ref="D49:AG49" si="49">SUM(D44:D48)</f>
        <v>33440322.299999997</v>
      </c>
      <c r="E49" s="122">
        <f t="shared" si="49"/>
        <v>33440322.299999997</v>
      </c>
      <c r="F49" s="122">
        <f t="shared" si="49"/>
        <v>33440322.299999997</v>
      </c>
      <c r="G49" s="122">
        <f t="shared" si="49"/>
        <v>35629103.399999999</v>
      </c>
      <c r="H49" s="122">
        <f t="shared" si="49"/>
        <v>37817884.5</v>
      </c>
      <c r="I49" s="122">
        <f t="shared" si="49"/>
        <v>38547478.199999996</v>
      </c>
      <c r="J49" s="122">
        <f t="shared" si="49"/>
        <v>38547478.199999996</v>
      </c>
      <c r="K49" s="122">
        <f t="shared" si="49"/>
        <v>38547478.199999996</v>
      </c>
      <c r="L49" s="122">
        <f t="shared" si="49"/>
        <v>38547478.199999996</v>
      </c>
      <c r="M49" s="122">
        <f t="shared" si="49"/>
        <v>38547478.199999996</v>
      </c>
      <c r="N49" s="122">
        <f t="shared" si="49"/>
        <v>38547478.199999996</v>
      </c>
      <c r="O49" s="122">
        <f t="shared" si="49"/>
        <v>38547478.199999996</v>
      </c>
      <c r="P49" s="122">
        <f t="shared" si="49"/>
        <v>38547478.199999996</v>
      </c>
      <c r="Q49" s="122">
        <f t="shared" si="49"/>
        <v>38547478.199999996</v>
      </c>
      <c r="R49" s="122">
        <f t="shared" si="49"/>
        <v>38547478.199999996</v>
      </c>
      <c r="S49" s="122">
        <f t="shared" si="49"/>
        <v>38547478.199999996</v>
      </c>
      <c r="T49" s="122">
        <f t="shared" si="49"/>
        <v>38547478.199999996</v>
      </c>
      <c r="U49" s="122">
        <f t="shared" si="49"/>
        <v>38547478.199999996</v>
      </c>
      <c r="V49" s="122">
        <f t="shared" si="49"/>
        <v>38547478.199999996</v>
      </c>
      <c r="W49" s="122">
        <f t="shared" si="49"/>
        <v>38547478.199999996</v>
      </c>
      <c r="X49" s="122">
        <f t="shared" si="49"/>
        <v>38547478.199999996</v>
      </c>
      <c r="Y49" s="122">
        <f t="shared" si="49"/>
        <v>38547478.199999996</v>
      </c>
      <c r="Z49" s="122">
        <f t="shared" si="49"/>
        <v>38547478.199999996</v>
      </c>
      <c r="AA49" s="122">
        <f t="shared" si="49"/>
        <v>38547478.199999996</v>
      </c>
      <c r="AB49" s="122">
        <f t="shared" si="49"/>
        <v>38547478.199999996</v>
      </c>
      <c r="AC49" s="122">
        <f t="shared" si="49"/>
        <v>38547478.199999996</v>
      </c>
      <c r="AD49" s="122">
        <f t="shared" si="49"/>
        <v>38547478.199999996</v>
      </c>
      <c r="AE49" s="122">
        <f t="shared" si="49"/>
        <v>38547478.199999996</v>
      </c>
      <c r="AF49" s="122">
        <f t="shared" si="49"/>
        <v>38547478.199999996</v>
      </c>
      <c r="AG49" s="122">
        <f t="shared" si="49"/>
        <v>38547478.199999996</v>
      </c>
      <c r="AH49" s="122">
        <f t="shared" ref="AH49:AN49" si="50">SUM(AH44:AH48)</f>
        <v>38547478.199999996</v>
      </c>
      <c r="AI49" s="122">
        <f t="shared" si="50"/>
        <v>38547478.199999996</v>
      </c>
      <c r="AJ49" s="122">
        <f t="shared" si="50"/>
        <v>38547478.199999996</v>
      </c>
      <c r="AK49" s="122">
        <f t="shared" si="50"/>
        <v>38547478.199999996</v>
      </c>
      <c r="AL49" s="122">
        <f t="shared" si="50"/>
        <v>38547478.199999996</v>
      </c>
      <c r="AM49" s="122">
        <f t="shared" si="50"/>
        <v>38547478.199999996</v>
      </c>
      <c r="AN49" s="122">
        <f t="shared" si="50"/>
        <v>38547478.199999996</v>
      </c>
      <c r="AO49" s="122">
        <f t="shared" ref="AO49:AQ49" si="51">SUM(AO44:AO48)</f>
        <v>38547478.199999996</v>
      </c>
      <c r="AP49" s="122">
        <f t="shared" si="51"/>
        <v>38547478.199999996</v>
      </c>
      <c r="AQ49" s="122">
        <f t="shared" si="51"/>
        <v>38547478.199999996</v>
      </c>
    </row>
    <row r="52" spans="2:43" x14ac:dyDescent="0.2">
      <c r="B52" s="733" t="s">
        <v>458</v>
      </c>
      <c r="C52" s="31"/>
      <c r="D52" s="31" t="s">
        <v>10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</row>
    <row r="53" spans="2:43" x14ac:dyDescent="0.2">
      <c r="B53" s="737"/>
      <c r="C53" s="32"/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  <c r="L53" s="33">
        <v>9</v>
      </c>
      <c r="M53" s="33">
        <v>10</v>
      </c>
      <c r="N53" s="33">
        <v>11</v>
      </c>
      <c r="O53" s="33">
        <v>12</v>
      </c>
      <c r="P53" s="33">
        <v>13</v>
      </c>
      <c r="Q53" s="33">
        <v>14</v>
      </c>
      <c r="R53" s="33">
        <v>15</v>
      </c>
      <c r="S53" s="33">
        <v>16</v>
      </c>
      <c r="T53" s="33">
        <v>17</v>
      </c>
      <c r="U53" s="33">
        <v>18</v>
      </c>
      <c r="V53" s="33">
        <v>19</v>
      </c>
      <c r="W53" s="33">
        <v>20</v>
      </c>
      <c r="X53" s="33">
        <v>21</v>
      </c>
      <c r="Y53" s="33">
        <v>22</v>
      </c>
      <c r="Z53" s="33">
        <v>23</v>
      </c>
      <c r="AA53" s="33">
        <v>24</v>
      </c>
      <c r="AB53" s="33">
        <v>25</v>
      </c>
      <c r="AC53" s="33">
        <v>26</v>
      </c>
      <c r="AD53" s="33">
        <v>27</v>
      </c>
      <c r="AE53" s="33">
        <v>28</v>
      </c>
      <c r="AF53" s="33">
        <v>29</v>
      </c>
      <c r="AG53" s="33">
        <v>30</v>
      </c>
      <c r="AH53" s="33">
        <v>31</v>
      </c>
      <c r="AI53" s="33">
        <v>32</v>
      </c>
      <c r="AJ53" s="33">
        <v>33</v>
      </c>
      <c r="AK53" s="33">
        <v>34</v>
      </c>
      <c r="AL53" s="33">
        <v>35</v>
      </c>
      <c r="AM53" s="33">
        <v>36</v>
      </c>
      <c r="AN53" s="33">
        <v>37</v>
      </c>
      <c r="AO53" s="33">
        <v>38</v>
      </c>
      <c r="AP53" s="33">
        <v>39</v>
      </c>
      <c r="AQ53" s="33">
        <v>40</v>
      </c>
    </row>
    <row r="54" spans="2:43" x14ac:dyDescent="0.2">
      <c r="B54" s="34" t="s">
        <v>63</v>
      </c>
      <c r="C54" s="34" t="s">
        <v>9</v>
      </c>
      <c r="D54" s="35">
        <f t="shared" ref="D54:AG54" si="52">D4</f>
        <v>2026</v>
      </c>
      <c r="E54" s="35">
        <f t="shared" si="52"/>
        <v>2027</v>
      </c>
      <c r="F54" s="35">
        <f t="shared" si="52"/>
        <v>2028</v>
      </c>
      <c r="G54" s="35">
        <f t="shared" si="52"/>
        <v>2029</v>
      </c>
      <c r="H54" s="35">
        <f t="shared" si="52"/>
        <v>2030</v>
      </c>
      <c r="I54" s="35">
        <f t="shared" si="52"/>
        <v>2031</v>
      </c>
      <c r="J54" s="35">
        <f t="shared" si="52"/>
        <v>2032</v>
      </c>
      <c r="K54" s="35">
        <f t="shared" si="52"/>
        <v>2033</v>
      </c>
      <c r="L54" s="35">
        <f t="shared" si="52"/>
        <v>2034</v>
      </c>
      <c r="M54" s="35">
        <f t="shared" si="52"/>
        <v>2035</v>
      </c>
      <c r="N54" s="35">
        <f t="shared" si="52"/>
        <v>2036</v>
      </c>
      <c r="O54" s="35">
        <f t="shared" si="52"/>
        <v>2037</v>
      </c>
      <c r="P54" s="35">
        <f t="shared" si="52"/>
        <v>2038</v>
      </c>
      <c r="Q54" s="35">
        <f t="shared" si="52"/>
        <v>2039</v>
      </c>
      <c r="R54" s="35">
        <f t="shared" si="52"/>
        <v>2040</v>
      </c>
      <c r="S54" s="35">
        <f t="shared" si="52"/>
        <v>2041</v>
      </c>
      <c r="T54" s="35">
        <f t="shared" si="52"/>
        <v>2042</v>
      </c>
      <c r="U54" s="35">
        <f t="shared" si="52"/>
        <v>2043</v>
      </c>
      <c r="V54" s="35">
        <f t="shared" si="52"/>
        <v>2044</v>
      </c>
      <c r="W54" s="35">
        <f t="shared" si="52"/>
        <v>2045</v>
      </c>
      <c r="X54" s="35">
        <f t="shared" si="52"/>
        <v>2046</v>
      </c>
      <c r="Y54" s="35">
        <f t="shared" si="52"/>
        <v>2047</v>
      </c>
      <c r="Z54" s="35">
        <f t="shared" si="52"/>
        <v>2048</v>
      </c>
      <c r="AA54" s="35">
        <f t="shared" si="52"/>
        <v>2049</v>
      </c>
      <c r="AB54" s="35">
        <f t="shared" si="52"/>
        <v>2050</v>
      </c>
      <c r="AC54" s="35">
        <f t="shared" si="52"/>
        <v>2051</v>
      </c>
      <c r="AD54" s="35">
        <f t="shared" si="52"/>
        <v>2052</v>
      </c>
      <c r="AE54" s="35">
        <f t="shared" si="52"/>
        <v>2053</v>
      </c>
      <c r="AF54" s="35">
        <f t="shared" si="52"/>
        <v>2054</v>
      </c>
      <c r="AG54" s="35">
        <f t="shared" si="52"/>
        <v>2055</v>
      </c>
      <c r="AH54" s="35">
        <f t="shared" ref="AH54:AN54" si="53">AH4</f>
        <v>2056</v>
      </c>
      <c r="AI54" s="35">
        <f t="shared" si="53"/>
        <v>2057</v>
      </c>
      <c r="AJ54" s="35">
        <f t="shared" si="53"/>
        <v>2058</v>
      </c>
      <c r="AK54" s="35">
        <f t="shared" si="53"/>
        <v>2059</v>
      </c>
      <c r="AL54" s="35">
        <f t="shared" si="53"/>
        <v>2060</v>
      </c>
      <c r="AM54" s="35">
        <f t="shared" si="53"/>
        <v>2061</v>
      </c>
      <c r="AN54" s="35">
        <f t="shared" si="53"/>
        <v>2062</v>
      </c>
      <c r="AO54" s="35">
        <f t="shared" ref="AO54:AQ54" si="54">AO4</f>
        <v>2063</v>
      </c>
      <c r="AP54" s="35">
        <f t="shared" si="54"/>
        <v>2064</v>
      </c>
      <c r="AQ54" s="35">
        <f t="shared" si="54"/>
        <v>2065</v>
      </c>
    </row>
    <row r="55" spans="2:43" x14ac:dyDescent="0.2">
      <c r="B55" s="759" t="s">
        <v>230</v>
      </c>
      <c r="C55" s="37">
        <f t="shared" ref="C55:C61" si="55">SUM(D55:AQ55)</f>
        <v>0</v>
      </c>
      <c r="D55" s="37">
        <f t="shared" ref="D55:AG55" si="56">D33-D44</f>
        <v>0</v>
      </c>
      <c r="E55" s="37">
        <f t="shared" si="56"/>
        <v>0</v>
      </c>
      <c r="F55" s="37">
        <f t="shared" si="56"/>
        <v>0</v>
      </c>
      <c r="G55" s="37">
        <f t="shared" si="56"/>
        <v>0</v>
      </c>
      <c r="H55" s="37">
        <f t="shared" si="56"/>
        <v>0</v>
      </c>
      <c r="I55" s="37">
        <f t="shared" si="56"/>
        <v>0</v>
      </c>
      <c r="J55" s="37">
        <f t="shared" si="56"/>
        <v>0</v>
      </c>
      <c r="K55" s="37">
        <f t="shared" si="56"/>
        <v>0</v>
      </c>
      <c r="L55" s="37">
        <f t="shared" si="56"/>
        <v>0</v>
      </c>
      <c r="M55" s="37">
        <f t="shared" si="56"/>
        <v>0</v>
      </c>
      <c r="N55" s="37">
        <f t="shared" si="56"/>
        <v>0</v>
      </c>
      <c r="O55" s="37">
        <f t="shared" si="56"/>
        <v>0</v>
      </c>
      <c r="P55" s="37">
        <f t="shared" si="56"/>
        <v>0</v>
      </c>
      <c r="Q55" s="37">
        <f t="shared" si="56"/>
        <v>0</v>
      </c>
      <c r="R55" s="37">
        <f t="shared" si="56"/>
        <v>0</v>
      </c>
      <c r="S55" s="37">
        <f t="shared" si="56"/>
        <v>0</v>
      </c>
      <c r="T55" s="37">
        <f t="shared" si="56"/>
        <v>0</v>
      </c>
      <c r="U55" s="37">
        <f t="shared" si="56"/>
        <v>0</v>
      </c>
      <c r="V55" s="37">
        <f t="shared" si="56"/>
        <v>0</v>
      </c>
      <c r="W55" s="37">
        <f t="shared" si="56"/>
        <v>0</v>
      </c>
      <c r="X55" s="37">
        <f t="shared" si="56"/>
        <v>0</v>
      </c>
      <c r="Y55" s="37">
        <f t="shared" si="56"/>
        <v>0</v>
      </c>
      <c r="Z55" s="37">
        <f t="shared" si="56"/>
        <v>0</v>
      </c>
      <c r="AA55" s="37">
        <f t="shared" si="56"/>
        <v>0</v>
      </c>
      <c r="AB55" s="37">
        <f t="shared" si="56"/>
        <v>0</v>
      </c>
      <c r="AC55" s="37">
        <f t="shared" si="56"/>
        <v>0</v>
      </c>
      <c r="AD55" s="37">
        <f t="shared" si="56"/>
        <v>0</v>
      </c>
      <c r="AE55" s="37">
        <f t="shared" si="56"/>
        <v>0</v>
      </c>
      <c r="AF55" s="37">
        <f t="shared" si="56"/>
        <v>0</v>
      </c>
      <c r="AG55" s="37">
        <f t="shared" si="56"/>
        <v>0</v>
      </c>
      <c r="AH55" s="37">
        <f t="shared" ref="AH55:AN55" si="57">AH33-AH44</f>
        <v>0</v>
      </c>
      <c r="AI55" s="37">
        <f t="shared" si="57"/>
        <v>0</v>
      </c>
      <c r="AJ55" s="37">
        <f t="shared" si="57"/>
        <v>0</v>
      </c>
      <c r="AK55" s="37">
        <f t="shared" si="57"/>
        <v>0</v>
      </c>
      <c r="AL55" s="37">
        <f t="shared" si="57"/>
        <v>0</v>
      </c>
      <c r="AM55" s="37">
        <f t="shared" si="57"/>
        <v>0</v>
      </c>
      <c r="AN55" s="37">
        <f t="shared" si="57"/>
        <v>0</v>
      </c>
      <c r="AO55" s="37">
        <f t="shared" ref="AO55:AQ55" si="58">AO33-AO44</f>
        <v>0</v>
      </c>
      <c r="AP55" s="37">
        <f t="shared" si="58"/>
        <v>0</v>
      </c>
      <c r="AQ55" s="37">
        <f t="shared" si="58"/>
        <v>0</v>
      </c>
    </row>
    <row r="56" spans="2:43" x14ac:dyDescent="0.2">
      <c r="B56" s="759" t="s">
        <v>287</v>
      </c>
      <c r="C56" s="37">
        <f t="shared" si="55"/>
        <v>0</v>
      </c>
      <c r="D56" s="37">
        <f t="shared" ref="D56:AG56" si="59">D34-D45</f>
        <v>0</v>
      </c>
      <c r="E56" s="37">
        <f t="shared" si="59"/>
        <v>0</v>
      </c>
      <c r="F56" s="37">
        <f t="shared" si="59"/>
        <v>0</v>
      </c>
      <c r="G56" s="37">
        <f t="shared" si="59"/>
        <v>0</v>
      </c>
      <c r="H56" s="37">
        <f t="shared" si="59"/>
        <v>0</v>
      </c>
      <c r="I56" s="37">
        <f t="shared" si="59"/>
        <v>0</v>
      </c>
      <c r="J56" s="37">
        <f t="shared" si="59"/>
        <v>0</v>
      </c>
      <c r="K56" s="37">
        <f t="shared" si="59"/>
        <v>0</v>
      </c>
      <c r="L56" s="37">
        <f t="shared" si="59"/>
        <v>0</v>
      </c>
      <c r="M56" s="37">
        <f t="shared" si="59"/>
        <v>0</v>
      </c>
      <c r="N56" s="37">
        <f t="shared" si="59"/>
        <v>0</v>
      </c>
      <c r="O56" s="37">
        <f t="shared" si="59"/>
        <v>0</v>
      </c>
      <c r="P56" s="37">
        <f t="shared" si="59"/>
        <v>0</v>
      </c>
      <c r="Q56" s="37">
        <f t="shared" si="59"/>
        <v>0</v>
      </c>
      <c r="R56" s="37">
        <f t="shared" si="59"/>
        <v>0</v>
      </c>
      <c r="S56" s="37">
        <f t="shared" si="59"/>
        <v>0</v>
      </c>
      <c r="T56" s="37">
        <f t="shared" si="59"/>
        <v>0</v>
      </c>
      <c r="U56" s="37">
        <f t="shared" si="59"/>
        <v>0</v>
      </c>
      <c r="V56" s="37">
        <f t="shared" si="59"/>
        <v>0</v>
      </c>
      <c r="W56" s="37">
        <f t="shared" si="59"/>
        <v>0</v>
      </c>
      <c r="X56" s="37">
        <f t="shared" si="59"/>
        <v>0</v>
      </c>
      <c r="Y56" s="37">
        <f t="shared" si="59"/>
        <v>0</v>
      </c>
      <c r="Z56" s="37">
        <f t="shared" si="59"/>
        <v>0</v>
      </c>
      <c r="AA56" s="37">
        <f t="shared" si="59"/>
        <v>0</v>
      </c>
      <c r="AB56" s="37">
        <f t="shared" si="59"/>
        <v>0</v>
      </c>
      <c r="AC56" s="37">
        <f t="shared" si="59"/>
        <v>0</v>
      </c>
      <c r="AD56" s="37">
        <f t="shared" si="59"/>
        <v>0</v>
      </c>
      <c r="AE56" s="37">
        <f t="shared" si="59"/>
        <v>0</v>
      </c>
      <c r="AF56" s="37">
        <f t="shared" si="59"/>
        <v>0</v>
      </c>
      <c r="AG56" s="37">
        <f t="shared" si="59"/>
        <v>0</v>
      </c>
      <c r="AH56" s="37">
        <f t="shared" ref="AH56:AN56" si="60">AH34-AH45</f>
        <v>0</v>
      </c>
      <c r="AI56" s="37">
        <f t="shared" si="60"/>
        <v>0</v>
      </c>
      <c r="AJ56" s="37">
        <f t="shared" si="60"/>
        <v>0</v>
      </c>
      <c r="AK56" s="37">
        <f t="shared" si="60"/>
        <v>0</v>
      </c>
      <c r="AL56" s="37">
        <f t="shared" si="60"/>
        <v>0</v>
      </c>
      <c r="AM56" s="37">
        <f t="shared" si="60"/>
        <v>0</v>
      </c>
      <c r="AN56" s="37">
        <f t="shared" si="60"/>
        <v>0</v>
      </c>
      <c r="AO56" s="37">
        <f t="shared" ref="AO56:AQ56" si="61">AO34-AO45</f>
        <v>0</v>
      </c>
      <c r="AP56" s="37">
        <f t="shared" si="61"/>
        <v>0</v>
      </c>
      <c r="AQ56" s="37">
        <f t="shared" si="61"/>
        <v>0</v>
      </c>
    </row>
    <row r="57" spans="2:43" x14ac:dyDescent="0.2">
      <c r="B57" s="759" t="s">
        <v>239</v>
      </c>
      <c r="C57" s="37">
        <f t="shared" si="55"/>
        <v>-185316799.80000013</v>
      </c>
      <c r="D57" s="37">
        <f t="shared" ref="D57:AG57" si="62">D35-D46</f>
        <v>0</v>
      </c>
      <c r="E57" s="37">
        <f t="shared" si="62"/>
        <v>0</v>
      </c>
      <c r="F57" s="37">
        <f t="shared" si="62"/>
        <v>0</v>
      </c>
      <c r="G57" s="37">
        <f t="shared" si="62"/>
        <v>-2188781.1000000015</v>
      </c>
      <c r="H57" s="37">
        <f t="shared" si="62"/>
        <v>-4377562.200000003</v>
      </c>
      <c r="I57" s="37">
        <f t="shared" si="62"/>
        <v>-5107155.8999999985</v>
      </c>
      <c r="J57" s="37">
        <f t="shared" si="62"/>
        <v>-5107155.8999999985</v>
      </c>
      <c r="K57" s="37">
        <f t="shared" si="62"/>
        <v>-5107155.8999999985</v>
      </c>
      <c r="L57" s="37">
        <f t="shared" si="62"/>
        <v>-5107155.8999999985</v>
      </c>
      <c r="M57" s="37">
        <f t="shared" si="62"/>
        <v>-5107155.8999999985</v>
      </c>
      <c r="N57" s="37">
        <f t="shared" si="62"/>
        <v>-5107155.8999999985</v>
      </c>
      <c r="O57" s="37">
        <f t="shared" si="62"/>
        <v>-5107155.8999999985</v>
      </c>
      <c r="P57" s="37">
        <f t="shared" si="62"/>
        <v>-5107155.8999999985</v>
      </c>
      <c r="Q57" s="37">
        <f t="shared" si="62"/>
        <v>-5107155.8999999985</v>
      </c>
      <c r="R57" s="37">
        <f t="shared" si="62"/>
        <v>-5107155.8999999985</v>
      </c>
      <c r="S57" s="37">
        <f t="shared" si="62"/>
        <v>-5107155.8999999985</v>
      </c>
      <c r="T57" s="37">
        <f t="shared" si="62"/>
        <v>-5107155.8999999985</v>
      </c>
      <c r="U57" s="37">
        <f t="shared" si="62"/>
        <v>-5107155.8999999985</v>
      </c>
      <c r="V57" s="37">
        <f t="shared" si="62"/>
        <v>-5107155.8999999985</v>
      </c>
      <c r="W57" s="37">
        <f t="shared" si="62"/>
        <v>-5107155.8999999985</v>
      </c>
      <c r="X57" s="37">
        <f t="shared" si="62"/>
        <v>-5107155.8999999985</v>
      </c>
      <c r="Y57" s="37">
        <f t="shared" si="62"/>
        <v>-5107155.8999999985</v>
      </c>
      <c r="Z57" s="37">
        <f t="shared" si="62"/>
        <v>-5107155.8999999985</v>
      </c>
      <c r="AA57" s="37">
        <f t="shared" si="62"/>
        <v>-5107155.8999999985</v>
      </c>
      <c r="AB57" s="37">
        <f t="shared" si="62"/>
        <v>-5107155.8999999985</v>
      </c>
      <c r="AC57" s="37">
        <f t="shared" si="62"/>
        <v>-5107155.8999999985</v>
      </c>
      <c r="AD57" s="37">
        <f t="shared" si="62"/>
        <v>-5107155.8999999985</v>
      </c>
      <c r="AE57" s="37">
        <f t="shared" si="62"/>
        <v>-5107155.8999999985</v>
      </c>
      <c r="AF57" s="37">
        <f t="shared" si="62"/>
        <v>-5107155.8999999985</v>
      </c>
      <c r="AG57" s="37">
        <f t="shared" si="62"/>
        <v>-5107155.8999999985</v>
      </c>
      <c r="AH57" s="37">
        <f t="shared" ref="AH57:AN57" si="63">AH35-AH46</f>
        <v>-5107155.8999999985</v>
      </c>
      <c r="AI57" s="37">
        <f t="shared" si="63"/>
        <v>-5107155.8999999985</v>
      </c>
      <c r="AJ57" s="37">
        <f t="shared" si="63"/>
        <v>-5107155.8999999985</v>
      </c>
      <c r="AK57" s="37">
        <f t="shared" si="63"/>
        <v>-5107155.8999999985</v>
      </c>
      <c r="AL57" s="37">
        <f t="shared" si="63"/>
        <v>-5107155.8999999985</v>
      </c>
      <c r="AM57" s="37">
        <f t="shared" si="63"/>
        <v>-5107155.8999999985</v>
      </c>
      <c r="AN57" s="37">
        <f t="shared" si="63"/>
        <v>-5107155.8999999985</v>
      </c>
      <c r="AO57" s="37">
        <f t="shared" ref="AO57:AQ57" si="64">AO35-AO46</f>
        <v>-5107155.8999999985</v>
      </c>
      <c r="AP57" s="37">
        <f t="shared" si="64"/>
        <v>-5107155.8999999985</v>
      </c>
      <c r="AQ57" s="37">
        <f t="shared" si="64"/>
        <v>-5107155.8999999985</v>
      </c>
    </row>
    <row r="58" spans="2:43" x14ac:dyDescent="0.2">
      <c r="B58" s="759" t="s">
        <v>240</v>
      </c>
      <c r="C58" s="37">
        <f t="shared" si="55"/>
        <v>0</v>
      </c>
      <c r="D58" s="37">
        <f>D36-D47</f>
        <v>0</v>
      </c>
      <c r="E58" s="37">
        <f t="shared" ref="E58:AG58" si="65">E36-E47</f>
        <v>0</v>
      </c>
      <c r="F58" s="37">
        <f t="shared" si="65"/>
        <v>0</v>
      </c>
      <c r="G58" s="37">
        <f t="shared" si="65"/>
        <v>0</v>
      </c>
      <c r="H58" s="37">
        <f t="shared" si="65"/>
        <v>0</v>
      </c>
      <c r="I58" s="37">
        <f t="shared" si="65"/>
        <v>0</v>
      </c>
      <c r="J58" s="37">
        <f t="shared" si="65"/>
        <v>0</v>
      </c>
      <c r="K58" s="37">
        <f t="shared" si="65"/>
        <v>0</v>
      </c>
      <c r="L58" s="37">
        <f t="shared" si="65"/>
        <v>0</v>
      </c>
      <c r="M58" s="37">
        <f t="shared" si="65"/>
        <v>0</v>
      </c>
      <c r="N58" s="37">
        <f t="shared" si="65"/>
        <v>0</v>
      </c>
      <c r="O58" s="37">
        <f t="shared" si="65"/>
        <v>0</v>
      </c>
      <c r="P58" s="37">
        <f t="shared" si="65"/>
        <v>0</v>
      </c>
      <c r="Q58" s="37">
        <f t="shared" si="65"/>
        <v>0</v>
      </c>
      <c r="R58" s="37">
        <f t="shared" si="65"/>
        <v>0</v>
      </c>
      <c r="S58" s="37">
        <f t="shared" si="65"/>
        <v>0</v>
      </c>
      <c r="T58" s="37">
        <f t="shared" si="65"/>
        <v>0</v>
      </c>
      <c r="U58" s="37">
        <f t="shared" si="65"/>
        <v>0</v>
      </c>
      <c r="V58" s="37">
        <f t="shared" si="65"/>
        <v>0</v>
      </c>
      <c r="W58" s="37">
        <f t="shared" si="65"/>
        <v>0</v>
      </c>
      <c r="X58" s="37">
        <f t="shared" si="65"/>
        <v>0</v>
      </c>
      <c r="Y58" s="37">
        <f t="shared" si="65"/>
        <v>0</v>
      </c>
      <c r="Z58" s="37">
        <f t="shared" si="65"/>
        <v>0</v>
      </c>
      <c r="AA58" s="37">
        <f t="shared" si="65"/>
        <v>0</v>
      </c>
      <c r="AB58" s="37">
        <f t="shared" si="65"/>
        <v>0</v>
      </c>
      <c r="AC58" s="37">
        <f t="shared" si="65"/>
        <v>0</v>
      </c>
      <c r="AD58" s="37">
        <f t="shared" si="65"/>
        <v>0</v>
      </c>
      <c r="AE58" s="37">
        <f t="shared" si="65"/>
        <v>0</v>
      </c>
      <c r="AF58" s="37">
        <f t="shared" si="65"/>
        <v>0</v>
      </c>
      <c r="AG58" s="37">
        <f t="shared" si="65"/>
        <v>0</v>
      </c>
      <c r="AH58" s="37">
        <f t="shared" ref="AH58:AN58" si="66">AH36-AH47</f>
        <v>0</v>
      </c>
      <c r="AI58" s="37">
        <f t="shared" si="66"/>
        <v>0</v>
      </c>
      <c r="AJ58" s="37">
        <f t="shared" si="66"/>
        <v>0</v>
      </c>
      <c r="AK58" s="37">
        <f t="shared" si="66"/>
        <v>0</v>
      </c>
      <c r="AL58" s="37">
        <f t="shared" si="66"/>
        <v>0</v>
      </c>
      <c r="AM58" s="37">
        <f t="shared" si="66"/>
        <v>0</v>
      </c>
      <c r="AN58" s="37">
        <f t="shared" si="66"/>
        <v>0</v>
      </c>
      <c r="AO58" s="37">
        <f t="shared" ref="AO58:AQ58" si="67">AO36-AO47</f>
        <v>0</v>
      </c>
      <c r="AP58" s="37">
        <f t="shared" si="67"/>
        <v>0</v>
      </c>
      <c r="AQ58" s="37">
        <f t="shared" si="67"/>
        <v>0</v>
      </c>
    </row>
    <row r="59" spans="2:43" x14ac:dyDescent="0.2">
      <c r="B59" s="759" t="s">
        <v>601</v>
      </c>
      <c r="C59" s="37">
        <f t="shared" si="55"/>
        <v>0</v>
      </c>
      <c r="D59" s="37">
        <f>D37-D48</f>
        <v>0</v>
      </c>
      <c r="E59" s="37">
        <f t="shared" ref="E59:AG59" si="68">E37-E48</f>
        <v>0</v>
      </c>
      <c r="F59" s="37">
        <f t="shared" si="68"/>
        <v>0</v>
      </c>
      <c r="G59" s="37">
        <f t="shared" si="68"/>
        <v>0</v>
      </c>
      <c r="H59" s="37">
        <f t="shared" si="68"/>
        <v>0</v>
      </c>
      <c r="I59" s="37">
        <f t="shared" si="68"/>
        <v>0</v>
      </c>
      <c r="J59" s="37">
        <f t="shared" si="68"/>
        <v>0</v>
      </c>
      <c r="K59" s="37">
        <f t="shared" si="68"/>
        <v>0</v>
      </c>
      <c r="L59" s="37">
        <f t="shared" si="68"/>
        <v>0</v>
      </c>
      <c r="M59" s="37">
        <f t="shared" si="68"/>
        <v>0</v>
      </c>
      <c r="N59" s="37">
        <f t="shared" si="68"/>
        <v>0</v>
      </c>
      <c r="O59" s="37">
        <f t="shared" si="68"/>
        <v>0</v>
      </c>
      <c r="P59" s="37">
        <f t="shared" si="68"/>
        <v>0</v>
      </c>
      <c r="Q59" s="37">
        <f t="shared" si="68"/>
        <v>0</v>
      </c>
      <c r="R59" s="37">
        <f t="shared" si="68"/>
        <v>0</v>
      </c>
      <c r="S59" s="37">
        <f t="shared" si="68"/>
        <v>0</v>
      </c>
      <c r="T59" s="37">
        <f t="shared" si="68"/>
        <v>0</v>
      </c>
      <c r="U59" s="37">
        <f t="shared" si="68"/>
        <v>0</v>
      </c>
      <c r="V59" s="37">
        <f t="shared" si="68"/>
        <v>0</v>
      </c>
      <c r="W59" s="37">
        <f t="shared" si="68"/>
        <v>0</v>
      </c>
      <c r="X59" s="37">
        <f t="shared" si="68"/>
        <v>0</v>
      </c>
      <c r="Y59" s="37">
        <f t="shared" si="68"/>
        <v>0</v>
      </c>
      <c r="Z59" s="37">
        <f t="shared" si="68"/>
        <v>0</v>
      </c>
      <c r="AA59" s="37">
        <f t="shared" si="68"/>
        <v>0</v>
      </c>
      <c r="AB59" s="37">
        <f t="shared" si="68"/>
        <v>0</v>
      </c>
      <c r="AC59" s="37">
        <f t="shared" si="68"/>
        <v>0</v>
      </c>
      <c r="AD59" s="37">
        <f t="shared" si="68"/>
        <v>0</v>
      </c>
      <c r="AE59" s="37">
        <f t="shared" si="68"/>
        <v>0</v>
      </c>
      <c r="AF59" s="37">
        <f t="shared" si="68"/>
        <v>0</v>
      </c>
      <c r="AG59" s="37">
        <f t="shared" si="68"/>
        <v>0</v>
      </c>
      <c r="AH59" s="37">
        <f t="shared" ref="AH59:AN59" si="69">AH37-AH48</f>
        <v>0</v>
      </c>
      <c r="AI59" s="37">
        <f t="shared" si="69"/>
        <v>0</v>
      </c>
      <c r="AJ59" s="37">
        <f t="shared" si="69"/>
        <v>0</v>
      </c>
      <c r="AK59" s="37">
        <f t="shared" si="69"/>
        <v>0</v>
      </c>
      <c r="AL59" s="37">
        <f t="shared" si="69"/>
        <v>0</v>
      </c>
      <c r="AM59" s="37">
        <f t="shared" si="69"/>
        <v>0</v>
      </c>
      <c r="AN59" s="37">
        <f t="shared" si="69"/>
        <v>0</v>
      </c>
      <c r="AO59" s="37">
        <f t="shared" ref="AO59:AQ59" si="70">AO37-AO48</f>
        <v>0</v>
      </c>
      <c r="AP59" s="37">
        <f t="shared" si="70"/>
        <v>0</v>
      </c>
      <c r="AQ59" s="37">
        <f t="shared" si="70"/>
        <v>0</v>
      </c>
    </row>
    <row r="60" spans="2:43" x14ac:dyDescent="0.2">
      <c r="B60" s="166" t="s">
        <v>263</v>
      </c>
      <c r="C60" s="163">
        <f t="shared" si="55"/>
        <v>-185316799.80000013</v>
      </c>
      <c r="D60" s="163">
        <f t="shared" ref="D60:AG60" si="71">SUM(D55:D59)</f>
        <v>0</v>
      </c>
      <c r="E60" s="163">
        <f t="shared" si="71"/>
        <v>0</v>
      </c>
      <c r="F60" s="163">
        <f t="shared" si="71"/>
        <v>0</v>
      </c>
      <c r="G60" s="163">
        <f t="shared" si="71"/>
        <v>-2188781.1000000015</v>
      </c>
      <c r="H60" s="163">
        <f t="shared" si="71"/>
        <v>-4377562.200000003</v>
      </c>
      <c r="I60" s="163">
        <f t="shared" si="71"/>
        <v>-5107155.8999999985</v>
      </c>
      <c r="J60" s="163">
        <f t="shared" si="71"/>
        <v>-5107155.8999999985</v>
      </c>
      <c r="K60" s="163">
        <f t="shared" si="71"/>
        <v>-5107155.8999999985</v>
      </c>
      <c r="L60" s="163">
        <f t="shared" si="71"/>
        <v>-5107155.8999999985</v>
      </c>
      <c r="M60" s="163">
        <f t="shared" si="71"/>
        <v>-5107155.8999999985</v>
      </c>
      <c r="N60" s="163">
        <f t="shared" si="71"/>
        <v>-5107155.8999999985</v>
      </c>
      <c r="O60" s="163">
        <f t="shared" si="71"/>
        <v>-5107155.8999999985</v>
      </c>
      <c r="P60" s="163">
        <f t="shared" si="71"/>
        <v>-5107155.8999999985</v>
      </c>
      <c r="Q60" s="163">
        <f t="shared" si="71"/>
        <v>-5107155.8999999985</v>
      </c>
      <c r="R60" s="163">
        <f t="shared" si="71"/>
        <v>-5107155.8999999985</v>
      </c>
      <c r="S60" s="163">
        <f t="shared" si="71"/>
        <v>-5107155.8999999985</v>
      </c>
      <c r="T60" s="163">
        <f t="shared" si="71"/>
        <v>-5107155.8999999985</v>
      </c>
      <c r="U60" s="163">
        <f t="shared" si="71"/>
        <v>-5107155.8999999985</v>
      </c>
      <c r="V60" s="163">
        <f t="shared" si="71"/>
        <v>-5107155.8999999985</v>
      </c>
      <c r="W60" s="163">
        <f t="shared" si="71"/>
        <v>-5107155.8999999985</v>
      </c>
      <c r="X60" s="163">
        <f t="shared" si="71"/>
        <v>-5107155.8999999985</v>
      </c>
      <c r="Y60" s="163">
        <f t="shared" si="71"/>
        <v>-5107155.8999999985</v>
      </c>
      <c r="Z60" s="163">
        <f t="shared" si="71"/>
        <v>-5107155.8999999985</v>
      </c>
      <c r="AA60" s="163">
        <f t="shared" si="71"/>
        <v>-5107155.8999999985</v>
      </c>
      <c r="AB60" s="163">
        <f t="shared" si="71"/>
        <v>-5107155.8999999985</v>
      </c>
      <c r="AC60" s="163">
        <f t="shared" si="71"/>
        <v>-5107155.8999999985</v>
      </c>
      <c r="AD60" s="163">
        <f t="shared" si="71"/>
        <v>-5107155.8999999985</v>
      </c>
      <c r="AE60" s="163">
        <f t="shared" si="71"/>
        <v>-5107155.8999999985</v>
      </c>
      <c r="AF60" s="163">
        <f t="shared" si="71"/>
        <v>-5107155.8999999985</v>
      </c>
      <c r="AG60" s="163">
        <f t="shared" si="71"/>
        <v>-5107155.8999999985</v>
      </c>
      <c r="AH60" s="163">
        <f t="shared" ref="AH60:AN60" si="72">SUM(AH55:AH59)</f>
        <v>-5107155.8999999985</v>
      </c>
      <c r="AI60" s="163">
        <f t="shared" si="72"/>
        <v>-5107155.8999999985</v>
      </c>
      <c r="AJ60" s="163">
        <f t="shared" si="72"/>
        <v>-5107155.8999999985</v>
      </c>
      <c r="AK60" s="163">
        <f t="shared" si="72"/>
        <v>-5107155.8999999985</v>
      </c>
      <c r="AL60" s="163">
        <f t="shared" si="72"/>
        <v>-5107155.8999999985</v>
      </c>
      <c r="AM60" s="163">
        <f t="shared" si="72"/>
        <v>-5107155.8999999985</v>
      </c>
      <c r="AN60" s="163">
        <f t="shared" si="72"/>
        <v>-5107155.8999999985</v>
      </c>
      <c r="AO60" s="163">
        <f t="shared" ref="AO60:AQ60" si="73">SUM(AO55:AO59)</f>
        <v>-5107155.8999999985</v>
      </c>
      <c r="AP60" s="163">
        <f t="shared" si="73"/>
        <v>-5107155.8999999985</v>
      </c>
      <c r="AQ60" s="163">
        <f t="shared" si="73"/>
        <v>-5107155.8999999985</v>
      </c>
    </row>
    <row r="61" spans="2:43" x14ac:dyDescent="0.2">
      <c r="B61" s="169" t="s">
        <v>410</v>
      </c>
      <c r="C61" s="167">
        <f t="shared" si="55"/>
        <v>-38916527.957999997</v>
      </c>
      <c r="D61" s="167">
        <f>D60*Parametre!$C$112/1000</f>
        <v>0</v>
      </c>
      <c r="E61" s="167">
        <f>E60*Parametre!$C$112/1000</f>
        <v>0</v>
      </c>
      <c r="F61" s="167">
        <f>F60*Parametre!$C$112/1000</f>
        <v>0</v>
      </c>
      <c r="G61" s="167">
        <f>G60*Parametre!$C$112/1000</f>
        <v>-459644.03100000031</v>
      </c>
      <c r="H61" s="167">
        <f>H60*Parametre!$C$112/1000</f>
        <v>-919288.06200000062</v>
      </c>
      <c r="I61" s="167">
        <f>I60*Parametre!$C$112/1000</f>
        <v>-1072502.7389999996</v>
      </c>
      <c r="J61" s="167">
        <f>J60*Parametre!$C$112/1000</f>
        <v>-1072502.7389999996</v>
      </c>
      <c r="K61" s="167">
        <f>K60*Parametre!$C$112/1000</f>
        <v>-1072502.7389999996</v>
      </c>
      <c r="L61" s="167">
        <f>L60*Parametre!$C$112/1000</f>
        <v>-1072502.7389999996</v>
      </c>
      <c r="M61" s="167">
        <f>M60*Parametre!$C$112/1000</f>
        <v>-1072502.7389999996</v>
      </c>
      <c r="N61" s="167">
        <f>N60*Parametre!$C$112/1000</f>
        <v>-1072502.7389999996</v>
      </c>
      <c r="O61" s="167">
        <f>O60*Parametre!$C$112/1000</f>
        <v>-1072502.7389999996</v>
      </c>
      <c r="P61" s="167">
        <f>P60*Parametre!$C$112/1000</f>
        <v>-1072502.7389999996</v>
      </c>
      <c r="Q61" s="167">
        <f>Q60*Parametre!$C$112/1000</f>
        <v>-1072502.7389999996</v>
      </c>
      <c r="R61" s="167">
        <f>R60*Parametre!$C$112/1000</f>
        <v>-1072502.7389999996</v>
      </c>
      <c r="S61" s="167">
        <f>S60*Parametre!$C$112/1000</f>
        <v>-1072502.7389999996</v>
      </c>
      <c r="T61" s="167">
        <f>T60*Parametre!$C$112/1000</f>
        <v>-1072502.7389999996</v>
      </c>
      <c r="U61" s="167">
        <f>U60*Parametre!$C$112/1000</f>
        <v>-1072502.7389999996</v>
      </c>
      <c r="V61" s="167">
        <f>V60*Parametre!$C$112/1000</f>
        <v>-1072502.7389999996</v>
      </c>
      <c r="W61" s="167">
        <f>W60*Parametre!$C$112/1000</f>
        <v>-1072502.7389999996</v>
      </c>
      <c r="X61" s="167">
        <f>X60*Parametre!$C$112/1000</f>
        <v>-1072502.7389999996</v>
      </c>
      <c r="Y61" s="167">
        <f>Y60*Parametre!$C$112/1000</f>
        <v>-1072502.7389999996</v>
      </c>
      <c r="Z61" s="167">
        <f>Z60*Parametre!$C$112/1000</f>
        <v>-1072502.7389999996</v>
      </c>
      <c r="AA61" s="167">
        <f>AA60*Parametre!$C$112/1000</f>
        <v>-1072502.7389999996</v>
      </c>
      <c r="AB61" s="167">
        <f>AB60*Parametre!$C$112/1000</f>
        <v>-1072502.7389999996</v>
      </c>
      <c r="AC61" s="167">
        <f>AC60*Parametre!$C$112/1000</f>
        <v>-1072502.7389999996</v>
      </c>
      <c r="AD61" s="167">
        <f>AD60*Parametre!$C$112/1000</f>
        <v>-1072502.7389999996</v>
      </c>
      <c r="AE61" s="167">
        <f>AE60*Parametre!$C$112/1000</f>
        <v>-1072502.7389999996</v>
      </c>
      <c r="AF61" s="167">
        <f>AF60*Parametre!$C$112/1000</f>
        <v>-1072502.7389999996</v>
      </c>
      <c r="AG61" s="167">
        <f>AG60*Parametre!$C$112/1000</f>
        <v>-1072502.7389999996</v>
      </c>
      <c r="AH61" s="167">
        <f>AH60*Parametre!$C$112/1000</f>
        <v>-1072502.7389999996</v>
      </c>
      <c r="AI61" s="167">
        <f>AI60*Parametre!$C$112/1000</f>
        <v>-1072502.7389999996</v>
      </c>
      <c r="AJ61" s="167">
        <f>AJ60*Parametre!$C$112/1000</f>
        <v>-1072502.7389999996</v>
      </c>
      <c r="AK61" s="167">
        <f>AK60*Parametre!$C$112/1000</f>
        <v>-1072502.7389999996</v>
      </c>
      <c r="AL61" s="167">
        <f>AL60*Parametre!$C$112/1000</f>
        <v>-1072502.7389999996</v>
      </c>
      <c r="AM61" s="167">
        <f>AM60*Parametre!$C$112/1000</f>
        <v>-1072502.7389999996</v>
      </c>
      <c r="AN61" s="167">
        <f>AN60*Parametre!$C$112/1000</f>
        <v>-1072502.7389999996</v>
      </c>
      <c r="AO61" s="167">
        <f>AO60*Parametre!$C$112/1000</f>
        <v>-1072502.7389999996</v>
      </c>
      <c r="AP61" s="167">
        <f>AP60*Parametre!$C$112/1000</f>
        <v>-1072502.7389999996</v>
      </c>
      <c r="AQ61" s="167">
        <f>AQ60*Parametre!$C$112/1000</f>
        <v>-1072502.7389999996</v>
      </c>
    </row>
    <row r="62" spans="2:43" x14ac:dyDescent="0.2">
      <c r="B62" s="36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</row>
    <row r="63" spans="2:43" x14ac:dyDescent="0.2">
      <c r="B63" s="30" t="s">
        <v>2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</row>
    <row r="64" spans="2:43" x14ac:dyDescent="0.2">
      <c r="B64" s="30" t="s">
        <v>264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</row>
    <row r="65" spans="2:43" x14ac:dyDescent="0.2">
      <c r="B65" s="36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</row>
    <row r="66" spans="2:43" x14ac:dyDescent="0.2">
      <c r="B66" s="166" t="s">
        <v>411</v>
      </c>
      <c r="C66" s="163">
        <f>SUM(D66:AQ66)</f>
        <v>-38916527.957999997</v>
      </c>
      <c r="D66" s="163">
        <f>D61+D27</f>
        <v>0</v>
      </c>
      <c r="E66" s="163">
        <f t="shared" ref="E66:AG66" si="74">E61+E27</f>
        <v>0</v>
      </c>
      <c r="F66" s="163">
        <f t="shared" si="74"/>
        <v>0</v>
      </c>
      <c r="G66" s="163">
        <f t="shared" si="74"/>
        <v>-459644.03100000031</v>
      </c>
      <c r="H66" s="163">
        <f t="shared" si="74"/>
        <v>-919288.06200000062</v>
      </c>
      <c r="I66" s="163">
        <f t="shared" si="74"/>
        <v>-1072502.7389999996</v>
      </c>
      <c r="J66" s="163">
        <f t="shared" si="74"/>
        <v>-1072502.7389999996</v>
      </c>
      <c r="K66" s="163">
        <f t="shared" si="74"/>
        <v>-1072502.7389999996</v>
      </c>
      <c r="L66" s="163">
        <f t="shared" si="74"/>
        <v>-1072502.7389999996</v>
      </c>
      <c r="M66" s="163">
        <f t="shared" si="74"/>
        <v>-1072502.7389999996</v>
      </c>
      <c r="N66" s="163">
        <f t="shared" si="74"/>
        <v>-1072502.7389999996</v>
      </c>
      <c r="O66" s="163">
        <f t="shared" si="74"/>
        <v>-1072502.7389999996</v>
      </c>
      <c r="P66" s="163">
        <f t="shared" si="74"/>
        <v>-1072502.7389999996</v>
      </c>
      <c r="Q66" s="163">
        <f t="shared" si="74"/>
        <v>-1072502.7389999996</v>
      </c>
      <c r="R66" s="163">
        <f t="shared" si="74"/>
        <v>-1072502.7389999996</v>
      </c>
      <c r="S66" s="163">
        <f t="shared" si="74"/>
        <v>-1072502.7389999996</v>
      </c>
      <c r="T66" s="163">
        <f t="shared" si="74"/>
        <v>-1072502.7389999996</v>
      </c>
      <c r="U66" s="163">
        <f t="shared" si="74"/>
        <v>-1072502.7389999996</v>
      </c>
      <c r="V66" s="163">
        <f t="shared" si="74"/>
        <v>-1072502.7389999996</v>
      </c>
      <c r="W66" s="163">
        <f t="shared" si="74"/>
        <v>-1072502.7389999996</v>
      </c>
      <c r="X66" s="163">
        <f t="shared" si="74"/>
        <v>-1072502.7389999996</v>
      </c>
      <c r="Y66" s="163">
        <f t="shared" si="74"/>
        <v>-1072502.7389999996</v>
      </c>
      <c r="Z66" s="163">
        <f t="shared" si="74"/>
        <v>-1072502.7389999996</v>
      </c>
      <c r="AA66" s="163">
        <f t="shared" si="74"/>
        <v>-1072502.7389999996</v>
      </c>
      <c r="AB66" s="163">
        <f t="shared" si="74"/>
        <v>-1072502.7389999996</v>
      </c>
      <c r="AC66" s="163">
        <f t="shared" si="74"/>
        <v>-1072502.7389999996</v>
      </c>
      <c r="AD66" s="163">
        <f t="shared" si="74"/>
        <v>-1072502.7389999996</v>
      </c>
      <c r="AE66" s="163">
        <f t="shared" si="74"/>
        <v>-1072502.7389999996</v>
      </c>
      <c r="AF66" s="163">
        <f t="shared" si="74"/>
        <v>-1072502.7389999996</v>
      </c>
      <c r="AG66" s="163">
        <f t="shared" si="74"/>
        <v>-1072502.7389999996</v>
      </c>
      <c r="AH66" s="163">
        <f t="shared" ref="AH66:AN66" si="75">AH61+AH27</f>
        <v>-1072502.7389999996</v>
      </c>
      <c r="AI66" s="163">
        <f t="shared" si="75"/>
        <v>-1072502.7389999996</v>
      </c>
      <c r="AJ66" s="163">
        <f t="shared" si="75"/>
        <v>-1072502.7389999996</v>
      </c>
      <c r="AK66" s="163">
        <f t="shared" si="75"/>
        <v>-1072502.7389999996</v>
      </c>
      <c r="AL66" s="163">
        <f t="shared" si="75"/>
        <v>-1072502.7389999996</v>
      </c>
      <c r="AM66" s="163">
        <f t="shared" si="75"/>
        <v>-1072502.7389999996</v>
      </c>
      <c r="AN66" s="163">
        <f t="shared" si="75"/>
        <v>-1072502.7389999996</v>
      </c>
      <c r="AO66" s="163">
        <f t="shared" ref="AO66:AQ66" si="76">AO61+AO27</f>
        <v>-1072502.7389999996</v>
      </c>
      <c r="AP66" s="163">
        <f t="shared" si="76"/>
        <v>-1072502.7389999996</v>
      </c>
      <c r="AQ66" s="163">
        <f t="shared" si="76"/>
        <v>-1072502.7389999996</v>
      </c>
    </row>
    <row r="67" spans="2:43" x14ac:dyDescent="0.2">
      <c r="B67" s="36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</row>
    <row r="69" spans="2:43" x14ac:dyDescent="0.2">
      <c r="B69" s="123"/>
      <c r="C69" s="31"/>
      <c r="D69" s="31" t="s">
        <v>10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</row>
    <row r="70" spans="2:43" x14ac:dyDescent="0.2">
      <c r="B70" s="733" t="s">
        <v>459</v>
      </c>
      <c r="C70" s="32"/>
      <c r="D70" s="33">
        <v>1</v>
      </c>
      <c r="E70" s="33">
        <v>2</v>
      </c>
      <c r="F70" s="33">
        <v>3</v>
      </c>
      <c r="G70" s="33">
        <v>4</v>
      </c>
      <c r="H70" s="33">
        <v>5</v>
      </c>
      <c r="I70" s="33">
        <v>6</v>
      </c>
      <c r="J70" s="33">
        <v>7</v>
      </c>
      <c r="K70" s="33">
        <v>8</v>
      </c>
      <c r="L70" s="33">
        <v>9</v>
      </c>
      <c r="M70" s="33">
        <v>10</v>
      </c>
      <c r="N70" s="33">
        <v>11</v>
      </c>
      <c r="O70" s="33">
        <v>12</v>
      </c>
      <c r="P70" s="33">
        <v>13</v>
      </c>
      <c r="Q70" s="33">
        <v>14</v>
      </c>
      <c r="R70" s="33">
        <v>15</v>
      </c>
      <c r="S70" s="33">
        <v>16</v>
      </c>
      <c r="T70" s="33">
        <v>17</v>
      </c>
      <c r="U70" s="33">
        <v>18</v>
      </c>
      <c r="V70" s="33">
        <v>19</v>
      </c>
      <c r="W70" s="33">
        <v>20</v>
      </c>
      <c r="X70" s="33">
        <v>21</v>
      </c>
      <c r="Y70" s="33">
        <v>22</v>
      </c>
      <c r="Z70" s="33">
        <v>23</v>
      </c>
      <c r="AA70" s="33">
        <v>24</v>
      </c>
      <c r="AB70" s="33">
        <v>25</v>
      </c>
      <c r="AC70" s="33">
        <v>26</v>
      </c>
      <c r="AD70" s="33">
        <v>27</v>
      </c>
      <c r="AE70" s="33">
        <v>28</v>
      </c>
      <c r="AF70" s="33">
        <v>29</v>
      </c>
      <c r="AG70" s="33">
        <v>30</v>
      </c>
      <c r="AH70" s="33">
        <v>31</v>
      </c>
      <c r="AI70" s="33">
        <v>32</v>
      </c>
      <c r="AJ70" s="33">
        <v>33</v>
      </c>
      <c r="AK70" s="33">
        <v>34</v>
      </c>
      <c r="AL70" s="33">
        <v>35</v>
      </c>
      <c r="AM70" s="33">
        <v>36</v>
      </c>
      <c r="AN70" s="33">
        <v>37</v>
      </c>
      <c r="AO70" s="33">
        <v>38</v>
      </c>
      <c r="AP70" s="33">
        <v>39</v>
      </c>
      <c r="AQ70" s="33">
        <v>40</v>
      </c>
    </row>
    <row r="71" spans="2:43" x14ac:dyDescent="0.2">
      <c r="B71" s="734"/>
      <c r="C71" s="34" t="s">
        <v>9</v>
      </c>
      <c r="D71" s="35">
        <f>D4</f>
        <v>2026</v>
      </c>
      <c r="E71" s="35">
        <f t="shared" ref="E71:AG71" si="77">E4</f>
        <v>2027</v>
      </c>
      <c r="F71" s="35">
        <f t="shared" si="77"/>
        <v>2028</v>
      </c>
      <c r="G71" s="35">
        <f t="shared" si="77"/>
        <v>2029</v>
      </c>
      <c r="H71" s="35">
        <f t="shared" si="77"/>
        <v>2030</v>
      </c>
      <c r="I71" s="35">
        <f t="shared" si="77"/>
        <v>2031</v>
      </c>
      <c r="J71" s="35">
        <f t="shared" si="77"/>
        <v>2032</v>
      </c>
      <c r="K71" s="35">
        <f t="shared" si="77"/>
        <v>2033</v>
      </c>
      <c r="L71" s="35">
        <f t="shared" si="77"/>
        <v>2034</v>
      </c>
      <c r="M71" s="35">
        <f t="shared" si="77"/>
        <v>2035</v>
      </c>
      <c r="N71" s="35">
        <f t="shared" si="77"/>
        <v>2036</v>
      </c>
      <c r="O71" s="35">
        <f t="shared" si="77"/>
        <v>2037</v>
      </c>
      <c r="P71" s="35">
        <f t="shared" si="77"/>
        <v>2038</v>
      </c>
      <c r="Q71" s="35">
        <f t="shared" si="77"/>
        <v>2039</v>
      </c>
      <c r="R71" s="35">
        <f t="shared" si="77"/>
        <v>2040</v>
      </c>
      <c r="S71" s="35">
        <f t="shared" si="77"/>
        <v>2041</v>
      </c>
      <c r="T71" s="35">
        <f t="shared" si="77"/>
        <v>2042</v>
      </c>
      <c r="U71" s="35">
        <f t="shared" si="77"/>
        <v>2043</v>
      </c>
      <c r="V71" s="35">
        <f t="shared" si="77"/>
        <v>2044</v>
      </c>
      <c r="W71" s="35">
        <f t="shared" si="77"/>
        <v>2045</v>
      </c>
      <c r="X71" s="35">
        <f t="shared" si="77"/>
        <v>2046</v>
      </c>
      <c r="Y71" s="35">
        <f t="shared" si="77"/>
        <v>2047</v>
      </c>
      <c r="Z71" s="35">
        <f t="shared" si="77"/>
        <v>2048</v>
      </c>
      <c r="AA71" s="35">
        <f t="shared" si="77"/>
        <v>2049</v>
      </c>
      <c r="AB71" s="35">
        <f t="shared" si="77"/>
        <v>2050</v>
      </c>
      <c r="AC71" s="35">
        <f t="shared" si="77"/>
        <v>2051</v>
      </c>
      <c r="AD71" s="35">
        <f t="shared" si="77"/>
        <v>2052</v>
      </c>
      <c r="AE71" s="35">
        <f t="shared" si="77"/>
        <v>2053</v>
      </c>
      <c r="AF71" s="35">
        <f t="shared" si="77"/>
        <v>2054</v>
      </c>
      <c r="AG71" s="35">
        <f t="shared" si="77"/>
        <v>2055</v>
      </c>
      <c r="AH71" s="35">
        <f t="shared" ref="AH71:AN71" si="78">AH4</f>
        <v>2056</v>
      </c>
      <c r="AI71" s="35">
        <f t="shared" si="78"/>
        <v>2057</v>
      </c>
      <c r="AJ71" s="35">
        <f t="shared" si="78"/>
        <v>2058</v>
      </c>
      <c r="AK71" s="35">
        <f t="shared" si="78"/>
        <v>2059</v>
      </c>
      <c r="AL71" s="35">
        <f t="shared" si="78"/>
        <v>2060</v>
      </c>
      <c r="AM71" s="35">
        <f t="shared" si="78"/>
        <v>2061</v>
      </c>
      <c r="AN71" s="35">
        <f t="shared" si="78"/>
        <v>2062</v>
      </c>
      <c r="AO71" s="35">
        <f t="shared" ref="AO71:AQ71" si="79">AO4</f>
        <v>2063</v>
      </c>
      <c r="AP71" s="35">
        <f t="shared" si="79"/>
        <v>2064</v>
      </c>
      <c r="AQ71" s="35">
        <f t="shared" si="79"/>
        <v>2065</v>
      </c>
    </row>
    <row r="72" spans="2:43" x14ac:dyDescent="0.2">
      <c r="B72" s="159" t="s">
        <v>59</v>
      </c>
      <c r="C72" s="160">
        <f>SUM(D72:AQ72)</f>
        <v>-34011574.574392788</v>
      </c>
      <c r="D72" s="161">
        <f>D66*Parametre!C121/1000</f>
        <v>0</v>
      </c>
      <c r="E72" s="161">
        <f>E66*Parametre!D121/1000</f>
        <v>0</v>
      </c>
      <c r="F72" s="161">
        <f>F66*Parametre!E121/1000</f>
        <v>0</v>
      </c>
      <c r="G72" s="161">
        <f>G66*Parametre!F121/1000</f>
        <v>-127964.89823040007</v>
      </c>
      <c r="H72" s="161">
        <f>H66*Parametre!G121/1000</f>
        <v>-277808.85233640013</v>
      </c>
      <c r="I72" s="161">
        <f>I66*Parametre!H121/1000</f>
        <v>-349635.89291399985</v>
      </c>
      <c r="J72" s="161">
        <f>J66*Parametre!I121/1000</f>
        <v>-375161.45810219983</v>
      </c>
      <c r="K72" s="161">
        <f>K66*Parametre!J121/1000</f>
        <v>-417203.56547099986</v>
      </c>
      <c r="L72" s="161">
        <f>L66*Parametre!K121/1000</f>
        <v>-459245.67283979984</v>
      </c>
      <c r="M72" s="161">
        <f>M66*Parametre!L121/1000</f>
        <v>-501287.78020859981</v>
      </c>
      <c r="N72" s="161">
        <f>N66*Parametre!M121/1000</f>
        <v>-543329.88757739984</v>
      </c>
      <c r="O72" s="161">
        <f>O66*Parametre!N121/1000</f>
        <v>-585157.49439839984</v>
      </c>
      <c r="P72" s="161">
        <f>P66*Parametre!O121/1000</f>
        <v>-625698.09793259983</v>
      </c>
      <c r="Q72" s="161">
        <f>Q66*Parametre!P121/1000</f>
        <v>-666238.70146679983</v>
      </c>
      <c r="R72" s="161">
        <f>R66*Parametre!Q121/1000</f>
        <v>-706779.30500099971</v>
      </c>
      <c r="S72" s="161">
        <f>S66*Parametre!R121/1000</f>
        <v>-747319.90853519959</v>
      </c>
      <c r="T72" s="161">
        <f>T66*Parametre!S121/1000</f>
        <v>-787753.26179549971</v>
      </c>
      <c r="U72" s="161">
        <f>U66*Parametre!T121/1000</f>
        <v>-828293.86532969959</v>
      </c>
      <c r="V72" s="161">
        <f>V66*Parametre!U121/1000</f>
        <v>-868834.4688638997</v>
      </c>
      <c r="W72" s="161">
        <f>W66*Parametre!V121/1000</f>
        <v>-909375.0723980997</v>
      </c>
      <c r="X72" s="161">
        <f>X66*Parametre!W121/1000</f>
        <v>-949915.67593229969</v>
      </c>
      <c r="Y72" s="161">
        <f>Y66*Parametre!X121/1000</f>
        <v>-990349.0291925997</v>
      </c>
      <c r="Z72" s="161">
        <f>Z66*Parametre!Y121/1000</f>
        <v>-1032391.1365613996</v>
      </c>
      <c r="AA72" s="161">
        <f>AA66*Parametre!Z121/1000</f>
        <v>-1074433.2439301996</v>
      </c>
      <c r="AB72" s="161">
        <f>AB66*Parametre!AA121/1000</f>
        <v>-1116475.3512989995</v>
      </c>
      <c r="AC72" s="161">
        <f>AC66*Parametre!AB121/1000</f>
        <v>-1158517.4586677996</v>
      </c>
      <c r="AD72" s="161">
        <f>AD66*Parametre!AC121/1000</f>
        <v>-1200345.0654887995</v>
      </c>
      <c r="AE72" s="161">
        <f>AE66*Parametre!AD121/1000</f>
        <v>-1212786.0972611995</v>
      </c>
      <c r="AF72" s="161">
        <f>AF66*Parametre!AE121/1000</f>
        <v>-1224476.3771162997</v>
      </c>
      <c r="AG72" s="161">
        <f>AG66*Parametre!AF121/1000</f>
        <v>-1236273.9072452995</v>
      </c>
      <c r="AH72" s="161">
        <f>AH66*Parametre!AG121/1000</f>
        <v>-1248178.6876481995</v>
      </c>
      <c r="AI72" s="161">
        <f>AI66*Parametre!AH121/1000</f>
        <v>-1260190.7183249996</v>
      </c>
      <c r="AJ72" s="161">
        <f>AJ66*Parametre!AI121/1000</f>
        <v>-1272309.9992756995</v>
      </c>
      <c r="AK72" s="161">
        <f>AK66*Parametre!AJ121/1000</f>
        <v>-1284536.5305002995</v>
      </c>
      <c r="AL72" s="161">
        <f>AL66*Parametre!AK121/1000</f>
        <v>-1296870.3119987997</v>
      </c>
      <c r="AM72" s="161">
        <f>AM66*Parametre!AL121/1000</f>
        <v>-1309311.3437711995</v>
      </c>
      <c r="AN72" s="161">
        <f>AN66*Parametre!AM121/1000</f>
        <v>-1321859.6258174994</v>
      </c>
      <c r="AO72" s="161">
        <f>AO66*Parametre!AN121/1000</f>
        <v>-1334515.1581376994</v>
      </c>
      <c r="AP72" s="161">
        <f>AP66*Parametre!AO121/1000</f>
        <v>-1348350.4434707994</v>
      </c>
      <c r="AQ72" s="161">
        <f>AQ66*Parametre!AP121/1000</f>
        <v>-1362400.2293516994</v>
      </c>
    </row>
    <row r="76" spans="2:43" x14ac:dyDescent="0.2">
      <c r="D76" s="309"/>
    </row>
  </sheetData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4FE0-6306-4937-B885-48961B35E663}">
  <sheetPr>
    <tabColor theme="7" tint="0.59999389629810485"/>
  </sheetPr>
  <dimension ref="B3:AQ32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66.5703125" style="231" bestFit="1" customWidth="1"/>
    <col min="3" max="3" width="11.42578125" style="231" bestFit="1" customWidth="1"/>
    <col min="4" max="43" width="9.140625" style="231" bestFit="1" customWidth="1"/>
    <col min="44" max="16384" width="9.140625" style="231"/>
  </cols>
  <sheetData>
    <row r="3" spans="2:43" x14ac:dyDescent="0.2">
      <c r="B3" s="360" t="s">
        <v>639</v>
      </c>
      <c r="C3" s="402"/>
      <c r="D3" s="256" t="s">
        <v>10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</row>
    <row r="4" spans="2:43" x14ac:dyDescent="0.2">
      <c r="B4" s="360"/>
      <c r="C4" s="403"/>
      <c r="D4" s="256">
        <v>1</v>
      </c>
      <c r="E4" s="256">
        <v>2</v>
      </c>
      <c r="F4" s="256">
        <v>3</v>
      </c>
      <c r="G4" s="256">
        <v>4</v>
      </c>
      <c r="H4" s="256">
        <v>5</v>
      </c>
      <c r="I4" s="256">
        <v>6</v>
      </c>
      <c r="J4" s="256">
        <v>7</v>
      </c>
      <c r="K4" s="256">
        <v>8</v>
      </c>
      <c r="L4" s="256">
        <v>9</v>
      </c>
      <c r="M4" s="256">
        <v>10</v>
      </c>
      <c r="N4" s="256">
        <v>11</v>
      </c>
      <c r="O4" s="256">
        <v>12</v>
      </c>
      <c r="P4" s="256">
        <v>13</v>
      </c>
      <c r="Q4" s="256">
        <v>14</v>
      </c>
      <c r="R4" s="256">
        <v>15</v>
      </c>
      <c r="S4" s="256">
        <v>16</v>
      </c>
      <c r="T4" s="256">
        <v>17</v>
      </c>
      <c r="U4" s="256">
        <v>18</v>
      </c>
      <c r="V4" s="256">
        <v>19</v>
      </c>
      <c r="W4" s="256">
        <v>20</v>
      </c>
      <c r="X4" s="256">
        <v>21</v>
      </c>
      <c r="Y4" s="256">
        <v>22</v>
      </c>
      <c r="Z4" s="256">
        <v>23</v>
      </c>
      <c r="AA4" s="256">
        <v>24</v>
      </c>
      <c r="AB4" s="256">
        <v>25</v>
      </c>
      <c r="AC4" s="256">
        <v>26</v>
      </c>
      <c r="AD4" s="256">
        <v>27</v>
      </c>
      <c r="AE4" s="256">
        <v>28</v>
      </c>
      <c r="AF4" s="256">
        <v>29</v>
      </c>
      <c r="AG4" s="256">
        <v>30</v>
      </c>
      <c r="AH4" s="256">
        <v>31</v>
      </c>
      <c r="AI4" s="256">
        <v>32</v>
      </c>
      <c r="AJ4" s="256">
        <v>33</v>
      </c>
      <c r="AK4" s="256">
        <v>34</v>
      </c>
      <c r="AL4" s="256">
        <v>35</v>
      </c>
      <c r="AM4" s="256">
        <v>36</v>
      </c>
      <c r="AN4" s="256">
        <v>37</v>
      </c>
      <c r="AO4" s="256">
        <v>38</v>
      </c>
      <c r="AP4" s="256">
        <v>39</v>
      </c>
      <c r="AQ4" s="256">
        <v>40</v>
      </c>
    </row>
    <row r="5" spans="2:43" x14ac:dyDescent="0.2">
      <c r="B5" s="259" t="s">
        <v>33</v>
      </c>
      <c r="C5" s="259" t="s">
        <v>9</v>
      </c>
      <c r="D5" s="304">
        <v>2026</v>
      </c>
      <c r="E5" s="304">
        <f>$D$5+D4</f>
        <v>2027</v>
      </c>
      <c r="F5" s="304">
        <f t="shared" ref="F5:AN5" si="0">$D$5+E4</f>
        <v>2028</v>
      </c>
      <c r="G5" s="304">
        <f t="shared" si="0"/>
        <v>2029</v>
      </c>
      <c r="H5" s="304">
        <f t="shared" si="0"/>
        <v>2030</v>
      </c>
      <c r="I5" s="304">
        <f t="shared" si="0"/>
        <v>2031</v>
      </c>
      <c r="J5" s="304">
        <f t="shared" si="0"/>
        <v>2032</v>
      </c>
      <c r="K5" s="304">
        <f t="shared" si="0"/>
        <v>2033</v>
      </c>
      <c r="L5" s="304">
        <f t="shared" si="0"/>
        <v>2034</v>
      </c>
      <c r="M5" s="304">
        <f t="shared" si="0"/>
        <v>2035</v>
      </c>
      <c r="N5" s="304">
        <f t="shared" si="0"/>
        <v>2036</v>
      </c>
      <c r="O5" s="304">
        <f t="shared" si="0"/>
        <v>2037</v>
      </c>
      <c r="P5" s="304">
        <f t="shared" si="0"/>
        <v>2038</v>
      </c>
      <c r="Q5" s="304">
        <f t="shared" si="0"/>
        <v>2039</v>
      </c>
      <c r="R5" s="304">
        <f t="shared" si="0"/>
        <v>2040</v>
      </c>
      <c r="S5" s="304">
        <f t="shared" si="0"/>
        <v>2041</v>
      </c>
      <c r="T5" s="304">
        <f t="shared" si="0"/>
        <v>2042</v>
      </c>
      <c r="U5" s="304">
        <f t="shared" si="0"/>
        <v>2043</v>
      </c>
      <c r="V5" s="304">
        <f t="shared" si="0"/>
        <v>2044</v>
      </c>
      <c r="W5" s="304">
        <f t="shared" si="0"/>
        <v>2045</v>
      </c>
      <c r="X5" s="304">
        <f t="shared" si="0"/>
        <v>2046</v>
      </c>
      <c r="Y5" s="304">
        <f t="shared" si="0"/>
        <v>2047</v>
      </c>
      <c r="Z5" s="304">
        <f t="shared" si="0"/>
        <v>2048</v>
      </c>
      <c r="AA5" s="304">
        <f t="shared" si="0"/>
        <v>2049</v>
      </c>
      <c r="AB5" s="304">
        <f t="shared" si="0"/>
        <v>2050</v>
      </c>
      <c r="AC5" s="304">
        <f t="shared" si="0"/>
        <v>2051</v>
      </c>
      <c r="AD5" s="304">
        <f t="shared" si="0"/>
        <v>2052</v>
      </c>
      <c r="AE5" s="304">
        <f t="shared" si="0"/>
        <v>2053</v>
      </c>
      <c r="AF5" s="304">
        <f t="shared" si="0"/>
        <v>2054</v>
      </c>
      <c r="AG5" s="304">
        <f t="shared" si="0"/>
        <v>2055</v>
      </c>
      <c r="AH5" s="304">
        <f t="shared" si="0"/>
        <v>2056</v>
      </c>
      <c r="AI5" s="304">
        <f t="shared" si="0"/>
        <v>2057</v>
      </c>
      <c r="AJ5" s="304">
        <f t="shared" si="0"/>
        <v>2058</v>
      </c>
      <c r="AK5" s="304">
        <f t="shared" si="0"/>
        <v>2059</v>
      </c>
      <c r="AL5" s="304">
        <f t="shared" si="0"/>
        <v>2060</v>
      </c>
      <c r="AM5" s="304">
        <f t="shared" si="0"/>
        <v>2061</v>
      </c>
      <c r="AN5" s="304">
        <f t="shared" si="0"/>
        <v>2062</v>
      </c>
      <c r="AO5" s="304">
        <f t="shared" ref="AO5" si="1">$D$5+AN4</f>
        <v>2063</v>
      </c>
      <c r="AP5" s="304">
        <f t="shared" ref="AP5" si="2">$D$5+AO4</f>
        <v>2064</v>
      </c>
      <c r="AQ5" s="304">
        <f t="shared" ref="AQ5" si="3">$D$5+AP4</f>
        <v>2065</v>
      </c>
    </row>
    <row r="6" spans="2:43" x14ac:dyDescent="0.2">
      <c r="B6" s="362" t="s">
        <v>685</v>
      </c>
      <c r="C6" s="363">
        <f>SUM(D6:AQ6)</f>
        <v>1337612891.999999</v>
      </c>
      <c r="D6" s="235">
        <f>Vstupy!$C$16*Vstupy!$B$23</f>
        <v>33440322.299999997</v>
      </c>
      <c r="E6" s="235">
        <f>Vstupy!$C$16*Vstupy!$B$23</f>
        <v>33440322.299999997</v>
      </c>
      <c r="F6" s="235">
        <f>Vstupy!$C$16*Vstupy!$B$23</f>
        <v>33440322.299999997</v>
      </c>
      <c r="G6" s="235">
        <f>Vstupy!$C$16*Vstupy!$B$23</f>
        <v>33440322.299999997</v>
      </c>
      <c r="H6" s="235">
        <f>Vstupy!$C$16*Vstupy!$B$23</f>
        <v>33440322.299999997</v>
      </c>
      <c r="I6" s="235">
        <f>Vstupy!$C$16*Vstupy!$B$23</f>
        <v>33440322.299999997</v>
      </c>
      <c r="J6" s="235">
        <f>Vstupy!$C$16*Vstupy!$B$23</f>
        <v>33440322.299999997</v>
      </c>
      <c r="K6" s="235">
        <f>Vstupy!$C$16*Vstupy!$B$23</f>
        <v>33440322.299999997</v>
      </c>
      <c r="L6" s="235">
        <f>Vstupy!$C$16*Vstupy!$B$23</f>
        <v>33440322.299999997</v>
      </c>
      <c r="M6" s="235">
        <f>Vstupy!$C$16*Vstupy!$B$23</f>
        <v>33440322.299999997</v>
      </c>
      <c r="N6" s="235">
        <f>Vstupy!$C$16*Vstupy!$B$23</f>
        <v>33440322.299999997</v>
      </c>
      <c r="O6" s="235">
        <f>Vstupy!$C$16*Vstupy!$B$23</f>
        <v>33440322.299999997</v>
      </c>
      <c r="P6" s="235">
        <f>Vstupy!$C$16*Vstupy!$B$23</f>
        <v>33440322.299999997</v>
      </c>
      <c r="Q6" s="235">
        <f>Vstupy!$C$16*Vstupy!$B$23</f>
        <v>33440322.299999997</v>
      </c>
      <c r="R6" s="235">
        <f>Vstupy!$C$16*Vstupy!$B$23</f>
        <v>33440322.299999997</v>
      </c>
      <c r="S6" s="235">
        <f>Vstupy!$C$16*Vstupy!$B$23</f>
        <v>33440322.299999997</v>
      </c>
      <c r="T6" s="235">
        <f>Vstupy!$C$16*Vstupy!$B$23</f>
        <v>33440322.299999997</v>
      </c>
      <c r="U6" s="235">
        <f>Vstupy!$C$16*Vstupy!$B$23</f>
        <v>33440322.299999997</v>
      </c>
      <c r="V6" s="235">
        <f>Vstupy!$C$16*Vstupy!$B$23</f>
        <v>33440322.299999997</v>
      </c>
      <c r="W6" s="235">
        <f>Vstupy!$C$16*Vstupy!$B$23</f>
        <v>33440322.299999997</v>
      </c>
      <c r="X6" s="235">
        <f>Vstupy!$C$16*Vstupy!$B$23</f>
        <v>33440322.299999997</v>
      </c>
      <c r="Y6" s="235">
        <f>Vstupy!$C$16*Vstupy!$B$23</f>
        <v>33440322.299999997</v>
      </c>
      <c r="Z6" s="235">
        <f>Vstupy!$C$16*Vstupy!$B$23</f>
        <v>33440322.299999997</v>
      </c>
      <c r="AA6" s="235">
        <f>Vstupy!$C$16*Vstupy!$B$23</f>
        <v>33440322.299999997</v>
      </c>
      <c r="AB6" s="235">
        <f>Vstupy!$C$16*Vstupy!$B$23</f>
        <v>33440322.299999997</v>
      </c>
      <c r="AC6" s="235">
        <f>Vstupy!$C$16*Vstupy!$B$23</f>
        <v>33440322.299999997</v>
      </c>
      <c r="AD6" s="235">
        <f>Vstupy!$C$16*Vstupy!$B$23</f>
        <v>33440322.299999997</v>
      </c>
      <c r="AE6" s="235">
        <f>Vstupy!$C$16*Vstupy!$B$23</f>
        <v>33440322.299999997</v>
      </c>
      <c r="AF6" s="235">
        <f>Vstupy!$C$16*Vstupy!$B$23</f>
        <v>33440322.299999997</v>
      </c>
      <c r="AG6" s="235">
        <f>Vstupy!$C$16*Vstupy!$B$23</f>
        <v>33440322.299999997</v>
      </c>
      <c r="AH6" s="235">
        <f>Vstupy!$C$16*Vstupy!$B$23</f>
        <v>33440322.299999997</v>
      </c>
      <c r="AI6" s="235">
        <f>Vstupy!$C$16*Vstupy!$B$23</f>
        <v>33440322.299999997</v>
      </c>
      <c r="AJ6" s="235">
        <f>Vstupy!$C$16*Vstupy!$B$23</f>
        <v>33440322.299999997</v>
      </c>
      <c r="AK6" s="235">
        <f>Vstupy!$C$16*Vstupy!$B$23</f>
        <v>33440322.299999997</v>
      </c>
      <c r="AL6" s="235">
        <f>Vstupy!$C$16*Vstupy!$B$23</f>
        <v>33440322.299999997</v>
      </c>
      <c r="AM6" s="235">
        <f>Vstupy!$C$16*Vstupy!$B$23</f>
        <v>33440322.299999997</v>
      </c>
      <c r="AN6" s="235">
        <f>Vstupy!$C$16*Vstupy!$B$23</f>
        <v>33440322.299999997</v>
      </c>
      <c r="AO6" s="235">
        <f>Vstupy!$C$16*Vstupy!$B$23</f>
        <v>33440322.299999997</v>
      </c>
      <c r="AP6" s="235">
        <f>Vstupy!$C$16*Vstupy!$B$23</f>
        <v>33440322.299999997</v>
      </c>
      <c r="AQ6" s="235">
        <f>Vstupy!$C$16*Vstupy!$B$23</f>
        <v>33440322.299999997</v>
      </c>
    </row>
    <row r="8" spans="2:43" x14ac:dyDescent="0.2">
      <c r="B8" s="305"/>
      <c r="C8" s="305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</row>
    <row r="9" spans="2:43" x14ac:dyDescent="0.2">
      <c r="B9" s="360" t="s">
        <v>640</v>
      </c>
      <c r="C9" s="402"/>
      <c r="D9" s="256" t="s">
        <v>10</v>
      </c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</row>
    <row r="10" spans="2:43" x14ac:dyDescent="0.2">
      <c r="B10" s="360"/>
      <c r="C10" s="403"/>
      <c r="D10" s="256">
        <v>1</v>
      </c>
      <c r="E10" s="256">
        <v>2</v>
      </c>
      <c r="F10" s="256">
        <v>3</v>
      </c>
      <c r="G10" s="256">
        <v>4</v>
      </c>
      <c r="H10" s="256">
        <v>5</v>
      </c>
      <c r="I10" s="256">
        <v>6</v>
      </c>
      <c r="J10" s="256">
        <v>7</v>
      </c>
      <c r="K10" s="256">
        <v>8</v>
      </c>
      <c r="L10" s="256">
        <v>9</v>
      </c>
      <c r="M10" s="256">
        <v>10</v>
      </c>
      <c r="N10" s="256">
        <v>11</v>
      </c>
      <c r="O10" s="256">
        <v>12</v>
      </c>
      <c r="P10" s="256">
        <v>13</v>
      </c>
      <c r="Q10" s="256">
        <v>14</v>
      </c>
      <c r="R10" s="256">
        <v>15</v>
      </c>
      <c r="S10" s="256">
        <v>16</v>
      </c>
      <c r="T10" s="256">
        <v>17</v>
      </c>
      <c r="U10" s="256">
        <v>18</v>
      </c>
      <c r="V10" s="256">
        <v>19</v>
      </c>
      <c r="W10" s="256">
        <v>20</v>
      </c>
      <c r="X10" s="256">
        <v>21</v>
      </c>
      <c r="Y10" s="256">
        <v>22</v>
      </c>
      <c r="Z10" s="256">
        <v>23</v>
      </c>
      <c r="AA10" s="256">
        <v>24</v>
      </c>
      <c r="AB10" s="256">
        <v>25</v>
      </c>
      <c r="AC10" s="256">
        <v>26</v>
      </c>
      <c r="AD10" s="256">
        <v>27</v>
      </c>
      <c r="AE10" s="256">
        <v>28</v>
      </c>
      <c r="AF10" s="256">
        <v>29</v>
      </c>
      <c r="AG10" s="256">
        <v>30</v>
      </c>
      <c r="AH10" s="256">
        <v>31</v>
      </c>
      <c r="AI10" s="256">
        <v>32</v>
      </c>
      <c r="AJ10" s="256">
        <v>33</v>
      </c>
      <c r="AK10" s="256">
        <v>34</v>
      </c>
      <c r="AL10" s="256">
        <v>35</v>
      </c>
      <c r="AM10" s="256">
        <v>36</v>
      </c>
      <c r="AN10" s="256">
        <v>37</v>
      </c>
      <c r="AO10" s="256">
        <v>38</v>
      </c>
      <c r="AP10" s="256">
        <v>39</v>
      </c>
      <c r="AQ10" s="256">
        <v>40</v>
      </c>
    </row>
    <row r="11" spans="2:43" x14ac:dyDescent="0.2">
      <c r="B11" s="259" t="s">
        <v>34</v>
      </c>
      <c r="C11" s="259" t="s">
        <v>9</v>
      </c>
      <c r="D11" s="304">
        <v>2026</v>
      </c>
      <c r="E11" s="304">
        <f>$D$5+D10</f>
        <v>2027</v>
      </c>
      <c r="F11" s="304">
        <f t="shared" ref="F11:AN11" si="4">$D$5+E10</f>
        <v>2028</v>
      </c>
      <c r="G11" s="304">
        <f t="shared" si="4"/>
        <v>2029</v>
      </c>
      <c r="H11" s="304">
        <f t="shared" si="4"/>
        <v>2030</v>
      </c>
      <c r="I11" s="304">
        <f t="shared" si="4"/>
        <v>2031</v>
      </c>
      <c r="J11" s="304">
        <f t="shared" si="4"/>
        <v>2032</v>
      </c>
      <c r="K11" s="304">
        <f t="shared" si="4"/>
        <v>2033</v>
      </c>
      <c r="L11" s="304">
        <f t="shared" si="4"/>
        <v>2034</v>
      </c>
      <c r="M11" s="304">
        <f t="shared" si="4"/>
        <v>2035</v>
      </c>
      <c r="N11" s="304">
        <f t="shared" si="4"/>
        <v>2036</v>
      </c>
      <c r="O11" s="304">
        <f t="shared" si="4"/>
        <v>2037</v>
      </c>
      <c r="P11" s="304">
        <f t="shared" si="4"/>
        <v>2038</v>
      </c>
      <c r="Q11" s="304">
        <f t="shared" si="4"/>
        <v>2039</v>
      </c>
      <c r="R11" s="304">
        <f t="shared" si="4"/>
        <v>2040</v>
      </c>
      <c r="S11" s="304">
        <f t="shared" si="4"/>
        <v>2041</v>
      </c>
      <c r="T11" s="304">
        <f t="shared" si="4"/>
        <v>2042</v>
      </c>
      <c r="U11" s="304">
        <f t="shared" si="4"/>
        <v>2043</v>
      </c>
      <c r="V11" s="304">
        <f t="shared" si="4"/>
        <v>2044</v>
      </c>
      <c r="W11" s="304">
        <f t="shared" si="4"/>
        <v>2045</v>
      </c>
      <c r="X11" s="304">
        <f t="shared" si="4"/>
        <v>2046</v>
      </c>
      <c r="Y11" s="304">
        <f t="shared" si="4"/>
        <v>2047</v>
      </c>
      <c r="Z11" s="304">
        <f t="shared" si="4"/>
        <v>2048</v>
      </c>
      <c r="AA11" s="304">
        <f t="shared" si="4"/>
        <v>2049</v>
      </c>
      <c r="AB11" s="304">
        <f t="shared" si="4"/>
        <v>2050</v>
      </c>
      <c r="AC11" s="304">
        <f t="shared" si="4"/>
        <v>2051</v>
      </c>
      <c r="AD11" s="304">
        <f t="shared" si="4"/>
        <v>2052</v>
      </c>
      <c r="AE11" s="304">
        <f t="shared" si="4"/>
        <v>2053</v>
      </c>
      <c r="AF11" s="304">
        <f t="shared" si="4"/>
        <v>2054</v>
      </c>
      <c r="AG11" s="304">
        <f t="shared" si="4"/>
        <v>2055</v>
      </c>
      <c r="AH11" s="304">
        <f t="shared" si="4"/>
        <v>2056</v>
      </c>
      <c r="AI11" s="304">
        <f t="shared" si="4"/>
        <v>2057</v>
      </c>
      <c r="AJ11" s="304">
        <f t="shared" si="4"/>
        <v>2058</v>
      </c>
      <c r="AK11" s="304">
        <f t="shared" si="4"/>
        <v>2059</v>
      </c>
      <c r="AL11" s="304">
        <f t="shared" si="4"/>
        <v>2060</v>
      </c>
      <c r="AM11" s="304">
        <f t="shared" si="4"/>
        <v>2061</v>
      </c>
      <c r="AN11" s="304">
        <f t="shared" si="4"/>
        <v>2062</v>
      </c>
      <c r="AO11" s="304">
        <f t="shared" ref="AO11" si="5">$D$5+AN10</f>
        <v>2063</v>
      </c>
      <c r="AP11" s="304">
        <f t="shared" ref="AP11" si="6">$D$5+AO10</f>
        <v>2064</v>
      </c>
      <c r="AQ11" s="304">
        <f t="shared" ref="AQ11" si="7">$D$5+AP10</f>
        <v>2065</v>
      </c>
    </row>
    <row r="12" spans="2:43" x14ac:dyDescent="0.2">
      <c r="B12" s="362" t="s">
        <v>685</v>
      </c>
      <c r="C12" s="363">
        <f>SUM(D12:AQ12)</f>
        <v>1522929691.8000011</v>
      </c>
      <c r="D12" s="235">
        <f>D6</f>
        <v>33440322.299999997</v>
      </c>
      <c r="E12" s="235">
        <f t="shared" ref="E12:F12" si="8">E6</f>
        <v>33440322.299999997</v>
      </c>
      <c r="F12" s="235">
        <f t="shared" si="8"/>
        <v>33440322.299999997</v>
      </c>
      <c r="G12" s="235">
        <f>(Vstupy!C16*Vstupy!B23/7*4)+(Vstupy!D16*Vstupy!C23/7*3)</f>
        <v>35629103.399999999</v>
      </c>
      <c r="H12" s="235">
        <f>(Vstupy!C16*Vstupy!B23/7)+(Vstupy!D16*Vstupy!C23/7*6)</f>
        <v>37817884.5</v>
      </c>
      <c r="I12" s="235">
        <f>Vstupy!$D$16*Vstupy!$B$24</f>
        <v>38547478.199999996</v>
      </c>
      <c r="J12" s="235">
        <f>Vstupy!$D$16*Vstupy!$B$24</f>
        <v>38547478.199999996</v>
      </c>
      <c r="K12" s="235">
        <f>Vstupy!$D$16*Vstupy!$B$24</f>
        <v>38547478.199999996</v>
      </c>
      <c r="L12" s="235">
        <f>Vstupy!$D$16*Vstupy!$B$24</f>
        <v>38547478.199999996</v>
      </c>
      <c r="M12" s="235">
        <f>Vstupy!$D$16*Vstupy!$B$24</f>
        <v>38547478.199999996</v>
      </c>
      <c r="N12" s="235">
        <f>Vstupy!$D$16*Vstupy!$B$24</f>
        <v>38547478.199999996</v>
      </c>
      <c r="O12" s="235">
        <f>Vstupy!$D$16*Vstupy!$B$24</f>
        <v>38547478.199999996</v>
      </c>
      <c r="P12" s="235">
        <f>Vstupy!$D$16*Vstupy!$B$24</f>
        <v>38547478.199999996</v>
      </c>
      <c r="Q12" s="235">
        <f>Vstupy!$D$16*Vstupy!$B$24</f>
        <v>38547478.199999996</v>
      </c>
      <c r="R12" s="235">
        <f>Vstupy!$D$16*Vstupy!$B$24</f>
        <v>38547478.199999996</v>
      </c>
      <c r="S12" s="235">
        <f>Vstupy!$D$16*Vstupy!$B$24</f>
        <v>38547478.199999996</v>
      </c>
      <c r="T12" s="235">
        <f>Vstupy!$D$16*Vstupy!$B$24</f>
        <v>38547478.199999996</v>
      </c>
      <c r="U12" s="235">
        <f>Vstupy!$D$16*Vstupy!$B$24</f>
        <v>38547478.199999996</v>
      </c>
      <c r="V12" s="235">
        <f>Vstupy!$D$16*Vstupy!$B$24</f>
        <v>38547478.199999996</v>
      </c>
      <c r="W12" s="235">
        <f>Vstupy!$D$16*Vstupy!$B$24</f>
        <v>38547478.199999996</v>
      </c>
      <c r="X12" s="235">
        <f>Vstupy!$D$16*Vstupy!$B$24</f>
        <v>38547478.199999996</v>
      </c>
      <c r="Y12" s="235">
        <f>Vstupy!$D$16*Vstupy!$B$24</f>
        <v>38547478.199999996</v>
      </c>
      <c r="Z12" s="235">
        <f>Vstupy!$D$16*Vstupy!$B$24</f>
        <v>38547478.199999996</v>
      </c>
      <c r="AA12" s="235">
        <f>Vstupy!$D$16*Vstupy!$B$24</f>
        <v>38547478.199999996</v>
      </c>
      <c r="AB12" s="235">
        <f>Vstupy!$D$16*Vstupy!$B$24</f>
        <v>38547478.199999996</v>
      </c>
      <c r="AC12" s="235">
        <f>Vstupy!$D$16*Vstupy!$B$24</f>
        <v>38547478.199999996</v>
      </c>
      <c r="AD12" s="235">
        <f>Vstupy!$D$16*Vstupy!$B$24</f>
        <v>38547478.199999996</v>
      </c>
      <c r="AE12" s="235">
        <f>Vstupy!$D$16*Vstupy!$B$24</f>
        <v>38547478.199999996</v>
      </c>
      <c r="AF12" s="235">
        <f>Vstupy!$D$16*Vstupy!$B$24</f>
        <v>38547478.199999996</v>
      </c>
      <c r="AG12" s="235">
        <f>Vstupy!$D$16*Vstupy!$B$24</f>
        <v>38547478.199999996</v>
      </c>
      <c r="AH12" s="235">
        <f>Vstupy!$D$16*Vstupy!$B$24</f>
        <v>38547478.199999996</v>
      </c>
      <c r="AI12" s="235">
        <f>Vstupy!$D$16*Vstupy!$B$24</f>
        <v>38547478.199999996</v>
      </c>
      <c r="AJ12" s="235">
        <f>Vstupy!$D$16*Vstupy!$B$24</f>
        <v>38547478.199999996</v>
      </c>
      <c r="AK12" s="235">
        <f>Vstupy!$D$16*Vstupy!$B$24</f>
        <v>38547478.199999996</v>
      </c>
      <c r="AL12" s="235">
        <f>Vstupy!$D$16*Vstupy!$B$24</f>
        <v>38547478.199999996</v>
      </c>
      <c r="AM12" s="235">
        <f>Vstupy!$D$16*Vstupy!$B$24</f>
        <v>38547478.199999996</v>
      </c>
      <c r="AN12" s="235">
        <f>Vstupy!$D$16*Vstupy!$B$24</f>
        <v>38547478.199999996</v>
      </c>
      <c r="AO12" s="235">
        <f>Vstupy!$D$16*Vstupy!$B$24</f>
        <v>38547478.199999996</v>
      </c>
      <c r="AP12" s="235">
        <f>Vstupy!$D$16*Vstupy!$B$24</f>
        <v>38547478.199999996</v>
      </c>
      <c r="AQ12" s="235">
        <f>Vstupy!$D$16*Vstupy!$B$24</f>
        <v>38547478.199999996</v>
      </c>
    </row>
    <row r="13" spans="2:43" x14ac:dyDescent="0.2">
      <c r="B13" s="305"/>
      <c r="C13" s="305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</row>
    <row r="14" spans="2:43" x14ac:dyDescent="0.2">
      <c r="B14" s="305"/>
      <c r="C14" s="306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407" t="s">
        <v>641</v>
      </c>
      <c r="C15" s="402"/>
      <c r="D15" s="256" t="s">
        <v>10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</row>
    <row r="16" spans="2:43" x14ac:dyDescent="0.2">
      <c r="B16" s="404" t="s">
        <v>33</v>
      </c>
      <c r="C16" s="407"/>
      <c r="D16" s="256">
        <v>1</v>
      </c>
      <c r="E16" s="256">
        <v>2</v>
      </c>
      <c r="F16" s="256">
        <v>3</v>
      </c>
      <c r="G16" s="256">
        <v>4</v>
      </c>
      <c r="H16" s="256">
        <v>5</v>
      </c>
      <c r="I16" s="256">
        <v>6</v>
      </c>
      <c r="J16" s="256">
        <v>7</v>
      </c>
      <c r="K16" s="256">
        <v>8</v>
      </c>
      <c r="L16" s="256">
        <v>9</v>
      </c>
      <c r="M16" s="256">
        <v>10</v>
      </c>
      <c r="N16" s="256">
        <v>11</v>
      </c>
      <c r="O16" s="256">
        <v>12</v>
      </c>
      <c r="P16" s="256">
        <v>13</v>
      </c>
      <c r="Q16" s="256">
        <v>14</v>
      </c>
      <c r="R16" s="256">
        <v>15</v>
      </c>
      <c r="S16" s="256">
        <v>16</v>
      </c>
      <c r="T16" s="256">
        <v>17</v>
      </c>
      <c r="U16" s="256">
        <v>18</v>
      </c>
      <c r="V16" s="256">
        <v>19</v>
      </c>
      <c r="W16" s="256">
        <v>20</v>
      </c>
      <c r="X16" s="256">
        <v>21</v>
      </c>
      <c r="Y16" s="256">
        <v>22</v>
      </c>
      <c r="Z16" s="256">
        <v>23</v>
      </c>
      <c r="AA16" s="256">
        <v>24</v>
      </c>
      <c r="AB16" s="256">
        <v>25</v>
      </c>
      <c r="AC16" s="256">
        <v>26</v>
      </c>
      <c r="AD16" s="256">
        <v>27</v>
      </c>
      <c r="AE16" s="256">
        <v>28</v>
      </c>
      <c r="AF16" s="256">
        <v>29</v>
      </c>
      <c r="AG16" s="256">
        <v>30</v>
      </c>
      <c r="AH16" s="256">
        <v>31</v>
      </c>
      <c r="AI16" s="256">
        <v>32</v>
      </c>
      <c r="AJ16" s="256">
        <v>33</v>
      </c>
      <c r="AK16" s="256">
        <v>34</v>
      </c>
      <c r="AL16" s="256">
        <v>35</v>
      </c>
      <c r="AM16" s="256">
        <v>36</v>
      </c>
      <c r="AN16" s="256">
        <v>37</v>
      </c>
      <c r="AO16" s="256">
        <v>38</v>
      </c>
      <c r="AP16" s="256">
        <v>39</v>
      </c>
      <c r="AQ16" s="256">
        <v>40</v>
      </c>
    </row>
    <row r="17" spans="2:43" x14ac:dyDescent="0.2">
      <c r="B17" s="405" t="s">
        <v>150</v>
      </c>
      <c r="C17" s="259" t="s">
        <v>9</v>
      </c>
      <c r="D17" s="304">
        <v>2026</v>
      </c>
      <c r="E17" s="304">
        <f>$D$5+D16</f>
        <v>2027</v>
      </c>
      <c r="F17" s="304">
        <f t="shared" ref="F17:AN17" si="9">$D$5+E16</f>
        <v>2028</v>
      </c>
      <c r="G17" s="304">
        <f t="shared" si="9"/>
        <v>2029</v>
      </c>
      <c r="H17" s="304">
        <f t="shared" si="9"/>
        <v>2030</v>
      </c>
      <c r="I17" s="304">
        <f t="shared" si="9"/>
        <v>2031</v>
      </c>
      <c r="J17" s="304">
        <f t="shared" si="9"/>
        <v>2032</v>
      </c>
      <c r="K17" s="304">
        <f t="shared" si="9"/>
        <v>2033</v>
      </c>
      <c r="L17" s="304">
        <f t="shared" si="9"/>
        <v>2034</v>
      </c>
      <c r="M17" s="304">
        <f t="shared" si="9"/>
        <v>2035</v>
      </c>
      <c r="N17" s="304">
        <f t="shared" si="9"/>
        <v>2036</v>
      </c>
      <c r="O17" s="304">
        <f t="shared" si="9"/>
        <v>2037</v>
      </c>
      <c r="P17" s="304">
        <f t="shared" si="9"/>
        <v>2038</v>
      </c>
      <c r="Q17" s="304">
        <f t="shared" si="9"/>
        <v>2039</v>
      </c>
      <c r="R17" s="304">
        <f t="shared" si="9"/>
        <v>2040</v>
      </c>
      <c r="S17" s="304">
        <f t="shared" si="9"/>
        <v>2041</v>
      </c>
      <c r="T17" s="304">
        <f t="shared" si="9"/>
        <v>2042</v>
      </c>
      <c r="U17" s="304">
        <f t="shared" si="9"/>
        <v>2043</v>
      </c>
      <c r="V17" s="304">
        <f t="shared" si="9"/>
        <v>2044</v>
      </c>
      <c r="W17" s="304">
        <f t="shared" si="9"/>
        <v>2045</v>
      </c>
      <c r="X17" s="304">
        <f t="shared" si="9"/>
        <v>2046</v>
      </c>
      <c r="Y17" s="304">
        <f t="shared" si="9"/>
        <v>2047</v>
      </c>
      <c r="Z17" s="304">
        <f t="shared" si="9"/>
        <v>2048</v>
      </c>
      <c r="AA17" s="304">
        <f t="shared" si="9"/>
        <v>2049</v>
      </c>
      <c r="AB17" s="304">
        <f t="shared" si="9"/>
        <v>2050</v>
      </c>
      <c r="AC17" s="304">
        <f t="shared" si="9"/>
        <v>2051</v>
      </c>
      <c r="AD17" s="304">
        <f t="shared" si="9"/>
        <v>2052</v>
      </c>
      <c r="AE17" s="304">
        <f t="shared" si="9"/>
        <v>2053</v>
      </c>
      <c r="AF17" s="304">
        <f t="shared" si="9"/>
        <v>2054</v>
      </c>
      <c r="AG17" s="304">
        <f t="shared" si="9"/>
        <v>2055</v>
      </c>
      <c r="AH17" s="304">
        <f t="shared" si="9"/>
        <v>2056</v>
      </c>
      <c r="AI17" s="304">
        <f t="shared" si="9"/>
        <v>2057</v>
      </c>
      <c r="AJ17" s="304">
        <f t="shared" si="9"/>
        <v>2058</v>
      </c>
      <c r="AK17" s="304">
        <f t="shared" si="9"/>
        <v>2059</v>
      </c>
      <c r="AL17" s="304">
        <f t="shared" si="9"/>
        <v>2060</v>
      </c>
      <c r="AM17" s="304">
        <f t="shared" si="9"/>
        <v>2061</v>
      </c>
      <c r="AN17" s="304">
        <f t="shared" si="9"/>
        <v>2062</v>
      </c>
      <c r="AO17" s="304">
        <f t="shared" ref="AO17" si="10">$D$5+AN16</f>
        <v>2063</v>
      </c>
      <c r="AP17" s="304">
        <f t="shared" ref="AP17" si="11">$D$5+AO16</f>
        <v>2064</v>
      </c>
      <c r="AQ17" s="304">
        <f t="shared" ref="AQ17" si="12">$D$5+AP16</f>
        <v>2065</v>
      </c>
    </row>
    <row r="18" spans="2:43" x14ac:dyDescent="0.2">
      <c r="B18" s="362" t="s">
        <v>685</v>
      </c>
      <c r="C18" s="363">
        <f>SUM(D18:AN18)</f>
        <v>0</v>
      </c>
      <c r="D18" s="235">
        <f>'11a_A Znečisť. l.(voz.)NOV200'!D6*Parametre!$C$107/1000</f>
        <v>0</v>
      </c>
      <c r="E18" s="235">
        <f>'11a_A Znečisť. l.(voz.)NOV200'!E6*Parametre!$C$107/1000</f>
        <v>0</v>
      </c>
      <c r="F18" s="235">
        <f>'11a_A Znečisť. l.(voz.)NOV200'!F6*Parametre!$C$107/1000</f>
        <v>0</v>
      </c>
      <c r="G18" s="235">
        <f>'11a_A Znečisť. l.(voz.)NOV200'!G6*Parametre!$C$107/1000</f>
        <v>0</v>
      </c>
      <c r="H18" s="235">
        <f>'11a_A Znečisť. l.(voz.)NOV200'!H6*Parametre!$C$107/1000</f>
        <v>0</v>
      </c>
      <c r="I18" s="235">
        <f>'11a_A Znečisť. l.(voz.)NOV200'!I6*Parametre!$C$107/1000</f>
        <v>0</v>
      </c>
      <c r="J18" s="235">
        <f>'11a_A Znečisť. l.(voz.)NOV200'!J6*Parametre!$C$107/1000</f>
        <v>0</v>
      </c>
      <c r="K18" s="235">
        <f>'11a_A Znečisť. l.(voz.)NOV200'!K6*Parametre!$C$107/1000</f>
        <v>0</v>
      </c>
      <c r="L18" s="235">
        <f>'11a_A Znečisť. l.(voz.)NOV200'!L6*Parametre!$C$107/1000</f>
        <v>0</v>
      </c>
      <c r="M18" s="235">
        <f>'11a_A Znečisť. l.(voz.)NOV200'!M6*Parametre!$C$107/1000</f>
        <v>0</v>
      </c>
      <c r="N18" s="235">
        <f>'11a_A Znečisť. l.(voz.)NOV200'!N6*Parametre!$C$107/1000</f>
        <v>0</v>
      </c>
      <c r="O18" s="235">
        <f>'11a_A Znečisť. l.(voz.)NOV200'!O6*Parametre!$C$107/1000</f>
        <v>0</v>
      </c>
      <c r="P18" s="235">
        <f>'11a_A Znečisť. l.(voz.)NOV200'!P6*Parametre!$C$107/1000</f>
        <v>0</v>
      </c>
      <c r="Q18" s="235">
        <f>'11a_A Znečisť. l.(voz.)NOV200'!Q6*Parametre!$C$107/1000</f>
        <v>0</v>
      </c>
      <c r="R18" s="235">
        <f>'11a_A Znečisť. l.(voz.)NOV200'!R6*Parametre!$C$107/1000</f>
        <v>0</v>
      </c>
      <c r="S18" s="235">
        <f>'11a_A Znečisť. l.(voz.)NOV200'!S6*Parametre!$C$107/1000</f>
        <v>0</v>
      </c>
      <c r="T18" s="235">
        <f>'11a_A Znečisť. l.(voz.)NOV200'!T6*Parametre!$C$107/1000</f>
        <v>0</v>
      </c>
      <c r="U18" s="235">
        <f>'11a_A Znečisť. l.(voz.)NOV200'!U6*Parametre!$C$107/1000</f>
        <v>0</v>
      </c>
      <c r="V18" s="235">
        <f>'11a_A Znečisť. l.(voz.)NOV200'!V6*Parametre!$C$107/1000</f>
        <v>0</v>
      </c>
      <c r="W18" s="235">
        <f>'11a_A Znečisť. l.(voz.)NOV200'!W6*Parametre!$C$107/1000</f>
        <v>0</v>
      </c>
      <c r="X18" s="235">
        <f>'11a_A Znečisť. l.(voz.)NOV200'!X6*Parametre!$C$107/1000</f>
        <v>0</v>
      </c>
      <c r="Y18" s="235">
        <f>'11a_A Znečisť. l.(voz.)NOV200'!Y6*Parametre!$C$107/1000</f>
        <v>0</v>
      </c>
      <c r="Z18" s="235">
        <f>'11a_A Znečisť. l.(voz.)NOV200'!Z6*Parametre!$C$107/1000</f>
        <v>0</v>
      </c>
      <c r="AA18" s="235">
        <f>'11a_A Znečisť. l.(voz.)NOV200'!AA6*Parametre!$C$107/1000</f>
        <v>0</v>
      </c>
      <c r="AB18" s="235">
        <f>'11a_A Znečisť. l.(voz.)NOV200'!AB6*Parametre!$C$107/1000</f>
        <v>0</v>
      </c>
      <c r="AC18" s="235">
        <f>'11a_A Znečisť. l.(voz.)NOV200'!AC6*Parametre!$C$107/1000</f>
        <v>0</v>
      </c>
      <c r="AD18" s="235">
        <f>'11a_A Znečisť. l.(voz.)NOV200'!AD6*Parametre!$C$107/1000</f>
        <v>0</v>
      </c>
      <c r="AE18" s="235">
        <f>'11a_A Znečisť. l.(voz.)NOV200'!AE6*Parametre!$C$107/1000</f>
        <v>0</v>
      </c>
      <c r="AF18" s="235">
        <f>'11a_A Znečisť. l.(voz.)NOV200'!AF6*Parametre!$C$107/1000</f>
        <v>0</v>
      </c>
      <c r="AG18" s="235">
        <f>'11a_A Znečisť. l.(voz.)NOV200'!AG6*Parametre!$C$107/1000</f>
        <v>0</v>
      </c>
      <c r="AH18" s="235">
        <f>'11a_A Znečisť. l.(voz.)NOV200'!AH6*Parametre!$C$107/1000</f>
        <v>0</v>
      </c>
      <c r="AI18" s="235">
        <f>'11a_A Znečisť. l.(voz.)NOV200'!AI6*Parametre!$C$107/1000</f>
        <v>0</v>
      </c>
      <c r="AJ18" s="235">
        <f>'11a_A Znečisť. l.(voz.)NOV200'!AJ6*Parametre!$C$107/1000</f>
        <v>0</v>
      </c>
      <c r="AK18" s="235">
        <f>'11a_A Znečisť. l.(voz.)NOV200'!AK6*Parametre!$C$107/1000</f>
        <v>0</v>
      </c>
      <c r="AL18" s="235">
        <f>'11a_A Znečisť. l.(voz.)NOV200'!AL6*Parametre!$C$107/1000</f>
        <v>0</v>
      </c>
      <c r="AM18" s="235">
        <f>'11a_A Znečisť. l.(voz.)NOV200'!AM6*Parametre!$C$107/1000</f>
        <v>0</v>
      </c>
      <c r="AN18" s="235">
        <f>'11a_A Znečisť. l.(voz.)NOV200'!AN6*Parametre!$C$107/1000</f>
        <v>0</v>
      </c>
      <c r="AO18" s="235">
        <f>'11a_A Znečisť. l.(voz.)NOV200'!AO6*Parametre!$C$107/1000</f>
        <v>0</v>
      </c>
      <c r="AP18" s="235">
        <f>'11a_A Znečisť. l.(voz.)NOV200'!AP6*Parametre!$C$107/1000</f>
        <v>0</v>
      </c>
      <c r="AQ18" s="235">
        <f>'11a_A Znečisť. l.(voz.)NOV200'!AQ6*Parametre!$C$107/1000</f>
        <v>0</v>
      </c>
    </row>
    <row r="19" spans="2:43" x14ac:dyDescent="0.2">
      <c r="B19" s="405" t="s">
        <v>151</v>
      </c>
      <c r="C19" s="259" t="s">
        <v>9</v>
      </c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</row>
    <row r="20" spans="2:43" x14ac:dyDescent="0.2">
      <c r="B20" s="362" t="s">
        <v>685</v>
      </c>
      <c r="C20" s="363">
        <f>SUM(D20:AN20)</f>
        <v>0</v>
      </c>
      <c r="D20" s="235">
        <f>'11a_A Znečisť. l.(voz.)NOV200'!D6*Parametre!$D$107/1000</f>
        <v>0</v>
      </c>
      <c r="E20" s="235">
        <f>'11a_A Znečisť. l.(voz.)NOV200'!E6*Parametre!$D$107/1000</f>
        <v>0</v>
      </c>
      <c r="F20" s="235">
        <f>'11a_A Znečisť. l.(voz.)NOV200'!F6*Parametre!$D$107/1000</f>
        <v>0</v>
      </c>
      <c r="G20" s="235">
        <f>'11a_A Znečisť. l.(voz.)NOV200'!G6*Parametre!$D$107/1000</f>
        <v>0</v>
      </c>
      <c r="H20" s="235">
        <f>'11a_A Znečisť. l.(voz.)NOV200'!H6*Parametre!$D$107/1000</f>
        <v>0</v>
      </c>
      <c r="I20" s="235">
        <f>'11a_A Znečisť. l.(voz.)NOV200'!I6*Parametre!$D$107/1000</f>
        <v>0</v>
      </c>
      <c r="J20" s="235">
        <f>'11a_A Znečisť. l.(voz.)NOV200'!J6*Parametre!$D$107/1000</f>
        <v>0</v>
      </c>
      <c r="K20" s="235">
        <f>'11a_A Znečisť. l.(voz.)NOV200'!K6*Parametre!$D$107/1000</f>
        <v>0</v>
      </c>
      <c r="L20" s="235">
        <f>'11a_A Znečisť. l.(voz.)NOV200'!L6*Parametre!$D$107/1000</f>
        <v>0</v>
      </c>
      <c r="M20" s="235">
        <f>'11a_A Znečisť. l.(voz.)NOV200'!M6*Parametre!$D$107/1000</f>
        <v>0</v>
      </c>
      <c r="N20" s="235">
        <f>'11a_A Znečisť. l.(voz.)NOV200'!N6*Parametre!$D$107/1000</f>
        <v>0</v>
      </c>
      <c r="O20" s="235">
        <f>'11a_A Znečisť. l.(voz.)NOV200'!O6*Parametre!$D$107/1000</f>
        <v>0</v>
      </c>
      <c r="P20" s="235">
        <f>'11a_A Znečisť. l.(voz.)NOV200'!P6*Parametre!$D$107/1000</f>
        <v>0</v>
      </c>
      <c r="Q20" s="235">
        <f>'11a_A Znečisť. l.(voz.)NOV200'!Q6*Parametre!$D$107/1000</f>
        <v>0</v>
      </c>
      <c r="R20" s="235">
        <f>'11a_A Znečisť. l.(voz.)NOV200'!R6*Parametre!$D$107/1000</f>
        <v>0</v>
      </c>
      <c r="S20" s="235">
        <f>'11a_A Znečisť. l.(voz.)NOV200'!S6*Parametre!$D$107/1000</f>
        <v>0</v>
      </c>
      <c r="T20" s="235">
        <f>'11a_A Znečisť. l.(voz.)NOV200'!T6*Parametre!$D$107/1000</f>
        <v>0</v>
      </c>
      <c r="U20" s="235">
        <f>'11a_A Znečisť. l.(voz.)NOV200'!U6*Parametre!$D$107/1000</f>
        <v>0</v>
      </c>
      <c r="V20" s="235">
        <f>'11a_A Znečisť. l.(voz.)NOV200'!V6*Parametre!$D$107/1000</f>
        <v>0</v>
      </c>
      <c r="W20" s="235">
        <f>'11a_A Znečisť. l.(voz.)NOV200'!W6*Parametre!$D$107/1000</f>
        <v>0</v>
      </c>
      <c r="X20" s="235">
        <f>'11a_A Znečisť. l.(voz.)NOV200'!X6*Parametre!$D$107/1000</f>
        <v>0</v>
      </c>
      <c r="Y20" s="235">
        <f>'11a_A Znečisť. l.(voz.)NOV200'!Y6*Parametre!$D$107/1000</f>
        <v>0</v>
      </c>
      <c r="Z20" s="235">
        <f>'11a_A Znečisť. l.(voz.)NOV200'!Z6*Parametre!$D$107/1000</f>
        <v>0</v>
      </c>
      <c r="AA20" s="235">
        <f>'11a_A Znečisť. l.(voz.)NOV200'!AA6*Parametre!$D$107/1000</f>
        <v>0</v>
      </c>
      <c r="AB20" s="235">
        <f>'11a_A Znečisť. l.(voz.)NOV200'!AB6*Parametre!$D$107/1000</f>
        <v>0</v>
      </c>
      <c r="AC20" s="235">
        <f>'11a_A Znečisť. l.(voz.)NOV200'!AC6*Parametre!$D$107/1000</f>
        <v>0</v>
      </c>
      <c r="AD20" s="235">
        <f>'11a_A Znečisť. l.(voz.)NOV200'!AD6*Parametre!$D$107/1000</f>
        <v>0</v>
      </c>
      <c r="AE20" s="235">
        <f>'11a_A Znečisť. l.(voz.)NOV200'!AE6*Parametre!$D$107/1000</f>
        <v>0</v>
      </c>
      <c r="AF20" s="235">
        <f>'11a_A Znečisť. l.(voz.)NOV200'!AF6*Parametre!$D$107/1000</f>
        <v>0</v>
      </c>
      <c r="AG20" s="235">
        <f>'11a_A Znečisť. l.(voz.)NOV200'!AG6*Parametre!$D$107/1000</f>
        <v>0</v>
      </c>
      <c r="AH20" s="235">
        <f>'11a_A Znečisť. l.(voz.)NOV200'!AH6*Parametre!$D$107/1000</f>
        <v>0</v>
      </c>
      <c r="AI20" s="235">
        <f>'11a_A Znečisť. l.(voz.)NOV200'!AI6*Parametre!$D$107/1000</f>
        <v>0</v>
      </c>
      <c r="AJ20" s="235">
        <f>'11a_A Znečisť. l.(voz.)NOV200'!AJ6*Parametre!$D$107/1000</f>
        <v>0</v>
      </c>
      <c r="AK20" s="235">
        <f>'11a_A Znečisť. l.(voz.)NOV200'!AK6*Parametre!$D$107/1000</f>
        <v>0</v>
      </c>
      <c r="AL20" s="235">
        <f>'11a_A Znečisť. l.(voz.)NOV200'!AL6*Parametre!$D$107/1000</f>
        <v>0</v>
      </c>
      <c r="AM20" s="235">
        <f>'11a_A Znečisť. l.(voz.)NOV200'!AM6*Parametre!$D$107/1000</f>
        <v>0</v>
      </c>
      <c r="AN20" s="235">
        <f>'11a_A Znečisť. l.(voz.)NOV200'!AN6*Parametre!$D$107/1000</f>
        <v>0</v>
      </c>
      <c r="AO20" s="235">
        <f>'11a_A Znečisť. l.(voz.)NOV200'!AO6*Parametre!$D$107/1000</f>
        <v>0</v>
      </c>
      <c r="AP20" s="235">
        <f>'11a_A Znečisť. l.(voz.)NOV200'!AP6*Parametre!$D$107/1000</f>
        <v>0</v>
      </c>
      <c r="AQ20" s="235">
        <f>'11a_A Znečisť. l.(voz.)NOV200'!AQ6*Parametre!$D$107/1000</f>
        <v>0</v>
      </c>
    </row>
    <row r="21" spans="2:43" x14ac:dyDescent="0.2">
      <c r="B21" s="405" t="s">
        <v>253</v>
      </c>
      <c r="C21" s="259" t="s">
        <v>9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</row>
    <row r="22" spans="2:43" x14ac:dyDescent="0.2">
      <c r="B22" s="362" t="s">
        <v>685</v>
      </c>
      <c r="C22" s="363">
        <f>SUM(D22:AN22)</f>
        <v>0</v>
      </c>
      <c r="D22" s="235">
        <f>'11a_A Znečisť. l.(voz.)NOV200'!D6*Parametre!$E$107/1000</f>
        <v>0</v>
      </c>
      <c r="E22" s="235">
        <f>'11a_A Znečisť. l.(voz.)NOV200'!E6*Parametre!$E$107/1000</f>
        <v>0</v>
      </c>
      <c r="F22" s="235">
        <f>'11a_A Znečisť. l.(voz.)NOV200'!F6*Parametre!$E$107/1000</f>
        <v>0</v>
      </c>
      <c r="G22" s="235">
        <f>'11a_A Znečisť. l.(voz.)NOV200'!G6*Parametre!$E$107/1000</f>
        <v>0</v>
      </c>
      <c r="H22" s="235">
        <f>'11a_A Znečisť. l.(voz.)NOV200'!H6*Parametre!$E$107/1000</f>
        <v>0</v>
      </c>
      <c r="I22" s="235">
        <f>'11a_A Znečisť. l.(voz.)NOV200'!I6*Parametre!$E$107/1000</f>
        <v>0</v>
      </c>
      <c r="J22" s="235">
        <f>'11a_A Znečisť. l.(voz.)NOV200'!J6*Parametre!$E$107/1000</f>
        <v>0</v>
      </c>
      <c r="K22" s="235">
        <f>'11a_A Znečisť. l.(voz.)NOV200'!K6*Parametre!$E$107/1000</f>
        <v>0</v>
      </c>
      <c r="L22" s="235">
        <f>'11a_A Znečisť. l.(voz.)NOV200'!L6*Parametre!$E$107/1000</f>
        <v>0</v>
      </c>
      <c r="M22" s="235">
        <f>'11a_A Znečisť. l.(voz.)NOV200'!M6*Parametre!$E$107/1000</f>
        <v>0</v>
      </c>
      <c r="N22" s="235">
        <f>'11a_A Znečisť. l.(voz.)NOV200'!N6*Parametre!$E$107/1000</f>
        <v>0</v>
      </c>
      <c r="O22" s="235">
        <f>'11a_A Znečisť. l.(voz.)NOV200'!O6*Parametre!$E$107/1000</f>
        <v>0</v>
      </c>
      <c r="P22" s="235">
        <f>'11a_A Znečisť. l.(voz.)NOV200'!P6*Parametre!$E$107/1000</f>
        <v>0</v>
      </c>
      <c r="Q22" s="235">
        <f>'11a_A Znečisť. l.(voz.)NOV200'!Q6*Parametre!$E$107/1000</f>
        <v>0</v>
      </c>
      <c r="R22" s="235">
        <f>'11a_A Znečisť. l.(voz.)NOV200'!R6*Parametre!$E$107/1000</f>
        <v>0</v>
      </c>
      <c r="S22" s="235">
        <f>'11a_A Znečisť. l.(voz.)NOV200'!S6*Parametre!$E$107/1000</f>
        <v>0</v>
      </c>
      <c r="T22" s="235">
        <f>'11a_A Znečisť. l.(voz.)NOV200'!T6*Parametre!$E$107/1000</f>
        <v>0</v>
      </c>
      <c r="U22" s="235">
        <f>'11a_A Znečisť. l.(voz.)NOV200'!U6*Parametre!$E$107/1000</f>
        <v>0</v>
      </c>
      <c r="V22" s="235">
        <f>'11a_A Znečisť. l.(voz.)NOV200'!V6*Parametre!$E$107/1000</f>
        <v>0</v>
      </c>
      <c r="W22" s="235">
        <f>'11a_A Znečisť. l.(voz.)NOV200'!W6*Parametre!$E$107/1000</f>
        <v>0</v>
      </c>
      <c r="X22" s="235">
        <f>'11a_A Znečisť. l.(voz.)NOV200'!X6*Parametre!$E$107/1000</f>
        <v>0</v>
      </c>
      <c r="Y22" s="235">
        <f>'11a_A Znečisť. l.(voz.)NOV200'!Y6*Parametre!$E$107/1000</f>
        <v>0</v>
      </c>
      <c r="Z22" s="235">
        <f>'11a_A Znečisť. l.(voz.)NOV200'!Z6*Parametre!$E$107/1000</f>
        <v>0</v>
      </c>
      <c r="AA22" s="235">
        <f>'11a_A Znečisť. l.(voz.)NOV200'!AA6*Parametre!$E$107/1000</f>
        <v>0</v>
      </c>
      <c r="AB22" s="235">
        <f>'11a_A Znečisť. l.(voz.)NOV200'!AB6*Parametre!$E$107/1000</f>
        <v>0</v>
      </c>
      <c r="AC22" s="235">
        <f>'11a_A Znečisť. l.(voz.)NOV200'!AC6*Parametre!$E$107/1000</f>
        <v>0</v>
      </c>
      <c r="AD22" s="235">
        <f>'11a_A Znečisť. l.(voz.)NOV200'!AD6*Parametre!$E$107/1000</f>
        <v>0</v>
      </c>
      <c r="AE22" s="235">
        <f>'11a_A Znečisť. l.(voz.)NOV200'!AE6*Parametre!$E$107/1000</f>
        <v>0</v>
      </c>
      <c r="AF22" s="235">
        <f>'11a_A Znečisť. l.(voz.)NOV200'!AF6*Parametre!$E$107/1000</f>
        <v>0</v>
      </c>
      <c r="AG22" s="235">
        <f>'11a_A Znečisť. l.(voz.)NOV200'!AG6*Parametre!$E$107/1000</f>
        <v>0</v>
      </c>
      <c r="AH22" s="235">
        <f>'11a_A Znečisť. l.(voz.)NOV200'!AH6*Parametre!$E$107/1000</f>
        <v>0</v>
      </c>
      <c r="AI22" s="235">
        <f>'11a_A Znečisť. l.(voz.)NOV200'!AI6*Parametre!$E$107/1000</f>
        <v>0</v>
      </c>
      <c r="AJ22" s="235">
        <f>'11a_A Znečisť. l.(voz.)NOV200'!AJ6*Parametre!$E$107/1000</f>
        <v>0</v>
      </c>
      <c r="AK22" s="235">
        <f>'11a_A Znečisť. l.(voz.)NOV200'!AK6*Parametre!$E$107/1000</f>
        <v>0</v>
      </c>
      <c r="AL22" s="235">
        <f>'11a_A Znečisť. l.(voz.)NOV200'!AL6*Parametre!$E$107/1000</f>
        <v>0</v>
      </c>
      <c r="AM22" s="235">
        <f>'11a_A Znečisť. l.(voz.)NOV200'!AM6*Parametre!$E$107/1000</f>
        <v>0</v>
      </c>
      <c r="AN22" s="235">
        <f>'11a_A Znečisť. l.(voz.)NOV200'!AN6*Parametre!$E$107/1000</f>
        <v>0</v>
      </c>
      <c r="AO22" s="235">
        <f>'11a_A Znečisť. l.(voz.)NOV200'!AO6*Parametre!$E$107/1000</f>
        <v>0</v>
      </c>
      <c r="AP22" s="235">
        <f>'11a_A Znečisť. l.(voz.)NOV200'!AP6*Parametre!$E$107/1000</f>
        <v>0</v>
      </c>
      <c r="AQ22" s="235">
        <f>'11a_A Znečisť. l.(voz.)NOV200'!AQ6*Parametre!$E$107/1000</f>
        <v>0</v>
      </c>
    </row>
    <row r="25" spans="2:43" x14ac:dyDescent="0.2">
      <c r="B25" s="360" t="s">
        <v>642</v>
      </c>
      <c r="C25" s="402"/>
      <c r="D25" s="256" t="s">
        <v>10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</row>
    <row r="26" spans="2:43" x14ac:dyDescent="0.2">
      <c r="B26" s="404" t="s">
        <v>34</v>
      </c>
      <c r="C26" s="403"/>
      <c r="D26" s="256">
        <v>1</v>
      </c>
      <c r="E26" s="256">
        <v>2</v>
      </c>
      <c r="F26" s="256">
        <v>3</v>
      </c>
      <c r="G26" s="256">
        <v>4</v>
      </c>
      <c r="H26" s="256">
        <v>5</v>
      </c>
      <c r="I26" s="256">
        <v>6</v>
      </c>
      <c r="J26" s="256">
        <v>7</v>
      </c>
      <c r="K26" s="256">
        <v>8</v>
      </c>
      <c r="L26" s="256">
        <v>9</v>
      </c>
      <c r="M26" s="256">
        <v>10</v>
      </c>
      <c r="N26" s="256">
        <v>11</v>
      </c>
      <c r="O26" s="256">
        <v>12</v>
      </c>
      <c r="P26" s="256">
        <v>13</v>
      </c>
      <c r="Q26" s="256">
        <v>14</v>
      </c>
      <c r="R26" s="256">
        <v>15</v>
      </c>
      <c r="S26" s="256">
        <v>16</v>
      </c>
      <c r="T26" s="256">
        <v>17</v>
      </c>
      <c r="U26" s="256">
        <v>18</v>
      </c>
      <c r="V26" s="256">
        <v>19</v>
      </c>
      <c r="W26" s="256">
        <v>20</v>
      </c>
      <c r="X26" s="256">
        <v>21</v>
      </c>
      <c r="Y26" s="256">
        <v>22</v>
      </c>
      <c r="Z26" s="256">
        <v>23</v>
      </c>
      <c r="AA26" s="256">
        <v>24</v>
      </c>
      <c r="AB26" s="256">
        <v>25</v>
      </c>
      <c r="AC26" s="256">
        <v>26</v>
      </c>
      <c r="AD26" s="256">
        <v>27</v>
      </c>
      <c r="AE26" s="256">
        <v>28</v>
      </c>
      <c r="AF26" s="256">
        <v>29</v>
      </c>
      <c r="AG26" s="256">
        <v>30</v>
      </c>
      <c r="AH26" s="256">
        <v>31</v>
      </c>
      <c r="AI26" s="256">
        <v>32</v>
      </c>
      <c r="AJ26" s="256">
        <v>33</v>
      </c>
      <c r="AK26" s="256">
        <v>34</v>
      </c>
      <c r="AL26" s="256">
        <v>35</v>
      </c>
      <c r="AM26" s="256">
        <v>36</v>
      </c>
      <c r="AN26" s="256">
        <v>37</v>
      </c>
      <c r="AO26" s="256">
        <v>38</v>
      </c>
      <c r="AP26" s="256">
        <v>39</v>
      </c>
      <c r="AQ26" s="256">
        <v>40</v>
      </c>
    </row>
    <row r="27" spans="2:43" x14ac:dyDescent="0.2">
      <c r="B27" s="405" t="s">
        <v>150</v>
      </c>
      <c r="C27" s="259" t="s">
        <v>9</v>
      </c>
      <c r="D27" s="304">
        <v>2026</v>
      </c>
      <c r="E27" s="304">
        <f>$D$5+D26</f>
        <v>2027</v>
      </c>
      <c r="F27" s="304">
        <f t="shared" ref="F27:AN27" si="13">$D$5+E26</f>
        <v>2028</v>
      </c>
      <c r="G27" s="304">
        <f t="shared" si="13"/>
        <v>2029</v>
      </c>
      <c r="H27" s="304">
        <f t="shared" si="13"/>
        <v>2030</v>
      </c>
      <c r="I27" s="304">
        <f t="shared" si="13"/>
        <v>2031</v>
      </c>
      <c r="J27" s="304">
        <f t="shared" si="13"/>
        <v>2032</v>
      </c>
      <c r="K27" s="304">
        <f t="shared" si="13"/>
        <v>2033</v>
      </c>
      <c r="L27" s="304">
        <f t="shared" si="13"/>
        <v>2034</v>
      </c>
      <c r="M27" s="304">
        <f t="shared" si="13"/>
        <v>2035</v>
      </c>
      <c r="N27" s="304">
        <f t="shared" si="13"/>
        <v>2036</v>
      </c>
      <c r="O27" s="304">
        <f t="shared" si="13"/>
        <v>2037</v>
      </c>
      <c r="P27" s="304">
        <f t="shared" si="13"/>
        <v>2038</v>
      </c>
      <c r="Q27" s="304">
        <f t="shared" si="13"/>
        <v>2039</v>
      </c>
      <c r="R27" s="304">
        <f t="shared" si="13"/>
        <v>2040</v>
      </c>
      <c r="S27" s="304">
        <f t="shared" si="13"/>
        <v>2041</v>
      </c>
      <c r="T27" s="304">
        <f t="shared" si="13"/>
        <v>2042</v>
      </c>
      <c r="U27" s="304">
        <f t="shared" si="13"/>
        <v>2043</v>
      </c>
      <c r="V27" s="304">
        <f t="shared" si="13"/>
        <v>2044</v>
      </c>
      <c r="W27" s="304">
        <f t="shared" si="13"/>
        <v>2045</v>
      </c>
      <c r="X27" s="304">
        <f t="shared" si="13"/>
        <v>2046</v>
      </c>
      <c r="Y27" s="304">
        <f t="shared" si="13"/>
        <v>2047</v>
      </c>
      <c r="Z27" s="304">
        <f t="shared" si="13"/>
        <v>2048</v>
      </c>
      <c r="AA27" s="304">
        <f t="shared" si="13"/>
        <v>2049</v>
      </c>
      <c r="AB27" s="304">
        <f t="shared" si="13"/>
        <v>2050</v>
      </c>
      <c r="AC27" s="304">
        <f t="shared" si="13"/>
        <v>2051</v>
      </c>
      <c r="AD27" s="304">
        <f t="shared" si="13"/>
        <v>2052</v>
      </c>
      <c r="AE27" s="304">
        <f t="shared" si="13"/>
        <v>2053</v>
      </c>
      <c r="AF27" s="304">
        <f t="shared" si="13"/>
        <v>2054</v>
      </c>
      <c r="AG27" s="304">
        <f t="shared" si="13"/>
        <v>2055</v>
      </c>
      <c r="AH27" s="304">
        <f t="shared" si="13"/>
        <v>2056</v>
      </c>
      <c r="AI27" s="304">
        <f t="shared" si="13"/>
        <v>2057</v>
      </c>
      <c r="AJ27" s="304">
        <f t="shared" si="13"/>
        <v>2058</v>
      </c>
      <c r="AK27" s="304">
        <f t="shared" si="13"/>
        <v>2059</v>
      </c>
      <c r="AL27" s="304">
        <f t="shared" si="13"/>
        <v>2060</v>
      </c>
      <c r="AM27" s="304">
        <f t="shared" si="13"/>
        <v>2061</v>
      </c>
      <c r="AN27" s="304">
        <f t="shared" si="13"/>
        <v>2062</v>
      </c>
      <c r="AO27" s="304">
        <f t="shared" ref="AO27" si="14">$D$5+AN26</f>
        <v>2063</v>
      </c>
      <c r="AP27" s="304">
        <f t="shared" ref="AP27" si="15">$D$5+AO26</f>
        <v>2064</v>
      </c>
      <c r="AQ27" s="304">
        <f t="shared" ref="AQ27" si="16">$D$5+AP26</f>
        <v>2065</v>
      </c>
    </row>
    <row r="28" spans="2:43" x14ac:dyDescent="0.2">
      <c r="B28" s="362" t="s">
        <v>685</v>
      </c>
      <c r="C28" s="363">
        <f>SUM(D28:AN28)</f>
        <v>0</v>
      </c>
      <c r="D28" s="235">
        <f>'11a_A Znečisť. l.(voz.)NOV200'!D12*Parametre!$C$107/1000</f>
        <v>0</v>
      </c>
      <c r="E28" s="235">
        <f>'11a_A Znečisť. l.(voz.)NOV200'!E12*Parametre!$C$107/1000</f>
        <v>0</v>
      </c>
      <c r="F28" s="235">
        <f>'11a_A Znečisť. l.(voz.)NOV200'!F12*Parametre!$C$107/1000</f>
        <v>0</v>
      </c>
      <c r="G28" s="235">
        <f>'11a_A Znečisť. l.(voz.)NOV200'!G12*Parametre!$C$107/1000</f>
        <v>0</v>
      </c>
      <c r="H28" s="235">
        <f>'11a_A Znečisť. l.(voz.)NOV200'!H12*Parametre!$C$107/1000</f>
        <v>0</v>
      </c>
      <c r="I28" s="235">
        <f>'11a_A Znečisť. l.(voz.)NOV200'!I12*Parametre!$C$107/1000</f>
        <v>0</v>
      </c>
      <c r="J28" s="235">
        <f>'11a_A Znečisť. l.(voz.)NOV200'!J12*Parametre!$C$107/1000</f>
        <v>0</v>
      </c>
      <c r="K28" s="235">
        <f>'11a_A Znečisť. l.(voz.)NOV200'!K12*Parametre!$C$107/1000</f>
        <v>0</v>
      </c>
      <c r="L28" s="235">
        <f>'11a_A Znečisť. l.(voz.)NOV200'!L12*Parametre!$C$107/1000</f>
        <v>0</v>
      </c>
      <c r="M28" s="235">
        <f>'11a_A Znečisť. l.(voz.)NOV200'!M12*Parametre!$C$107/1000</f>
        <v>0</v>
      </c>
      <c r="N28" s="235">
        <f>'11a_A Znečisť. l.(voz.)NOV200'!N12*Parametre!$C$107/1000</f>
        <v>0</v>
      </c>
      <c r="O28" s="235">
        <f>'11a_A Znečisť. l.(voz.)NOV200'!O12*Parametre!$C$107/1000</f>
        <v>0</v>
      </c>
      <c r="P28" s="235">
        <f>'11a_A Znečisť. l.(voz.)NOV200'!P12*Parametre!$C$107/1000</f>
        <v>0</v>
      </c>
      <c r="Q28" s="235">
        <f>'11a_A Znečisť. l.(voz.)NOV200'!Q12*Parametre!$C$107/1000</f>
        <v>0</v>
      </c>
      <c r="R28" s="235">
        <f>'11a_A Znečisť. l.(voz.)NOV200'!R12*Parametre!$C$107/1000</f>
        <v>0</v>
      </c>
      <c r="S28" s="235">
        <f>'11a_A Znečisť. l.(voz.)NOV200'!S12*Parametre!$C$107/1000</f>
        <v>0</v>
      </c>
      <c r="T28" s="235">
        <f>'11a_A Znečisť. l.(voz.)NOV200'!T12*Parametre!$C$107/1000</f>
        <v>0</v>
      </c>
      <c r="U28" s="235">
        <f>'11a_A Znečisť. l.(voz.)NOV200'!U12*Parametre!$C$107/1000</f>
        <v>0</v>
      </c>
      <c r="V28" s="235">
        <f>'11a_A Znečisť. l.(voz.)NOV200'!V12*Parametre!$C$107/1000</f>
        <v>0</v>
      </c>
      <c r="W28" s="235">
        <f>'11a_A Znečisť. l.(voz.)NOV200'!W12*Parametre!$C$107/1000</f>
        <v>0</v>
      </c>
      <c r="X28" s="235">
        <f>'11a_A Znečisť. l.(voz.)NOV200'!X12*Parametre!$C$107/1000</f>
        <v>0</v>
      </c>
      <c r="Y28" s="235">
        <f>'11a_A Znečisť. l.(voz.)NOV200'!Y12*Parametre!$C$107/1000</f>
        <v>0</v>
      </c>
      <c r="Z28" s="235">
        <f>'11a_A Znečisť. l.(voz.)NOV200'!Z12*Parametre!$C$107/1000</f>
        <v>0</v>
      </c>
      <c r="AA28" s="235">
        <f>'11a_A Znečisť. l.(voz.)NOV200'!AA12*Parametre!$C$107/1000</f>
        <v>0</v>
      </c>
      <c r="AB28" s="235">
        <f>'11a_A Znečisť. l.(voz.)NOV200'!AB12*Parametre!$C$107/1000</f>
        <v>0</v>
      </c>
      <c r="AC28" s="235">
        <f>'11a_A Znečisť. l.(voz.)NOV200'!AC12*Parametre!$C$107/1000</f>
        <v>0</v>
      </c>
      <c r="AD28" s="235">
        <f>'11a_A Znečisť. l.(voz.)NOV200'!AD12*Parametre!$C$107/1000</f>
        <v>0</v>
      </c>
      <c r="AE28" s="235">
        <f>'11a_A Znečisť. l.(voz.)NOV200'!AE12*Parametre!$C$107/1000</f>
        <v>0</v>
      </c>
      <c r="AF28" s="235">
        <f>'11a_A Znečisť. l.(voz.)NOV200'!AF12*Parametre!$C$107/1000</f>
        <v>0</v>
      </c>
      <c r="AG28" s="235">
        <f>'11a_A Znečisť. l.(voz.)NOV200'!AG12*Parametre!$C$107/1000</f>
        <v>0</v>
      </c>
      <c r="AH28" s="235">
        <f>'11a_A Znečisť. l.(voz.)NOV200'!AH12*Parametre!$C$107/1000</f>
        <v>0</v>
      </c>
      <c r="AI28" s="235">
        <f>'11a_A Znečisť. l.(voz.)NOV200'!AI12*Parametre!$C$107/1000</f>
        <v>0</v>
      </c>
      <c r="AJ28" s="235">
        <f>'11a_A Znečisť. l.(voz.)NOV200'!AJ12*Parametre!$C$107/1000</f>
        <v>0</v>
      </c>
      <c r="AK28" s="235">
        <f>'11a_A Znečisť. l.(voz.)NOV200'!AK12*Parametre!$C$107/1000</f>
        <v>0</v>
      </c>
      <c r="AL28" s="235">
        <f>'11a_A Znečisť. l.(voz.)NOV200'!AL12*Parametre!$C$107/1000</f>
        <v>0</v>
      </c>
      <c r="AM28" s="235">
        <f>'11a_A Znečisť. l.(voz.)NOV200'!AM12*Parametre!$C$107/1000</f>
        <v>0</v>
      </c>
      <c r="AN28" s="235">
        <f>'11a_A Znečisť. l.(voz.)NOV200'!AN12*Parametre!$C$107/1000</f>
        <v>0</v>
      </c>
      <c r="AO28" s="235">
        <f>'11a_A Znečisť. l.(voz.)NOV200'!AO12*Parametre!$C$107/1000</f>
        <v>0</v>
      </c>
      <c r="AP28" s="235">
        <f>'11a_A Znečisť. l.(voz.)NOV200'!AP12*Parametre!$C$107/1000</f>
        <v>0</v>
      </c>
      <c r="AQ28" s="235">
        <f>'11a_A Znečisť. l.(voz.)NOV200'!AQ12*Parametre!$C$107/1000</f>
        <v>0</v>
      </c>
    </row>
    <row r="29" spans="2:43" x14ac:dyDescent="0.2">
      <c r="B29" s="405" t="s">
        <v>151</v>
      </c>
      <c r="C29" s="259" t="s">
        <v>9</v>
      </c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</row>
    <row r="30" spans="2:43" x14ac:dyDescent="0.2">
      <c r="B30" s="362" t="s">
        <v>685</v>
      </c>
      <c r="C30" s="363">
        <f>SUM(D30:AN30)</f>
        <v>0</v>
      </c>
      <c r="D30" s="235">
        <f>'11a_A Znečisť. l.(voz.)NOV200'!D12*Parametre!$D$107/1000</f>
        <v>0</v>
      </c>
      <c r="E30" s="235">
        <f>'11a_A Znečisť. l.(voz.)NOV200'!E12*Parametre!$D$107/1000</f>
        <v>0</v>
      </c>
      <c r="F30" s="235">
        <f>'11a_A Znečisť. l.(voz.)NOV200'!F12*Parametre!$D$107/1000</f>
        <v>0</v>
      </c>
      <c r="G30" s="235">
        <f>'11a_A Znečisť. l.(voz.)NOV200'!G12*Parametre!$D$107/1000</f>
        <v>0</v>
      </c>
      <c r="H30" s="235">
        <f>'11a_A Znečisť. l.(voz.)NOV200'!H12*Parametre!$D$107/1000</f>
        <v>0</v>
      </c>
      <c r="I30" s="235">
        <f>'11a_A Znečisť. l.(voz.)NOV200'!I12*Parametre!$D$107/1000</f>
        <v>0</v>
      </c>
      <c r="J30" s="235">
        <f>'11a_A Znečisť. l.(voz.)NOV200'!J12*Parametre!$D$107/1000</f>
        <v>0</v>
      </c>
      <c r="K30" s="235">
        <f>'11a_A Znečisť. l.(voz.)NOV200'!K12*Parametre!$D$107/1000</f>
        <v>0</v>
      </c>
      <c r="L30" s="235">
        <f>'11a_A Znečisť. l.(voz.)NOV200'!L12*Parametre!$D$107/1000</f>
        <v>0</v>
      </c>
      <c r="M30" s="235">
        <f>'11a_A Znečisť. l.(voz.)NOV200'!M12*Parametre!$D$107/1000</f>
        <v>0</v>
      </c>
      <c r="N30" s="235">
        <f>'11a_A Znečisť. l.(voz.)NOV200'!N12*Parametre!$D$107/1000</f>
        <v>0</v>
      </c>
      <c r="O30" s="235">
        <f>'11a_A Znečisť. l.(voz.)NOV200'!O12*Parametre!$D$107/1000</f>
        <v>0</v>
      </c>
      <c r="P30" s="235">
        <f>'11a_A Znečisť. l.(voz.)NOV200'!P12*Parametre!$D$107/1000</f>
        <v>0</v>
      </c>
      <c r="Q30" s="235">
        <f>'11a_A Znečisť. l.(voz.)NOV200'!Q12*Parametre!$D$107/1000</f>
        <v>0</v>
      </c>
      <c r="R30" s="235">
        <f>'11a_A Znečisť. l.(voz.)NOV200'!R12*Parametre!$D$107/1000</f>
        <v>0</v>
      </c>
      <c r="S30" s="235">
        <f>'11a_A Znečisť. l.(voz.)NOV200'!S12*Parametre!$D$107/1000</f>
        <v>0</v>
      </c>
      <c r="T30" s="235">
        <f>'11a_A Znečisť. l.(voz.)NOV200'!T12*Parametre!$D$107/1000</f>
        <v>0</v>
      </c>
      <c r="U30" s="235">
        <f>'11a_A Znečisť. l.(voz.)NOV200'!U12*Parametre!$D$107/1000</f>
        <v>0</v>
      </c>
      <c r="V30" s="235">
        <f>'11a_A Znečisť. l.(voz.)NOV200'!V12*Parametre!$D$107/1000</f>
        <v>0</v>
      </c>
      <c r="W30" s="235">
        <f>'11a_A Znečisť. l.(voz.)NOV200'!W12*Parametre!$D$107/1000</f>
        <v>0</v>
      </c>
      <c r="X30" s="235">
        <f>'11a_A Znečisť. l.(voz.)NOV200'!X12*Parametre!$D$107/1000</f>
        <v>0</v>
      </c>
      <c r="Y30" s="235">
        <f>'11a_A Znečisť. l.(voz.)NOV200'!Y12*Parametre!$D$107/1000</f>
        <v>0</v>
      </c>
      <c r="Z30" s="235">
        <f>'11a_A Znečisť. l.(voz.)NOV200'!Z12*Parametre!$D$107/1000</f>
        <v>0</v>
      </c>
      <c r="AA30" s="235">
        <f>'11a_A Znečisť. l.(voz.)NOV200'!AA12*Parametre!$D$107/1000</f>
        <v>0</v>
      </c>
      <c r="AB30" s="235">
        <f>'11a_A Znečisť. l.(voz.)NOV200'!AB12*Parametre!$D$107/1000</f>
        <v>0</v>
      </c>
      <c r="AC30" s="235">
        <f>'11a_A Znečisť. l.(voz.)NOV200'!AC12*Parametre!$D$107/1000</f>
        <v>0</v>
      </c>
      <c r="AD30" s="235">
        <f>'11a_A Znečisť. l.(voz.)NOV200'!AD12*Parametre!$D$107/1000</f>
        <v>0</v>
      </c>
      <c r="AE30" s="235">
        <f>'11a_A Znečisť. l.(voz.)NOV200'!AE12*Parametre!$D$107/1000</f>
        <v>0</v>
      </c>
      <c r="AF30" s="235">
        <f>'11a_A Znečisť. l.(voz.)NOV200'!AF12*Parametre!$D$107/1000</f>
        <v>0</v>
      </c>
      <c r="AG30" s="235">
        <f>'11a_A Znečisť. l.(voz.)NOV200'!AG12*Parametre!$D$107/1000</f>
        <v>0</v>
      </c>
      <c r="AH30" s="235">
        <f>'11a_A Znečisť. l.(voz.)NOV200'!AH12*Parametre!$D$107/1000</f>
        <v>0</v>
      </c>
      <c r="AI30" s="235">
        <f>'11a_A Znečisť. l.(voz.)NOV200'!AI12*Parametre!$D$107/1000</f>
        <v>0</v>
      </c>
      <c r="AJ30" s="235">
        <f>'11a_A Znečisť. l.(voz.)NOV200'!AJ12*Parametre!$D$107/1000</f>
        <v>0</v>
      </c>
      <c r="AK30" s="235">
        <f>'11a_A Znečisť. l.(voz.)NOV200'!AK12*Parametre!$D$107/1000</f>
        <v>0</v>
      </c>
      <c r="AL30" s="235">
        <f>'11a_A Znečisť. l.(voz.)NOV200'!AL12*Parametre!$D$107/1000</f>
        <v>0</v>
      </c>
      <c r="AM30" s="235">
        <f>'11a_A Znečisť. l.(voz.)NOV200'!AM12*Parametre!$D$107/1000</f>
        <v>0</v>
      </c>
      <c r="AN30" s="235">
        <f>'11a_A Znečisť. l.(voz.)NOV200'!AN12*Parametre!$D$107/1000</f>
        <v>0</v>
      </c>
      <c r="AO30" s="235">
        <f>'11a_A Znečisť. l.(voz.)NOV200'!AO12*Parametre!$D$107/1000</f>
        <v>0</v>
      </c>
      <c r="AP30" s="235">
        <f>'11a_A Znečisť. l.(voz.)NOV200'!AP12*Parametre!$D$107/1000</f>
        <v>0</v>
      </c>
      <c r="AQ30" s="235">
        <f>'11a_A Znečisť. l.(voz.)NOV200'!AQ12*Parametre!$D$107/1000</f>
        <v>0</v>
      </c>
    </row>
    <row r="31" spans="2:43" x14ac:dyDescent="0.2">
      <c r="B31" s="405" t="s">
        <v>253</v>
      </c>
      <c r="C31" s="259" t="s">
        <v>9</v>
      </c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</row>
    <row r="32" spans="2:43" x14ac:dyDescent="0.2">
      <c r="B32" s="362" t="s">
        <v>685</v>
      </c>
      <c r="C32" s="363">
        <f>SUM(D32:AN32)</f>
        <v>0</v>
      </c>
      <c r="D32" s="235">
        <f>'11a_A Znečisť. l.(voz.)NOV200'!D12*Parametre!$E$107/1000</f>
        <v>0</v>
      </c>
      <c r="E32" s="235">
        <f>'11a_A Znečisť. l.(voz.)NOV200'!E12*Parametre!$E$107/1000</f>
        <v>0</v>
      </c>
      <c r="F32" s="235">
        <f>'11a_A Znečisť. l.(voz.)NOV200'!F12*Parametre!$E$107/1000</f>
        <v>0</v>
      </c>
      <c r="G32" s="235">
        <f>'11a_A Znečisť. l.(voz.)NOV200'!G12*Parametre!$E$107/1000</f>
        <v>0</v>
      </c>
      <c r="H32" s="235">
        <f>'11a_A Znečisť. l.(voz.)NOV200'!H12*Parametre!$E$107/1000</f>
        <v>0</v>
      </c>
      <c r="I32" s="235">
        <f>'11a_A Znečisť. l.(voz.)NOV200'!I12*Parametre!$E$107/1000</f>
        <v>0</v>
      </c>
      <c r="J32" s="235">
        <f>'11a_A Znečisť. l.(voz.)NOV200'!J12*Parametre!$E$107/1000</f>
        <v>0</v>
      </c>
      <c r="K32" s="235">
        <f>'11a_A Znečisť. l.(voz.)NOV200'!K12*Parametre!$E$107/1000</f>
        <v>0</v>
      </c>
      <c r="L32" s="235">
        <f>'11a_A Znečisť. l.(voz.)NOV200'!L12*Parametre!$E$107/1000</f>
        <v>0</v>
      </c>
      <c r="M32" s="235">
        <f>'11a_A Znečisť. l.(voz.)NOV200'!M12*Parametre!$E$107/1000</f>
        <v>0</v>
      </c>
      <c r="N32" s="235">
        <f>'11a_A Znečisť. l.(voz.)NOV200'!N12*Parametre!$E$107/1000</f>
        <v>0</v>
      </c>
      <c r="O32" s="235">
        <f>'11a_A Znečisť. l.(voz.)NOV200'!O12*Parametre!$E$107/1000</f>
        <v>0</v>
      </c>
      <c r="P32" s="235">
        <f>'11a_A Znečisť. l.(voz.)NOV200'!P12*Parametre!$E$107/1000</f>
        <v>0</v>
      </c>
      <c r="Q32" s="235">
        <f>'11a_A Znečisť. l.(voz.)NOV200'!Q12*Parametre!$E$107/1000</f>
        <v>0</v>
      </c>
      <c r="R32" s="235">
        <f>'11a_A Znečisť. l.(voz.)NOV200'!R12*Parametre!$E$107/1000</f>
        <v>0</v>
      </c>
      <c r="S32" s="235">
        <f>'11a_A Znečisť. l.(voz.)NOV200'!S12*Parametre!$E$107/1000</f>
        <v>0</v>
      </c>
      <c r="T32" s="235">
        <f>'11a_A Znečisť. l.(voz.)NOV200'!T12*Parametre!$E$107/1000</f>
        <v>0</v>
      </c>
      <c r="U32" s="235">
        <f>'11a_A Znečisť. l.(voz.)NOV200'!U12*Parametre!$E$107/1000</f>
        <v>0</v>
      </c>
      <c r="V32" s="235">
        <f>'11a_A Znečisť. l.(voz.)NOV200'!V12*Parametre!$E$107/1000</f>
        <v>0</v>
      </c>
      <c r="W32" s="235">
        <f>'11a_A Znečisť. l.(voz.)NOV200'!W12*Parametre!$E$107/1000</f>
        <v>0</v>
      </c>
      <c r="X32" s="235">
        <f>'11a_A Znečisť. l.(voz.)NOV200'!X12*Parametre!$E$107/1000</f>
        <v>0</v>
      </c>
      <c r="Y32" s="235">
        <f>'11a_A Znečisť. l.(voz.)NOV200'!Y12*Parametre!$E$107/1000</f>
        <v>0</v>
      </c>
      <c r="Z32" s="235">
        <f>'11a_A Znečisť. l.(voz.)NOV200'!Z12*Parametre!$E$107/1000</f>
        <v>0</v>
      </c>
      <c r="AA32" s="235">
        <f>'11a_A Znečisť. l.(voz.)NOV200'!AA12*Parametre!$E$107/1000</f>
        <v>0</v>
      </c>
      <c r="AB32" s="235">
        <f>'11a_A Znečisť. l.(voz.)NOV200'!AB12*Parametre!$E$107/1000</f>
        <v>0</v>
      </c>
      <c r="AC32" s="235">
        <f>'11a_A Znečisť. l.(voz.)NOV200'!AC12*Parametre!$E$107/1000</f>
        <v>0</v>
      </c>
      <c r="AD32" s="235">
        <f>'11a_A Znečisť. l.(voz.)NOV200'!AD12*Parametre!$E$107/1000</f>
        <v>0</v>
      </c>
      <c r="AE32" s="235">
        <f>'11a_A Znečisť. l.(voz.)NOV200'!AE12*Parametre!$E$107/1000</f>
        <v>0</v>
      </c>
      <c r="AF32" s="235">
        <f>'11a_A Znečisť. l.(voz.)NOV200'!AF12*Parametre!$E$107/1000</f>
        <v>0</v>
      </c>
      <c r="AG32" s="235">
        <f>'11a_A Znečisť. l.(voz.)NOV200'!AG12*Parametre!$E$107/1000</f>
        <v>0</v>
      </c>
      <c r="AH32" s="235">
        <f>'11a_A Znečisť. l.(voz.)NOV200'!AH12*Parametre!$E$107/1000</f>
        <v>0</v>
      </c>
      <c r="AI32" s="235">
        <f>'11a_A Znečisť. l.(voz.)NOV200'!AI12*Parametre!$E$107/1000</f>
        <v>0</v>
      </c>
      <c r="AJ32" s="235">
        <f>'11a_A Znečisť. l.(voz.)NOV200'!AJ12*Parametre!$E$107/1000</f>
        <v>0</v>
      </c>
      <c r="AK32" s="235">
        <f>'11a_A Znečisť. l.(voz.)NOV200'!AK12*Parametre!$E$107/1000</f>
        <v>0</v>
      </c>
      <c r="AL32" s="235">
        <f>'11a_A Znečisť. l.(voz.)NOV200'!AL12*Parametre!$E$107/1000</f>
        <v>0</v>
      </c>
      <c r="AM32" s="235">
        <f>'11a_A Znečisť. l.(voz.)NOV200'!AM12*Parametre!$E$107/1000</f>
        <v>0</v>
      </c>
      <c r="AN32" s="235">
        <f>'11a_A Znečisť. l.(voz.)NOV200'!AN12*Parametre!$E$107/1000</f>
        <v>0</v>
      </c>
      <c r="AO32" s="235">
        <f>'11a_A Znečisť. l.(voz.)NOV200'!AO12*Parametre!$E$107/1000</f>
        <v>0</v>
      </c>
      <c r="AP32" s="235">
        <f>'11a_A Znečisť. l.(voz.)NOV200'!AP12*Parametre!$E$107/1000</f>
        <v>0</v>
      </c>
      <c r="AQ32" s="235">
        <f>'11a_A Znečisť. l.(voz.)NOV200'!AQ12*Parametre!$E$107/1000</f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99"/>
  </sheetPr>
  <dimension ref="B2:AQ35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51.5703125" style="255" customWidth="1"/>
    <col min="3" max="3" width="9.140625" style="255" bestFit="1" customWidth="1"/>
    <col min="4" max="6" width="5.5703125" style="255" bestFit="1" customWidth="1"/>
    <col min="7" max="43" width="7.5703125" style="255" bestFit="1" customWidth="1"/>
    <col min="44" max="16384" width="9.140625" style="255"/>
  </cols>
  <sheetData>
    <row r="2" spans="2:43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</row>
    <row r="3" spans="2:43" x14ac:dyDescent="0.2">
      <c r="B3" s="257" t="s">
        <v>460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  <c r="AQ3" s="258">
        <v>40</v>
      </c>
    </row>
    <row r="4" spans="2:43" x14ac:dyDescent="0.2">
      <c r="B4" s="259" t="s">
        <v>33</v>
      </c>
      <c r="C4" s="260" t="s">
        <v>9</v>
      </c>
      <c r="D4" s="261">
        <v>2026</v>
      </c>
      <c r="E4" s="261">
        <f>$D$4+D3</f>
        <v>2027</v>
      </c>
      <c r="F4" s="261">
        <f>$D$4+E3</f>
        <v>2028</v>
      </c>
      <c r="G4" s="261">
        <f t="shared" ref="G4:AG4" si="0">$D$4+F3</f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ref="AH4" si="1">$D$4+AG3</f>
        <v>2056</v>
      </c>
      <c r="AI4" s="261">
        <f t="shared" ref="AI4" si="2">$D$4+AH3</f>
        <v>2057</v>
      </c>
      <c r="AJ4" s="261">
        <f t="shared" ref="AJ4" si="3">$D$4+AI3</f>
        <v>2058</v>
      </c>
      <c r="AK4" s="261">
        <f t="shared" ref="AK4" si="4">$D$4+AJ3</f>
        <v>2059</v>
      </c>
      <c r="AL4" s="261">
        <f t="shared" ref="AL4" si="5">$D$4+AK3</f>
        <v>2060</v>
      </c>
      <c r="AM4" s="261">
        <f t="shared" ref="AM4" si="6">$D$4+AL3</f>
        <v>2061</v>
      </c>
      <c r="AN4" s="261">
        <f t="shared" ref="AN4" si="7">$D$4+AM3</f>
        <v>2062</v>
      </c>
      <c r="AO4" s="261">
        <f t="shared" ref="AO4" si="8">$D$4+AN3</f>
        <v>2063</v>
      </c>
      <c r="AP4" s="261">
        <f t="shared" ref="AP4" si="9">$D$4+AO3</f>
        <v>2064</v>
      </c>
      <c r="AQ4" s="261">
        <f t="shared" ref="AQ4" si="10">$D$4+AP3</f>
        <v>2065</v>
      </c>
    </row>
    <row r="5" spans="2:43" ht="11.85" customHeight="1" x14ac:dyDescent="0.2">
      <c r="B5" s="256" t="s">
        <v>150</v>
      </c>
      <c r="C5" s="262">
        <f>SUM(D5:AQ5)</f>
        <v>4291964.3316418063</v>
      </c>
      <c r="D5" s="263">
        <f>'12b_A Skleník. p.(cesty)NOV200 '!D7</f>
        <v>0</v>
      </c>
      <c r="E5" s="263">
        <f>'12b_A Skleník. p.(cesty)NOV200 '!E7</f>
        <v>0</v>
      </c>
      <c r="F5" s="263">
        <f>'12b_A Skleník. p.(cesty)NOV200 '!F7</f>
        <v>0</v>
      </c>
      <c r="G5" s="263">
        <f>'12b_A Skleník. p.(cesty)NOV200 '!G7</f>
        <v>99215.307431260997</v>
      </c>
      <c r="H5" s="263">
        <f>'12b_A Skleník. p.(cesty)NOV200 '!H7</f>
        <v>187337.25988686507</v>
      </c>
      <c r="I5" s="263">
        <f>'12b_A Skleník. p.(cesty)NOV200 '!I7</f>
        <v>219029.6091687638</v>
      </c>
      <c r="J5" s="263">
        <f>'12b_A Skleník. p.(cesty)NOV200 '!J7</f>
        <v>216555.05073648095</v>
      </c>
      <c r="K5" s="263">
        <f>'12b_A Skleník. p.(cesty)NOV200 '!K7</f>
        <v>212940.50984966021</v>
      </c>
      <c r="L5" s="263">
        <f>'12b_A Skleník. p.(cesty)NOV200 '!L7</f>
        <v>208471.62490241614</v>
      </c>
      <c r="M5" s="263">
        <f>'12b_A Skleník. p.(cesty)NOV200 '!M7</f>
        <v>201910.12829559227</v>
      </c>
      <c r="N5" s="263">
        <f>'12b_A Skleník. p.(cesty)NOV200 '!N7</f>
        <v>196973.11598065414</v>
      </c>
      <c r="O5" s="263">
        <f>'12b_A Skleník. p.(cesty)NOV200 '!O7</f>
        <v>191891.90019531478</v>
      </c>
      <c r="P5" s="263">
        <f>'12b_A Skleník. p.(cesty)NOV200 '!P7</f>
        <v>186714.88771605626</v>
      </c>
      <c r="Q5" s="263">
        <f>'12b_A Skleník. p.(cesty)NOV200 '!Q7</f>
        <v>181389.36561447347</v>
      </c>
      <c r="R5" s="263">
        <f>'12b_A Skleník. p.(cesty)NOV200 '!R7</f>
        <v>175964.69956663414</v>
      </c>
      <c r="S5" s="263">
        <f>'12b_A Skleník. p.(cesty)NOV200 '!S7</f>
        <v>168362.70167434716</v>
      </c>
      <c r="T5" s="263">
        <f>'12b_A Skleník. p.(cesty)NOV200 '!T7</f>
        <v>160816.34185159151</v>
      </c>
      <c r="U5" s="263">
        <f>'12b_A Skleník. p.(cesty)NOV200 '!U7</f>
        <v>153273.61194843333</v>
      </c>
      <c r="V5" s="263">
        <f>'12b_A Skleník. p.(cesty)NOV200 '!V7</f>
        <v>145786.24000426941</v>
      </c>
      <c r="W5" s="263">
        <f>'12b_A Skleník. p.(cesty)NOV200 '!W7</f>
        <v>138302.42580929474</v>
      </c>
      <c r="X5" s="263">
        <f>'12b_A Skleník. p.(cesty)NOV200 '!X7</f>
        <v>130873.69081299138</v>
      </c>
      <c r="Y5" s="263">
        <f>'12b_A Skleník. p.(cesty)NOV200 '!Y7</f>
        <v>123448.44191429226</v>
      </c>
      <c r="Z5" s="263">
        <f>'12b_A Skleník. p.(cesty)NOV200 '!Z7</f>
        <v>116077.994797837</v>
      </c>
      <c r="AA5" s="263">
        <f>'12b_A Skleník. p.(cesty)NOV200 '!AA7</f>
        <v>108710.96264323046</v>
      </c>
      <c r="AB5" s="263">
        <f>'12b_A Skleník. p.(cesty)NOV200 '!AB7</f>
        <v>101398.45619204694</v>
      </c>
      <c r="AC5" s="263">
        <f>'12b_A Skleník. p.(cesty)NOV200 '!AC7</f>
        <v>94114.764922817587</v>
      </c>
      <c r="AD5" s="263">
        <f>'12b_A Skleník. p.(cesty)NOV200 '!AD7</f>
        <v>86834.382923516139</v>
      </c>
      <c r="AE5" s="263">
        <f>'12b_A Skleník. p.(cesty)NOV200 '!AE7</f>
        <v>79608.115054673763</v>
      </c>
      <c r="AF5" s="263">
        <f>'12b_A Skleník. p.(cesty)NOV200 '!AF7</f>
        <v>72385.086596376583</v>
      </c>
      <c r="AG5" s="263">
        <f>'12b_A Skleník. p.(cesty)NOV200 '!AG7</f>
        <v>65215.899506204056</v>
      </c>
      <c r="AH5" s="263">
        <f>'12b_A Skleník. p.(cesty)NOV200 '!AH7</f>
        <v>58049.882472667639</v>
      </c>
      <c r="AI5" s="263">
        <f>'12b_A Skleník. p.(cesty)NOV200 '!AI7</f>
        <v>50937.43536074282</v>
      </c>
      <c r="AJ5" s="263">
        <f>'12b_A Skleník. p.(cesty)NOV200 '!AJ7</f>
        <v>43828.089454094472</v>
      </c>
      <c r="AK5" s="263">
        <f>'12b_A Skleník. p.(cesty)NOV200 '!AK7</f>
        <v>36772.043332205343</v>
      </c>
      <c r="AL5" s="263">
        <f>'12b_A Skleník. p.(cesty)NOV200 '!AL7</f>
        <v>29719.030063873619</v>
      </c>
      <c r="AM5" s="263">
        <f>'12b_A Skleník. p.(cesty)NOV200 '!AM7</f>
        <v>22719.047746977049</v>
      </c>
      <c r="AN5" s="263">
        <f>'12b_A Skleník. p.(cesty)NOV200 '!AN7</f>
        <v>15722.030428665772</v>
      </c>
      <c r="AO5" s="263">
        <f>'12b_A Skleník. p.(cesty)NOV200 '!AO7</f>
        <v>8777.7765258896561</v>
      </c>
      <c r="AP5" s="263">
        <f>'12b_A Skleník. p.(cesty)NOV200 '!AP7</f>
        <v>1836.4202605949004</v>
      </c>
      <c r="AQ5" s="263">
        <f>'12b_A Skleník. p.(cesty)NOV200 '!AQ7</f>
        <v>0</v>
      </c>
    </row>
    <row r="6" spans="2:43" ht="11.85" customHeight="1" x14ac:dyDescent="0.2">
      <c r="B6" s="256" t="s">
        <v>151</v>
      </c>
      <c r="C6" s="262">
        <f t="shared" ref="C6:C9" si="11">SUM(D6:AQ6)</f>
        <v>965.14462443350078</v>
      </c>
      <c r="D6" s="263">
        <f>'12b_A Skleník. p.(cesty)NOV200 '!D9</f>
        <v>0</v>
      </c>
      <c r="E6" s="263">
        <f>'12b_A Skleník. p.(cesty)NOV200 '!E9</f>
        <v>0</v>
      </c>
      <c r="F6" s="263">
        <f>'12b_A Skleník. p.(cesty)NOV200 '!F9</f>
        <v>0</v>
      </c>
      <c r="G6" s="263">
        <f>'12b_A Skleník. p.(cesty)NOV200 '!G9</f>
        <v>22.310791336928165</v>
      </c>
      <c r="H6" s="263">
        <f>'12b_A Skleník. p.(cesty)NOV200 '!H9</f>
        <v>42.126992529489442</v>
      </c>
      <c r="I6" s="263">
        <f>'12b_A Skleník. p.(cesty)NOV200 '!I9</f>
        <v>49.253729422336065</v>
      </c>
      <c r="J6" s="263">
        <f>'12b_A Skleník. p.(cesty)NOV200 '!J9</f>
        <v>48.697269353188481</v>
      </c>
      <c r="K6" s="263">
        <f>'12b_A Skleník. p.(cesty)NOV200 '!K9</f>
        <v>47.884458612663138</v>
      </c>
      <c r="L6" s="263">
        <f>'12b_A Skleník. p.(cesty)NOV200 '!L9</f>
        <v>46.879529412239314</v>
      </c>
      <c r="M6" s="263">
        <f>'12b_A Skleník. p.(cesty)NOV200 '!M9</f>
        <v>45.404029457212367</v>
      </c>
      <c r="N6" s="263">
        <f>'12b_A Skleník. p.(cesty)NOV200 '!N9</f>
        <v>44.293831298901523</v>
      </c>
      <c r="O6" s="263">
        <f>'12b_A Skleník. p.(cesty)NOV200 '!O9</f>
        <v>43.151205749883758</v>
      </c>
      <c r="P6" s="263">
        <f>'12b_A Skleník. p.(cesty)NOV200 '!P9</f>
        <v>41.987038161596701</v>
      </c>
      <c r="Q6" s="263">
        <f>'12b_A Skleník. p.(cesty)NOV200 '!Q9</f>
        <v>40.789474847579534</v>
      </c>
      <c r="R6" s="263">
        <f>'12b_A Skleník. p.(cesty)NOV200 '!R9</f>
        <v>39.56961678938913</v>
      </c>
      <c r="S6" s="263">
        <f>'12b_A Skleník. p.(cesty)NOV200 '!S9</f>
        <v>37.860136739286062</v>
      </c>
      <c r="T6" s="263">
        <f>'12b_A Skleník. p.(cesty)NOV200 '!T9</f>
        <v>36.163168159356729</v>
      </c>
      <c r="U6" s="263">
        <f>'12b_A Skleník. p.(cesty)NOV200 '!U9</f>
        <v>34.46701584841658</v>
      </c>
      <c r="V6" s="263">
        <f>'12b_A Skleník. p.(cesty)NOV200 '!V9</f>
        <v>32.783312018501555</v>
      </c>
      <c r="W6" s="263">
        <f>'12b_A Skleník. p.(cesty)NOV200 '!W9</f>
        <v>31.100408228437683</v>
      </c>
      <c r="X6" s="263">
        <f>'12b_A Skleník. p.(cesty)NOV200 '!X9</f>
        <v>29.429890233876307</v>
      </c>
      <c r="Y6" s="263">
        <f>'12b_A Skleník. p.(cesty)NOV200 '!Y9</f>
        <v>27.760156166697133</v>
      </c>
      <c r="Z6" s="263">
        <f>'12b_A Skleník. p.(cesty)NOV200 '!Z9</f>
        <v>26.102745511702935</v>
      </c>
      <c r="AA6" s="263">
        <f>'12b_A Skleník. p.(cesty)NOV200 '!AA9</f>
        <v>24.446102787617818</v>
      </c>
      <c r="AB6" s="263">
        <f>'12b_A Skleník. p.(cesty)NOV200 '!AB9</f>
        <v>22.801721393191055</v>
      </c>
      <c r="AC6" s="263">
        <f>'12b_A Skleník. p.(cesty)NOV200 '!AC9</f>
        <v>21.163819739930851</v>
      </c>
      <c r="AD6" s="263">
        <f>'12b_A Skleník. p.(cesty)NOV200 '!AD9</f>
        <v>19.52666225037634</v>
      </c>
      <c r="AE6" s="263">
        <f>'12b_A Skleník. p.(cesty)NOV200 '!AE9</f>
        <v>17.901673539050812</v>
      </c>
      <c r="AF6" s="263">
        <f>'12b_A Skleník. p.(cesty)NOV200 '!AF9</f>
        <v>16.277413281978966</v>
      </c>
      <c r="AG6" s="263">
        <f>'12b_A Skleník. p.(cesty)NOV200 '!AG9</f>
        <v>14.665260466395985</v>
      </c>
      <c r="AH6" s="263">
        <f>'12b_A Skleník. p.(cesty)NOV200 '!AH9</f>
        <v>13.053820509281778</v>
      </c>
      <c r="AI6" s="263">
        <f>'12b_A Skleník. p.(cesty)NOV200 '!AI9</f>
        <v>11.454426952808321</v>
      </c>
      <c r="AJ6" s="263">
        <f>'12b_A Skleník. p.(cesty)NOV200 '!AJ9</f>
        <v>9.8557307720282665</v>
      </c>
      <c r="AK6" s="263">
        <f>'12b_A Skleník. p.(cesty)NOV200 '!AK9</f>
        <v>8.2690202455474768</v>
      </c>
      <c r="AL6" s="263">
        <f>'12b_A Skleník. p.(cesty)NOV200 '!AL9</f>
        <v>6.6829917243401331</v>
      </c>
      <c r="AM6" s="263">
        <f>'12b_A Skleník. p.(cesty)NOV200 '!AM9</f>
        <v>5.1088884042181997</v>
      </c>
      <c r="AN6" s="263">
        <f>'12b_A Skleník. p.(cesty)NOV200 '!AN9</f>
        <v>3.5354518306544662</v>
      </c>
      <c r="AO6" s="263">
        <f>'12b_A Skleník. p.(cesty)NOV200 '!AO9</f>
        <v>1.9738802967172477</v>
      </c>
      <c r="AP6" s="263">
        <f>'12b_A Skleník. p.(cesty)NOV200 '!AP9</f>
        <v>0.41296036168034411</v>
      </c>
      <c r="AQ6" s="263">
        <f>'12b_A Skleník. p.(cesty)NOV200 '!AQ9</f>
        <v>0</v>
      </c>
    </row>
    <row r="7" spans="2:43" ht="11.85" customHeight="1" x14ac:dyDescent="0.2">
      <c r="B7" s="256" t="s">
        <v>152</v>
      </c>
      <c r="C7" s="262">
        <f t="shared" si="11"/>
        <v>208.43153411459463</v>
      </c>
      <c r="D7" s="263">
        <f>'12b_A Skleník. p.(cesty)NOV200 '!D11</f>
        <v>0</v>
      </c>
      <c r="E7" s="263">
        <f>'12b_A Skleník. p.(cesty)NOV200 '!E11</f>
        <v>0</v>
      </c>
      <c r="F7" s="263">
        <f>'12b_A Skleník. p.(cesty)NOV200 '!F11</f>
        <v>0</v>
      </c>
      <c r="G7" s="263">
        <f>'12b_A Skleník. p.(cesty)NOV200 '!G11</f>
        <v>4.8182130925674054</v>
      </c>
      <c r="H7" s="263">
        <f>'12b_A Skleník. p.(cesty)NOV200 '!H11</f>
        <v>9.0976973380641155</v>
      </c>
      <c r="I7" s="263">
        <f>'12b_A Skleník. p.(cesty)NOV200 '!I11</f>
        <v>10.636779322465149</v>
      </c>
      <c r="J7" s="263">
        <f>'12b_A Skleník. p.(cesty)NOV200 '!J11</f>
        <v>10.516606839554596</v>
      </c>
      <c r="K7" s="263">
        <f>'12b_A Skleník. p.(cesty)NOV200 '!K11</f>
        <v>10.341073157551286</v>
      </c>
      <c r="L7" s="263">
        <f>'12b_A Skleník. p.(cesty)NOV200 '!L11</f>
        <v>10.12404979170719</v>
      </c>
      <c r="M7" s="263">
        <f>'12b_A Skleník. p.(cesty)NOV200 '!M11</f>
        <v>9.8054025015222646</v>
      </c>
      <c r="N7" s="263">
        <f>'12b_A Skleník. p.(cesty)NOV200 '!N11</f>
        <v>9.5656453713991532</v>
      </c>
      <c r="O7" s="263">
        <f>'12b_A Skleník. p.(cesty)NOV200 '!O11</f>
        <v>9.3188852589029629</v>
      </c>
      <c r="P7" s="263">
        <f>'12b_A Skleník. p.(cesty)NOV200 '!P11</f>
        <v>9.0674729521353807</v>
      </c>
      <c r="Q7" s="263">
        <f>'12b_A Skleník. p.(cesty)NOV200 '!Q11</f>
        <v>8.808848542465725</v>
      </c>
      <c r="R7" s="263">
        <f>'12b_A Skleník. p.(cesty)NOV200 '!R11</f>
        <v>8.5454093852306983</v>
      </c>
      <c r="S7" s="263">
        <f>'12b_A Skleník. p.(cesty)NOV200 '!S11</f>
        <v>8.1762320201384835</v>
      </c>
      <c r="T7" s="263">
        <f>'12b_A Skleník. p.(cesty)NOV200 '!T11</f>
        <v>7.8097566178985911</v>
      </c>
      <c r="U7" s="263">
        <f>'12b_A Skleník. p.(cesty)NOV200 '!U11</f>
        <v>7.4434574961801445</v>
      </c>
      <c r="V7" s="263">
        <f>'12b_A Skleník. p.(cesty)NOV200 '!V11</f>
        <v>7.0798467342492151</v>
      </c>
      <c r="W7" s="263">
        <f>'12b_A Skleník. p.(cesty)NOV200 '!W11</f>
        <v>6.7164087480135608</v>
      </c>
      <c r="X7" s="263">
        <f>'12b_A Skleník. p.(cesty)NOV200 '!X11</f>
        <v>6.3556455840713335</v>
      </c>
      <c r="Y7" s="263">
        <f>'12b_A Skleník. p.(cesty)NOV200 '!Y11</f>
        <v>5.9950517161939318</v>
      </c>
      <c r="Z7" s="263">
        <f>'12b_A Skleník. p.(cesty)NOV200 '!Z11</f>
        <v>5.6371191983797413</v>
      </c>
      <c r="AA7" s="263">
        <f>'12b_A Skleník. p.(cesty)NOV200 '!AA11</f>
        <v>5.2793525220502557</v>
      </c>
      <c r="AB7" s="263">
        <f>'12b_A Skleník. p.(cesty)NOV200 '!AB11</f>
        <v>4.9242337885122218</v>
      </c>
      <c r="AC7" s="263">
        <f>'12b_A Skleník. p.(cesty)NOV200 '!AC11</f>
        <v>4.5705144124982517</v>
      </c>
      <c r="AD7" s="263">
        <f>'12b_A Skleník. p.(cesty)NOV200 '!AD11</f>
        <v>4.2169557452308091</v>
      </c>
      <c r="AE7" s="263">
        <f>'12b_A Skleník. p.(cesty)NOV200 '!AE11</f>
        <v>3.8660250334535142</v>
      </c>
      <c r="AF7" s="263">
        <f>'12b_A Skleník. p.(cesty)NOV200 '!AF11</f>
        <v>3.5152516378273786</v>
      </c>
      <c r="AG7" s="263">
        <f>'12b_A Skleník. p.(cesty)NOV200 '!AG11</f>
        <v>3.1670929514788373</v>
      </c>
      <c r="AH7" s="263">
        <f>'12b_A Skleník. p.(cesty)NOV200 '!AH11</f>
        <v>2.8190882132335049</v>
      </c>
      <c r="AI7" s="263">
        <f>'12b_A Skleník. p.(cesty)NOV200 '!AI11</f>
        <v>2.473685001953712</v>
      </c>
      <c r="AJ7" s="263">
        <f>'12b_A Skleník. p.(cesty)NOV200 '!AJ11</f>
        <v>2.1284323951345892</v>
      </c>
      <c r="AK7" s="263">
        <f>'12b_A Skleník. p.(cesty)NOV200 '!AK11</f>
        <v>1.7857681965702688</v>
      </c>
      <c r="AL7" s="263">
        <f>'12b_A Skleník. p.(cesty)NOV200 '!AL11</f>
        <v>1.4432512830882258</v>
      </c>
      <c r="AM7" s="263">
        <f>'12b_A Skleník. p.(cesty)NOV200 '!AM11</f>
        <v>1.103309722453758</v>
      </c>
      <c r="AN7" s="263">
        <f>'12b_A Skleník. p.(cesty)NOV200 '!AN11</f>
        <v>0.76351215164679731</v>
      </c>
      <c r="AO7" s="263">
        <f>'12b_A Skleník. p.(cesty)NOV200 '!AO11</f>
        <v>0.4262769412872528</v>
      </c>
      <c r="AP7" s="263">
        <f>'12b_A Skleník. p.(cesty)NOV200 '!AP11</f>
        <v>8.9182449484266416E-2</v>
      </c>
      <c r="AQ7" s="263">
        <f>'12b_A Skleník. p.(cesty)NOV200 '!AQ11</f>
        <v>0</v>
      </c>
    </row>
    <row r="8" spans="2:43" ht="11.85" customHeight="1" x14ac:dyDescent="0.2">
      <c r="B8" s="256" t="s">
        <v>602</v>
      </c>
      <c r="C8" s="262">
        <f t="shared" si="11"/>
        <v>868464.74152730568</v>
      </c>
      <c r="D8" s="263">
        <f>'12b_A Skleník. p.(cesty)NOV200 '!D13</f>
        <v>0</v>
      </c>
      <c r="E8" s="263">
        <f>'12b_A Skleník. p.(cesty)NOV200 '!E13</f>
        <v>0</v>
      </c>
      <c r="F8" s="263">
        <f>'12b_A Skleník. p.(cesty)NOV200 '!F13</f>
        <v>0</v>
      </c>
      <c r="G8" s="263">
        <f>'12b_A Skleník. p.(cesty)NOV200 '!G13</f>
        <v>1040.5816708419186</v>
      </c>
      <c r="H8" s="263">
        <f>'12b_A Skleník. p.(cesty)NOV200 '!H13</f>
        <v>2333.4160613685422</v>
      </c>
      <c r="I8" s="263">
        <f>'12b_A Skleník. p.(cesty)NOV200 '!I13</f>
        <v>3412.489009205035</v>
      </c>
      <c r="J8" s="263">
        <f>'12b_A Skleník. p.(cesty)NOV200 '!J13</f>
        <v>4282.4177698766271</v>
      </c>
      <c r="K8" s="263">
        <f>'12b_A Skleník. p.(cesty)NOV200 '!K13</f>
        <v>5360.8632589666859</v>
      </c>
      <c r="L8" s="263">
        <f>'12b_A Skleník. p.(cesty)NOV200 '!L13</f>
        <v>6596.6901860601347</v>
      </c>
      <c r="M8" s="263">
        <f>'12b_A Skleník. p.(cesty)NOV200 '!M13</f>
        <v>8211.802540075525</v>
      </c>
      <c r="N8" s="263">
        <f>'12b_A Skleník. p.(cesty)NOV200 '!N13</f>
        <v>9540.2502504505519</v>
      </c>
      <c r="O8" s="263">
        <f>'12b_A Skleník. p.(cesty)NOV200 '!O13</f>
        <v>10898.973767087793</v>
      </c>
      <c r="P8" s="263">
        <f>'12b_A Skleník. p.(cesty)NOV200 '!P13</f>
        <v>12279.344416400931</v>
      </c>
      <c r="Q8" s="263">
        <f>'12b_A Skleník. p.(cesty)NOV200 '!Q13</f>
        <v>13690.85162708174</v>
      </c>
      <c r="R8" s="263">
        <f>'12b_A Skleník. p.(cesty)NOV200 '!R13</f>
        <v>15124.695811318827</v>
      </c>
      <c r="S8" s="263">
        <f>'12b_A Skleník. p.(cesty)NOV200 '!S13</f>
        <v>16393.444122069799</v>
      </c>
      <c r="T8" s="263">
        <f>'12b_A Skleník. p.(cesty)NOV200 '!T13</f>
        <v>17652.410346862725</v>
      </c>
      <c r="U8" s="263">
        <f>'12b_A Skleník. p.(cesty)NOV200 '!U13</f>
        <v>18910.912433723926</v>
      </c>
      <c r="V8" s="263">
        <f>'12b_A Skleník. p.(cesty)NOV200 '!V13</f>
        <v>20159.681876453855</v>
      </c>
      <c r="W8" s="263">
        <f>'12b_A Skleník. p.(cesty)NOV200 '!W13</f>
        <v>21407.999367853277</v>
      </c>
      <c r="X8" s="263">
        <f>'12b_A Skleník. p.(cesty)NOV200 '!X13</f>
        <v>22646.633418009631</v>
      </c>
      <c r="Y8" s="263">
        <f>'12b_A Skleník. p.(cesty)NOV200 '!Y13</f>
        <v>23884.827613452751</v>
      </c>
      <c r="Z8" s="263">
        <f>'12b_A Skleník. p.(cesty)NOV200 '!Z13</f>
        <v>25113.387332722537</v>
      </c>
      <c r="AA8" s="263">
        <f>'12b_A Skleník. p.(cesty)NOV200 '!AA13</f>
        <v>26341.519204436961</v>
      </c>
      <c r="AB8" s="263">
        <f>'12b_A Skleník. p.(cesty)NOV200 '!AB13</f>
        <v>27560.065328344284</v>
      </c>
      <c r="AC8" s="263">
        <f>'12b_A Skleník. p.(cesty)NOV200 '!AC13</f>
        <v>28773.631901679157</v>
      </c>
      <c r="AD8" s="263">
        <f>'12b_A Skleník. p.(cesty)NOV200 '!AD13</f>
        <v>29986.788462454286</v>
      </c>
      <c r="AE8" s="263">
        <f>'12b_A Skleník. p.(cesty)NOV200 '!AE13</f>
        <v>31190.431917451791</v>
      </c>
      <c r="AF8" s="263">
        <f>'12b_A Skleník. p.(cesty)NOV200 '!AF13</f>
        <v>32393.677145712347</v>
      </c>
      <c r="AG8" s="263">
        <f>'12b_A Skleník. p.(cesty)NOV200 '!AG13</f>
        <v>33587.457409683782</v>
      </c>
      <c r="AH8" s="263">
        <f>'12b_A Skleník. p.(cesty)NOV200 '!AH13</f>
        <v>34780.851145095869</v>
      </c>
      <c r="AI8" s="263">
        <f>'12b_A Skleník. p.(cesty)NOV200 '!AI13</f>
        <v>35964.827824865941</v>
      </c>
      <c r="AJ8" s="263">
        <f>'12b_A Skleník. p.(cesty)NOV200 '!AJ13</f>
        <v>37148.429587121347</v>
      </c>
      <c r="AK8" s="263">
        <f>'12b_A Skleník. p.(cesty)NOV200 '!AK13</f>
        <v>38322.661970632667</v>
      </c>
      <c r="AL8" s="263">
        <f>'12b_A Skleník. p.(cesty)NOV200 '!AL13</f>
        <v>39496.530961050572</v>
      </c>
      <c r="AM8" s="263">
        <f>'12b_A Skleník. p.(cesty)NOV200 '!AM13</f>
        <v>40661.078018960259</v>
      </c>
      <c r="AN8" s="263">
        <f>'12b_A Skleník. p.(cesty)NOV200 '!AN13</f>
        <v>41825.273122081351</v>
      </c>
      <c r="AO8" s="263">
        <f>'12b_A Skleník. p.(cesty)NOV200 '!AO13</f>
        <v>42980.193509350123</v>
      </c>
      <c r="AP8" s="263">
        <f>'12b_A Skleník. p.(cesty)NOV200 '!AP13</f>
        <v>44134.773294522834</v>
      </c>
      <c r="AQ8" s="263">
        <f>'12b_A Skleník. p.(cesty)NOV200 '!AQ13</f>
        <v>44374.877843979222</v>
      </c>
    </row>
    <row r="9" spans="2:43" ht="10.35" customHeight="1" x14ac:dyDescent="0.2">
      <c r="B9" s="257" t="s">
        <v>9</v>
      </c>
      <c r="C9" s="264">
        <f t="shared" si="11"/>
        <v>5161602.649327659</v>
      </c>
      <c r="D9" s="264">
        <f>SUM(D5:D8)</f>
        <v>0</v>
      </c>
      <c r="E9" s="264">
        <f t="shared" ref="E9:AG9" si="12">SUM(E5:E8)</f>
        <v>0</v>
      </c>
      <c r="F9" s="264">
        <f t="shared" si="12"/>
        <v>0</v>
      </c>
      <c r="G9" s="264">
        <f t="shared" si="12"/>
        <v>100283.01810653241</v>
      </c>
      <c r="H9" s="264">
        <f t="shared" si="12"/>
        <v>189721.90063810116</v>
      </c>
      <c r="I9" s="264">
        <f t="shared" si="12"/>
        <v>222501.98868671365</v>
      </c>
      <c r="J9" s="264">
        <f t="shared" si="12"/>
        <v>220896.68238255032</v>
      </c>
      <c r="K9" s="264">
        <f t="shared" si="12"/>
        <v>218359.5986403971</v>
      </c>
      <c r="L9" s="264">
        <f t="shared" si="12"/>
        <v>215125.31866768023</v>
      </c>
      <c r="M9" s="264">
        <f t="shared" si="12"/>
        <v>210177.14026762653</v>
      </c>
      <c r="N9" s="264">
        <f t="shared" si="12"/>
        <v>206567.22570777498</v>
      </c>
      <c r="O9" s="264">
        <f t="shared" si="12"/>
        <v>202843.34405341136</v>
      </c>
      <c r="P9" s="264">
        <f t="shared" si="12"/>
        <v>199045.28664357093</v>
      </c>
      <c r="Q9" s="264">
        <f t="shared" si="12"/>
        <v>195129.81556494525</v>
      </c>
      <c r="R9" s="264">
        <f t="shared" si="12"/>
        <v>191137.51040412756</v>
      </c>
      <c r="S9" s="264">
        <f t="shared" si="12"/>
        <v>184802.1821651764</v>
      </c>
      <c r="T9" s="264">
        <f t="shared" si="12"/>
        <v>178512.72512323147</v>
      </c>
      <c r="U9" s="264">
        <f t="shared" si="12"/>
        <v>172226.43485550184</v>
      </c>
      <c r="V9" s="264">
        <f t="shared" si="12"/>
        <v>165985.785039476</v>
      </c>
      <c r="W9" s="264">
        <f t="shared" si="12"/>
        <v>159748.24199412446</v>
      </c>
      <c r="X9" s="264">
        <f t="shared" si="12"/>
        <v>153556.10976681896</v>
      </c>
      <c r="Y9" s="264">
        <f t="shared" si="12"/>
        <v>147367.0247356279</v>
      </c>
      <c r="Z9" s="264">
        <f t="shared" si="12"/>
        <v>141223.12199526961</v>
      </c>
      <c r="AA9" s="264">
        <f t="shared" si="12"/>
        <v>135082.2073029771</v>
      </c>
      <c r="AB9" s="264">
        <f t="shared" si="12"/>
        <v>128986.24747557292</v>
      </c>
      <c r="AC9" s="264">
        <f t="shared" si="12"/>
        <v>122914.13115864916</v>
      </c>
      <c r="AD9" s="264">
        <f t="shared" si="12"/>
        <v>116844.91500396602</v>
      </c>
      <c r="AE9" s="264">
        <f t="shared" si="12"/>
        <v>110820.31467069805</v>
      </c>
      <c r="AF9" s="264">
        <f t="shared" si="12"/>
        <v>104798.55640700873</v>
      </c>
      <c r="AG9" s="264">
        <f t="shared" si="12"/>
        <v>98821.189269305716</v>
      </c>
      <c r="AH9" s="264">
        <f t="shared" ref="AH9:AN9" si="13">SUM(AH5:AH8)</f>
        <v>92846.606526486023</v>
      </c>
      <c r="AI9" s="264">
        <f t="shared" si="13"/>
        <v>86916.19129756352</v>
      </c>
      <c r="AJ9" s="264">
        <f t="shared" si="13"/>
        <v>80988.503204382985</v>
      </c>
      <c r="AK9" s="264">
        <f t="shared" si="13"/>
        <v>75104.760091280128</v>
      </c>
      <c r="AL9" s="264">
        <f t="shared" si="13"/>
        <v>69223.687267931615</v>
      </c>
      <c r="AM9" s="264">
        <f t="shared" si="13"/>
        <v>63386.337964063976</v>
      </c>
      <c r="AN9" s="264">
        <f t="shared" si="13"/>
        <v>57551.602514729428</v>
      </c>
      <c r="AO9" s="264">
        <f t="shared" ref="AO9:AQ9" si="14">SUM(AO5:AO8)</f>
        <v>51760.370192477785</v>
      </c>
      <c r="AP9" s="264">
        <f t="shared" si="14"/>
        <v>45971.695697928903</v>
      </c>
      <c r="AQ9" s="264">
        <f t="shared" si="14"/>
        <v>44374.877843979222</v>
      </c>
    </row>
    <row r="12" spans="2:43" x14ac:dyDescent="0.2">
      <c r="B12" s="256"/>
      <c r="C12" s="256"/>
      <c r="D12" s="256" t="s">
        <v>10</v>
      </c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</row>
    <row r="13" spans="2:43" x14ac:dyDescent="0.2">
      <c r="B13" s="257" t="s">
        <v>461</v>
      </c>
      <c r="C13" s="257"/>
      <c r="D13" s="256">
        <v>1</v>
      </c>
      <c r="E13" s="256">
        <v>2</v>
      </c>
      <c r="F13" s="256">
        <v>3</v>
      </c>
      <c r="G13" s="256">
        <v>4</v>
      </c>
      <c r="H13" s="256">
        <v>5</v>
      </c>
      <c r="I13" s="256">
        <v>6</v>
      </c>
      <c r="J13" s="256">
        <v>7</v>
      </c>
      <c r="K13" s="256">
        <v>8</v>
      </c>
      <c r="L13" s="256">
        <v>9</v>
      </c>
      <c r="M13" s="256">
        <v>10</v>
      </c>
      <c r="N13" s="256">
        <v>11</v>
      </c>
      <c r="O13" s="256">
        <v>12</v>
      </c>
      <c r="P13" s="256">
        <v>13</v>
      </c>
      <c r="Q13" s="256">
        <v>14</v>
      </c>
      <c r="R13" s="256">
        <v>15</v>
      </c>
      <c r="S13" s="256">
        <v>16</v>
      </c>
      <c r="T13" s="256">
        <v>17</v>
      </c>
      <c r="U13" s="256">
        <v>18</v>
      </c>
      <c r="V13" s="256">
        <v>19</v>
      </c>
      <c r="W13" s="256">
        <v>20</v>
      </c>
      <c r="X13" s="256">
        <v>21</v>
      </c>
      <c r="Y13" s="256">
        <v>22</v>
      </c>
      <c r="Z13" s="256">
        <v>23</v>
      </c>
      <c r="AA13" s="256">
        <v>24</v>
      </c>
      <c r="AB13" s="256">
        <v>25</v>
      </c>
      <c r="AC13" s="256">
        <v>26</v>
      </c>
      <c r="AD13" s="256">
        <v>27</v>
      </c>
      <c r="AE13" s="256">
        <v>28</v>
      </c>
      <c r="AF13" s="256">
        <v>29</v>
      </c>
      <c r="AG13" s="256">
        <v>30</v>
      </c>
      <c r="AH13" s="256">
        <v>31</v>
      </c>
      <c r="AI13" s="256">
        <v>32</v>
      </c>
      <c r="AJ13" s="256">
        <v>33</v>
      </c>
      <c r="AK13" s="256">
        <v>34</v>
      </c>
      <c r="AL13" s="256">
        <v>35</v>
      </c>
      <c r="AM13" s="256">
        <v>36</v>
      </c>
      <c r="AN13" s="256">
        <v>37</v>
      </c>
      <c r="AO13" s="256">
        <v>38</v>
      </c>
      <c r="AP13" s="256">
        <v>39</v>
      </c>
      <c r="AQ13" s="256">
        <v>40</v>
      </c>
    </row>
    <row r="14" spans="2:43" x14ac:dyDescent="0.2">
      <c r="B14" s="259" t="s">
        <v>34</v>
      </c>
      <c r="C14" s="260" t="s">
        <v>9</v>
      </c>
      <c r="D14" s="304">
        <f t="shared" ref="D14:AG14" si="15">D4</f>
        <v>2026</v>
      </c>
      <c r="E14" s="304">
        <f t="shared" si="15"/>
        <v>2027</v>
      </c>
      <c r="F14" s="304">
        <f t="shared" si="15"/>
        <v>2028</v>
      </c>
      <c r="G14" s="304">
        <f t="shared" si="15"/>
        <v>2029</v>
      </c>
      <c r="H14" s="304">
        <f t="shared" si="15"/>
        <v>2030</v>
      </c>
      <c r="I14" s="304">
        <f t="shared" si="15"/>
        <v>2031</v>
      </c>
      <c r="J14" s="304">
        <f t="shared" si="15"/>
        <v>2032</v>
      </c>
      <c r="K14" s="304">
        <f t="shared" si="15"/>
        <v>2033</v>
      </c>
      <c r="L14" s="304">
        <f t="shared" si="15"/>
        <v>2034</v>
      </c>
      <c r="M14" s="304">
        <f t="shared" si="15"/>
        <v>2035</v>
      </c>
      <c r="N14" s="304">
        <f t="shared" si="15"/>
        <v>2036</v>
      </c>
      <c r="O14" s="304">
        <f t="shared" si="15"/>
        <v>2037</v>
      </c>
      <c r="P14" s="304">
        <f t="shared" si="15"/>
        <v>2038</v>
      </c>
      <c r="Q14" s="304">
        <f t="shared" si="15"/>
        <v>2039</v>
      </c>
      <c r="R14" s="304">
        <f t="shared" si="15"/>
        <v>2040</v>
      </c>
      <c r="S14" s="304">
        <f t="shared" si="15"/>
        <v>2041</v>
      </c>
      <c r="T14" s="304">
        <f t="shared" si="15"/>
        <v>2042</v>
      </c>
      <c r="U14" s="304">
        <f t="shared" si="15"/>
        <v>2043</v>
      </c>
      <c r="V14" s="304">
        <f t="shared" si="15"/>
        <v>2044</v>
      </c>
      <c r="W14" s="304">
        <f t="shared" si="15"/>
        <v>2045</v>
      </c>
      <c r="X14" s="304">
        <f t="shared" si="15"/>
        <v>2046</v>
      </c>
      <c r="Y14" s="304">
        <f t="shared" si="15"/>
        <v>2047</v>
      </c>
      <c r="Z14" s="304">
        <f t="shared" si="15"/>
        <v>2048</v>
      </c>
      <c r="AA14" s="304">
        <f t="shared" si="15"/>
        <v>2049</v>
      </c>
      <c r="AB14" s="304">
        <f t="shared" si="15"/>
        <v>2050</v>
      </c>
      <c r="AC14" s="304">
        <f t="shared" si="15"/>
        <v>2051</v>
      </c>
      <c r="AD14" s="304">
        <f t="shared" si="15"/>
        <v>2052</v>
      </c>
      <c r="AE14" s="304">
        <f t="shared" si="15"/>
        <v>2053</v>
      </c>
      <c r="AF14" s="304">
        <f t="shared" si="15"/>
        <v>2054</v>
      </c>
      <c r="AG14" s="304">
        <f t="shared" si="15"/>
        <v>2055</v>
      </c>
      <c r="AH14" s="304">
        <f t="shared" ref="AH14:AN14" si="16">AH4</f>
        <v>2056</v>
      </c>
      <c r="AI14" s="304">
        <f t="shared" si="16"/>
        <v>2057</v>
      </c>
      <c r="AJ14" s="304">
        <f t="shared" si="16"/>
        <v>2058</v>
      </c>
      <c r="AK14" s="304">
        <f t="shared" si="16"/>
        <v>2059</v>
      </c>
      <c r="AL14" s="304">
        <f t="shared" si="16"/>
        <v>2060</v>
      </c>
      <c r="AM14" s="304">
        <f t="shared" si="16"/>
        <v>2061</v>
      </c>
      <c r="AN14" s="304">
        <f t="shared" si="16"/>
        <v>2062</v>
      </c>
      <c r="AO14" s="304">
        <f t="shared" ref="AO14:AQ14" si="17">AO4</f>
        <v>2063</v>
      </c>
      <c r="AP14" s="304">
        <f t="shared" si="17"/>
        <v>2064</v>
      </c>
      <c r="AQ14" s="304">
        <f t="shared" si="17"/>
        <v>2065</v>
      </c>
    </row>
    <row r="15" spans="2:43" x14ac:dyDescent="0.2">
      <c r="B15" s="256" t="s">
        <v>150</v>
      </c>
      <c r="C15" s="262">
        <f t="shared" ref="C15:C19" si="18">SUM(D15:AQ15)</f>
        <v>0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</row>
    <row r="16" spans="2:43" x14ac:dyDescent="0.2">
      <c r="B16" s="256" t="s">
        <v>151</v>
      </c>
      <c r="C16" s="262">
        <f t="shared" si="18"/>
        <v>0</v>
      </c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</row>
    <row r="17" spans="2:43" x14ac:dyDescent="0.2">
      <c r="B17" s="256" t="s">
        <v>152</v>
      </c>
      <c r="C17" s="262">
        <f t="shared" si="18"/>
        <v>0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</row>
    <row r="18" spans="2:43" x14ac:dyDescent="0.2">
      <c r="B18" s="256" t="s">
        <v>602</v>
      </c>
      <c r="C18" s="262">
        <f t="shared" si="18"/>
        <v>0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</row>
    <row r="19" spans="2:43" x14ac:dyDescent="0.2">
      <c r="B19" s="257" t="s">
        <v>35</v>
      </c>
      <c r="C19" s="264">
        <f t="shared" si="18"/>
        <v>0</v>
      </c>
      <c r="D19" s="264">
        <f>SUM(D15:D18)</f>
        <v>0</v>
      </c>
      <c r="E19" s="264">
        <f t="shared" ref="E19:AG19" si="19">SUM(E15:E18)</f>
        <v>0</v>
      </c>
      <c r="F19" s="264">
        <f t="shared" si="19"/>
        <v>0</v>
      </c>
      <c r="G19" s="264">
        <f t="shared" si="19"/>
        <v>0</v>
      </c>
      <c r="H19" s="264">
        <f t="shared" si="19"/>
        <v>0</v>
      </c>
      <c r="I19" s="264">
        <f t="shared" si="19"/>
        <v>0</v>
      </c>
      <c r="J19" s="264">
        <f t="shared" si="19"/>
        <v>0</v>
      </c>
      <c r="K19" s="264">
        <f t="shared" si="19"/>
        <v>0</v>
      </c>
      <c r="L19" s="264">
        <f t="shared" si="19"/>
        <v>0</v>
      </c>
      <c r="M19" s="264">
        <f t="shared" si="19"/>
        <v>0</v>
      </c>
      <c r="N19" s="264">
        <f t="shared" si="19"/>
        <v>0</v>
      </c>
      <c r="O19" s="264">
        <f t="shared" si="19"/>
        <v>0</v>
      </c>
      <c r="P19" s="264">
        <f t="shared" si="19"/>
        <v>0</v>
      </c>
      <c r="Q19" s="264">
        <f t="shared" si="19"/>
        <v>0</v>
      </c>
      <c r="R19" s="264">
        <f t="shared" si="19"/>
        <v>0</v>
      </c>
      <c r="S19" s="264">
        <f t="shared" si="19"/>
        <v>0</v>
      </c>
      <c r="T19" s="264">
        <f t="shared" si="19"/>
        <v>0</v>
      </c>
      <c r="U19" s="264">
        <f t="shared" si="19"/>
        <v>0</v>
      </c>
      <c r="V19" s="264">
        <f t="shared" si="19"/>
        <v>0</v>
      </c>
      <c r="W19" s="264">
        <f t="shared" si="19"/>
        <v>0</v>
      </c>
      <c r="X19" s="264">
        <f t="shared" si="19"/>
        <v>0</v>
      </c>
      <c r="Y19" s="264">
        <f t="shared" si="19"/>
        <v>0</v>
      </c>
      <c r="Z19" s="264">
        <f t="shared" si="19"/>
        <v>0</v>
      </c>
      <c r="AA19" s="264">
        <f t="shared" si="19"/>
        <v>0</v>
      </c>
      <c r="AB19" s="264">
        <f t="shared" si="19"/>
        <v>0</v>
      </c>
      <c r="AC19" s="264">
        <f t="shared" si="19"/>
        <v>0</v>
      </c>
      <c r="AD19" s="264">
        <f t="shared" si="19"/>
        <v>0</v>
      </c>
      <c r="AE19" s="264">
        <f t="shared" si="19"/>
        <v>0</v>
      </c>
      <c r="AF19" s="264">
        <f t="shared" si="19"/>
        <v>0</v>
      </c>
      <c r="AG19" s="264">
        <f t="shared" si="19"/>
        <v>0</v>
      </c>
      <c r="AH19" s="264">
        <f t="shared" ref="AH19:AN19" si="20">SUM(AH15:AH18)</f>
        <v>0</v>
      </c>
      <c r="AI19" s="264">
        <f t="shared" si="20"/>
        <v>0</v>
      </c>
      <c r="AJ19" s="264">
        <f t="shared" si="20"/>
        <v>0</v>
      </c>
      <c r="AK19" s="264">
        <f t="shared" si="20"/>
        <v>0</v>
      </c>
      <c r="AL19" s="264">
        <f t="shared" si="20"/>
        <v>0</v>
      </c>
      <c r="AM19" s="264">
        <f t="shared" si="20"/>
        <v>0</v>
      </c>
      <c r="AN19" s="264">
        <f t="shared" si="20"/>
        <v>0</v>
      </c>
      <c r="AO19" s="264">
        <f t="shared" ref="AO19:AQ19" si="21">SUM(AO15:AO18)</f>
        <v>0</v>
      </c>
      <c r="AP19" s="264">
        <f t="shared" si="21"/>
        <v>0</v>
      </c>
      <c r="AQ19" s="264">
        <f t="shared" si="21"/>
        <v>0</v>
      </c>
    </row>
    <row r="22" spans="2:43" x14ac:dyDescent="0.2">
      <c r="B22" s="256"/>
      <c r="C22" s="256"/>
      <c r="D22" s="256" t="s">
        <v>10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</row>
    <row r="23" spans="2:43" x14ac:dyDescent="0.2">
      <c r="B23" s="257" t="s">
        <v>462</v>
      </c>
      <c r="C23" s="257"/>
      <c r="D23" s="256">
        <v>1</v>
      </c>
      <c r="E23" s="256">
        <v>2</v>
      </c>
      <c r="F23" s="256">
        <v>3</v>
      </c>
      <c r="G23" s="256">
        <v>4</v>
      </c>
      <c r="H23" s="256">
        <v>5</v>
      </c>
      <c r="I23" s="256">
        <v>6</v>
      </c>
      <c r="J23" s="256">
        <v>7</v>
      </c>
      <c r="K23" s="256">
        <v>8</v>
      </c>
      <c r="L23" s="256">
        <v>9</v>
      </c>
      <c r="M23" s="256">
        <v>10</v>
      </c>
      <c r="N23" s="256">
        <v>11</v>
      </c>
      <c r="O23" s="256">
        <v>12</v>
      </c>
      <c r="P23" s="256">
        <v>13</v>
      </c>
      <c r="Q23" s="256">
        <v>14</v>
      </c>
      <c r="R23" s="256">
        <v>15</v>
      </c>
      <c r="S23" s="256">
        <v>16</v>
      </c>
      <c r="T23" s="256">
        <v>17</v>
      </c>
      <c r="U23" s="256">
        <v>18</v>
      </c>
      <c r="V23" s="256">
        <v>19</v>
      </c>
      <c r="W23" s="256">
        <v>20</v>
      </c>
      <c r="X23" s="256">
        <v>21</v>
      </c>
      <c r="Y23" s="256">
        <v>22</v>
      </c>
      <c r="Z23" s="256">
        <v>23</v>
      </c>
      <c r="AA23" s="256">
        <v>24</v>
      </c>
      <c r="AB23" s="256">
        <v>25</v>
      </c>
      <c r="AC23" s="256">
        <v>26</v>
      </c>
      <c r="AD23" s="256">
        <v>27</v>
      </c>
      <c r="AE23" s="256">
        <v>28</v>
      </c>
      <c r="AF23" s="256">
        <v>29</v>
      </c>
      <c r="AG23" s="256">
        <v>30</v>
      </c>
      <c r="AH23" s="256">
        <v>31</v>
      </c>
      <c r="AI23" s="256">
        <v>32</v>
      </c>
      <c r="AJ23" s="256">
        <v>33</v>
      </c>
      <c r="AK23" s="256">
        <v>34</v>
      </c>
      <c r="AL23" s="256">
        <v>35</v>
      </c>
      <c r="AM23" s="256">
        <v>36</v>
      </c>
      <c r="AN23" s="256">
        <v>37</v>
      </c>
      <c r="AO23" s="256">
        <v>38</v>
      </c>
      <c r="AP23" s="256">
        <v>39</v>
      </c>
      <c r="AQ23" s="256">
        <v>40</v>
      </c>
    </row>
    <row r="24" spans="2:43" x14ac:dyDescent="0.2">
      <c r="B24" s="259" t="s">
        <v>63</v>
      </c>
      <c r="C24" s="260" t="s">
        <v>9</v>
      </c>
      <c r="D24" s="304">
        <f t="shared" ref="D24:AG24" si="22">D4</f>
        <v>2026</v>
      </c>
      <c r="E24" s="304">
        <f t="shared" si="22"/>
        <v>2027</v>
      </c>
      <c r="F24" s="304">
        <f t="shared" si="22"/>
        <v>2028</v>
      </c>
      <c r="G24" s="304">
        <f t="shared" si="22"/>
        <v>2029</v>
      </c>
      <c r="H24" s="304">
        <f t="shared" si="22"/>
        <v>2030</v>
      </c>
      <c r="I24" s="304">
        <f t="shared" si="22"/>
        <v>2031</v>
      </c>
      <c r="J24" s="304">
        <f t="shared" si="22"/>
        <v>2032</v>
      </c>
      <c r="K24" s="304">
        <f t="shared" si="22"/>
        <v>2033</v>
      </c>
      <c r="L24" s="304">
        <f t="shared" si="22"/>
        <v>2034</v>
      </c>
      <c r="M24" s="304">
        <f t="shared" si="22"/>
        <v>2035</v>
      </c>
      <c r="N24" s="304">
        <f t="shared" si="22"/>
        <v>2036</v>
      </c>
      <c r="O24" s="304">
        <f t="shared" si="22"/>
        <v>2037</v>
      </c>
      <c r="P24" s="304">
        <f t="shared" si="22"/>
        <v>2038</v>
      </c>
      <c r="Q24" s="304">
        <f t="shared" si="22"/>
        <v>2039</v>
      </c>
      <c r="R24" s="304">
        <f t="shared" si="22"/>
        <v>2040</v>
      </c>
      <c r="S24" s="304">
        <f t="shared" si="22"/>
        <v>2041</v>
      </c>
      <c r="T24" s="304">
        <f t="shared" si="22"/>
        <v>2042</v>
      </c>
      <c r="U24" s="304">
        <f t="shared" si="22"/>
        <v>2043</v>
      </c>
      <c r="V24" s="304">
        <f t="shared" si="22"/>
        <v>2044</v>
      </c>
      <c r="W24" s="304">
        <f t="shared" si="22"/>
        <v>2045</v>
      </c>
      <c r="X24" s="304">
        <f t="shared" si="22"/>
        <v>2046</v>
      </c>
      <c r="Y24" s="304">
        <f t="shared" si="22"/>
        <v>2047</v>
      </c>
      <c r="Z24" s="304">
        <f t="shared" si="22"/>
        <v>2048</v>
      </c>
      <c r="AA24" s="304">
        <f t="shared" si="22"/>
        <v>2049</v>
      </c>
      <c r="AB24" s="304">
        <f t="shared" si="22"/>
        <v>2050</v>
      </c>
      <c r="AC24" s="304">
        <f t="shared" si="22"/>
        <v>2051</v>
      </c>
      <c r="AD24" s="304">
        <f t="shared" si="22"/>
        <v>2052</v>
      </c>
      <c r="AE24" s="304">
        <f t="shared" si="22"/>
        <v>2053</v>
      </c>
      <c r="AF24" s="304">
        <f t="shared" si="22"/>
        <v>2054</v>
      </c>
      <c r="AG24" s="304">
        <f t="shared" si="22"/>
        <v>2055</v>
      </c>
      <c r="AH24" s="304">
        <f t="shared" ref="AH24:AN24" si="23">AH4</f>
        <v>2056</v>
      </c>
      <c r="AI24" s="304">
        <f t="shared" si="23"/>
        <v>2057</v>
      </c>
      <c r="AJ24" s="304">
        <f t="shared" si="23"/>
        <v>2058</v>
      </c>
      <c r="AK24" s="304">
        <f t="shared" si="23"/>
        <v>2059</v>
      </c>
      <c r="AL24" s="304">
        <f t="shared" si="23"/>
        <v>2060</v>
      </c>
      <c r="AM24" s="304">
        <f t="shared" si="23"/>
        <v>2061</v>
      </c>
      <c r="AN24" s="304">
        <f t="shared" si="23"/>
        <v>2062</v>
      </c>
      <c r="AO24" s="304">
        <f t="shared" ref="AO24:AQ24" si="24">AO4</f>
        <v>2063</v>
      </c>
      <c r="AP24" s="304">
        <f t="shared" si="24"/>
        <v>2064</v>
      </c>
      <c r="AQ24" s="304">
        <f t="shared" si="24"/>
        <v>2065</v>
      </c>
    </row>
    <row r="25" spans="2:43" x14ac:dyDescent="0.2">
      <c r="B25" s="256" t="s">
        <v>150</v>
      </c>
      <c r="C25" s="262">
        <f t="shared" ref="C25:C30" si="25">SUM(D25:AQ25)</f>
        <v>4291964.3316418063</v>
      </c>
      <c r="D25" s="262">
        <f t="shared" ref="D25:AG28" si="26">D5-D15</f>
        <v>0</v>
      </c>
      <c r="E25" s="262">
        <f t="shared" si="26"/>
        <v>0</v>
      </c>
      <c r="F25" s="262">
        <f t="shared" si="26"/>
        <v>0</v>
      </c>
      <c r="G25" s="262">
        <f t="shared" si="26"/>
        <v>99215.307431260997</v>
      </c>
      <c r="H25" s="262">
        <f t="shared" si="26"/>
        <v>187337.25988686507</v>
      </c>
      <c r="I25" s="262">
        <f t="shared" si="26"/>
        <v>219029.6091687638</v>
      </c>
      <c r="J25" s="262">
        <f t="shared" si="26"/>
        <v>216555.05073648095</v>
      </c>
      <c r="K25" s="262">
        <f t="shared" si="26"/>
        <v>212940.50984966021</v>
      </c>
      <c r="L25" s="262">
        <f t="shared" si="26"/>
        <v>208471.62490241614</v>
      </c>
      <c r="M25" s="262">
        <f t="shared" si="26"/>
        <v>201910.12829559227</v>
      </c>
      <c r="N25" s="262">
        <f t="shared" si="26"/>
        <v>196973.11598065414</v>
      </c>
      <c r="O25" s="262">
        <f t="shared" si="26"/>
        <v>191891.90019531478</v>
      </c>
      <c r="P25" s="262">
        <f t="shared" si="26"/>
        <v>186714.88771605626</v>
      </c>
      <c r="Q25" s="262">
        <f t="shared" si="26"/>
        <v>181389.36561447347</v>
      </c>
      <c r="R25" s="262">
        <f t="shared" si="26"/>
        <v>175964.69956663414</v>
      </c>
      <c r="S25" s="262">
        <f t="shared" si="26"/>
        <v>168362.70167434716</v>
      </c>
      <c r="T25" s="262">
        <f t="shared" si="26"/>
        <v>160816.34185159151</v>
      </c>
      <c r="U25" s="262">
        <f t="shared" si="26"/>
        <v>153273.61194843333</v>
      </c>
      <c r="V25" s="262">
        <f t="shared" si="26"/>
        <v>145786.24000426941</v>
      </c>
      <c r="W25" s="262">
        <f t="shared" si="26"/>
        <v>138302.42580929474</v>
      </c>
      <c r="X25" s="262">
        <f t="shared" si="26"/>
        <v>130873.69081299138</v>
      </c>
      <c r="Y25" s="262">
        <f t="shared" si="26"/>
        <v>123448.44191429226</v>
      </c>
      <c r="Z25" s="262">
        <f t="shared" si="26"/>
        <v>116077.994797837</v>
      </c>
      <c r="AA25" s="262">
        <f t="shared" si="26"/>
        <v>108710.96264323046</v>
      </c>
      <c r="AB25" s="262">
        <f t="shared" si="26"/>
        <v>101398.45619204694</v>
      </c>
      <c r="AC25" s="262">
        <f t="shared" si="26"/>
        <v>94114.764922817587</v>
      </c>
      <c r="AD25" s="262">
        <f t="shared" si="26"/>
        <v>86834.382923516139</v>
      </c>
      <c r="AE25" s="262">
        <f t="shared" si="26"/>
        <v>79608.115054673763</v>
      </c>
      <c r="AF25" s="262">
        <f t="shared" si="26"/>
        <v>72385.086596376583</v>
      </c>
      <c r="AG25" s="262">
        <f t="shared" si="26"/>
        <v>65215.899506204056</v>
      </c>
      <c r="AH25" s="262">
        <f t="shared" ref="AH25:AN25" si="27">AH5-AH15</f>
        <v>58049.882472667639</v>
      </c>
      <c r="AI25" s="262">
        <f t="shared" si="27"/>
        <v>50937.43536074282</v>
      </c>
      <c r="AJ25" s="262">
        <f t="shared" si="27"/>
        <v>43828.089454094472</v>
      </c>
      <c r="AK25" s="262">
        <f t="shared" si="27"/>
        <v>36772.043332205343</v>
      </c>
      <c r="AL25" s="262">
        <f t="shared" si="27"/>
        <v>29719.030063873619</v>
      </c>
      <c r="AM25" s="262">
        <f t="shared" si="27"/>
        <v>22719.047746977049</v>
      </c>
      <c r="AN25" s="262">
        <f t="shared" si="27"/>
        <v>15722.030428665772</v>
      </c>
      <c r="AO25" s="262">
        <f t="shared" ref="AO25:AQ25" si="28">AO5-AO15</f>
        <v>8777.7765258896561</v>
      </c>
      <c r="AP25" s="262">
        <f t="shared" si="28"/>
        <v>1836.4202605949004</v>
      </c>
      <c r="AQ25" s="262">
        <f t="shared" si="28"/>
        <v>0</v>
      </c>
    </row>
    <row r="26" spans="2:43" x14ac:dyDescent="0.2">
      <c r="B26" s="256" t="s">
        <v>151</v>
      </c>
      <c r="C26" s="262">
        <f t="shared" si="25"/>
        <v>965.14462443350078</v>
      </c>
      <c r="D26" s="262">
        <f t="shared" si="26"/>
        <v>0</v>
      </c>
      <c r="E26" s="262">
        <f t="shared" si="26"/>
        <v>0</v>
      </c>
      <c r="F26" s="262">
        <f t="shared" si="26"/>
        <v>0</v>
      </c>
      <c r="G26" s="262">
        <f t="shared" si="26"/>
        <v>22.310791336928165</v>
      </c>
      <c r="H26" s="262">
        <f t="shared" si="26"/>
        <v>42.126992529489442</v>
      </c>
      <c r="I26" s="262">
        <f t="shared" si="26"/>
        <v>49.253729422336065</v>
      </c>
      <c r="J26" s="262">
        <f t="shared" si="26"/>
        <v>48.697269353188481</v>
      </c>
      <c r="K26" s="262">
        <f t="shared" si="26"/>
        <v>47.884458612663138</v>
      </c>
      <c r="L26" s="262">
        <f t="shared" si="26"/>
        <v>46.879529412239314</v>
      </c>
      <c r="M26" s="262">
        <f t="shared" si="26"/>
        <v>45.404029457212367</v>
      </c>
      <c r="N26" s="262">
        <f t="shared" si="26"/>
        <v>44.293831298901523</v>
      </c>
      <c r="O26" s="262">
        <f t="shared" si="26"/>
        <v>43.151205749883758</v>
      </c>
      <c r="P26" s="262">
        <f t="shared" si="26"/>
        <v>41.987038161596701</v>
      </c>
      <c r="Q26" s="262">
        <f t="shared" si="26"/>
        <v>40.789474847579534</v>
      </c>
      <c r="R26" s="262">
        <f t="shared" si="26"/>
        <v>39.56961678938913</v>
      </c>
      <c r="S26" s="262">
        <f t="shared" si="26"/>
        <v>37.860136739286062</v>
      </c>
      <c r="T26" s="262">
        <f t="shared" si="26"/>
        <v>36.163168159356729</v>
      </c>
      <c r="U26" s="262">
        <f t="shared" si="26"/>
        <v>34.46701584841658</v>
      </c>
      <c r="V26" s="262">
        <f t="shared" si="26"/>
        <v>32.783312018501555</v>
      </c>
      <c r="W26" s="262">
        <f t="shared" si="26"/>
        <v>31.100408228437683</v>
      </c>
      <c r="X26" s="262">
        <f t="shared" si="26"/>
        <v>29.429890233876307</v>
      </c>
      <c r="Y26" s="262">
        <f t="shared" si="26"/>
        <v>27.760156166697133</v>
      </c>
      <c r="Z26" s="262">
        <f t="shared" si="26"/>
        <v>26.102745511702935</v>
      </c>
      <c r="AA26" s="262">
        <f t="shared" si="26"/>
        <v>24.446102787617818</v>
      </c>
      <c r="AB26" s="262">
        <f t="shared" si="26"/>
        <v>22.801721393191055</v>
      </c>
      <c r="AC26" s="262">
        <f t="shared" si="26"/>
        <v>21.163819739930851</v>
      </c>
      <c r="AD26" s="262">
        <f t="shared" si="26"/>
        <v>19.52666225037634</v>
      </c>
      <c r="AE26" s="262">
        <f t="shared" si="26"/>
        <v>17.901673539050812</v>
      </c>
      <c r="AF26" s="262">
        <f t="shared" si="26"/>
        <v>16.277413281978966</v>
      </c>
      <c r="AG26" s="262">
        <f t="shared" si="26"/>
        <v>14.665260466395985</v>
      </c>
      <c r="AH26" s="262">
        <f t="shared" ref="AH26:AN26" si="29">AH6-AH16</f>
        <v>13.053820509281778</v>
      </c>
      <c r="AI26" s="262">
        <f t="shared" si="29"/>
        <v>11.454426952808321</v>
      </c>
      <c r="AJ26" s="262">
        <f t="shared" si="29"/>
        <v>9.8557307720282665</v>
      </c>
      <c r="AK26" s="262">
        <f t="shared" si="29"/>
        <v>8.2690202455474768</v>
      </c>
      <c r="AL26" s="262">
        <f t="shared" si="29"/>
        <v>6.6829917243401331</v>
      </c>
      <c r="AM26" s="262">
        <f t="shared" si="29"/>
        <v>5.1088884042181997</v>
      </c>
      <c r="AN26" s="262">
        <f t="shared" si="29"/>
        <v>3.5354518306544662</v>
      </c>
      <c r="AO26" s="262">
        <f t="shared" ref="AO26:AQ26" si="30">AO6-AO16</f>
        <v>1.9738802967172477</v>
      </c>
      <c r="AP26" s="262">
        <f t="shared" si="30"/>
        <v>0.41296036168034411</v>
      </c>
      <c r="AQ26" s="262">
        <f t="shared" si="30"/>
        <v>0</v>
      </c>
    </row>
    <row r="27" spans="2:43" x14ac:dyDescent="0.2">
      <c r="B27" s="256" t="s">
        <v>152</v>
      </c>
      <c r="C27" s="262">
        <f t="shared" si="25"/>
        <v>208.43153411459463</v>
      </c>
      <c r="D27" s="262">
        <f t="shared" si="26"/>
        <v>0</v>
      </c>
      <c r="E27" s="262">
        <f t="shared" si="26"/>
        <v>0</v>
      </c>
      <c r="F27" s="262">
        <f t="shared" si="26"/>
        <v>0</v>
      </c>
      <c r="G27" s="262">
        <f t="shared" si="26"/>
        <v>4.8182130925674054</v>
      </c>
      <c r="H27" s="262">
        <f t="shared" si="26"/>
        <v>9.0976973380641155</v>
      </c>
      <c r="I27" s="262">
        <f t="shared" si="26"/>
        <v>10.636779322465149</v>
      </c>
      <c r="J27" s="262">
        <f t="shared" si="26"/>
        <v>10.516606839554596</v>
      </c>
      <c r="K27" s="262">
        <f t="shared" si="26"/>
        <v>10.341073157551286</v>
      </c>
      <c r="L27" s="262">
        <f t="shared" si="26"/>
        <v>10.12404979170719</v>
      </c>
      <c r="M27" s="262">
        <f t="shared" si="26"/>
        <v>9.8054025015222646</v>
      </c>
      <c r="N27" s="262">
        <f t="shared" si="26"/>
        <v>9.5656453713991532</v>
      </c>
      <c r="O27" s="262">
        <f t="shared" si="26"/>
        <v>9.3188852589029629</v>
      </c>
      <c r="P27" s="262">
        <f t="shared" si="26"/>
        <v>9.0674729521353807</v>
      </c>
      <c r="Q27" s="262">
        <f t="shared" si="26"/>
        <v>8.808848542465725</v>
      </c>
      <c r="R27" s="262">
        <f t="shared" si="26"/>
        <v>8.5454093852306983</v>
      </c>
      <c r="S27" s="262">
        <f t="shared" si="26"/>
        <v>8.1762320201384835</v>
      </c>
      <c r="T27" s="262">
        <f t="shared" si="26"/>
        <v>7.8097566178985911</v>
      </c>
      <c r="U27" s="262">
        <f t="shared" si="26"/>
        <v>7.4434574961801445</v>
      </c>
      <c r="V27" s="262">
        <f t="shared" si="26"/>
        <v>7.0798467342492151</v>
      </c>
      <c r="W27" s="262">
        <f t="shared" si="26"/>
        <v>6.7164087480135608</v>
      </c>
      <c r="X27" s="262">
        <f t="shared" si="26"/>
        <v>6.3556455840713335</v>
      </c>
      <c r="Y27" s="262">
        <f t="shared" si="26"/>
        <v>5.9950517161939318</v>
      </c>
      <c r="Z27" s="262">
        <f t="shared" si="26"/>
        <v>5.6371191983797413</v>
      </c>
      <c r="AA27" s="262">
        <f t="shared" si="26"/>
        <v>5.2793525220502557</v>
      </c>
      <c r="AB27" s="262">
        <f t="shared" si="26"/>
        <v>4.9242337885122218</v>
      </c>
      <c r="AC27" s="262">
        <f t="shared" si="26"/>
        <v>4.5705144124982517</v>
      </c>
      <c r="AD27" s="262">
        <f t="shared" si="26"/>
        <v>4.2169557452308091</v>
      </c>
      <c r="AE27" s="262">
        <f t="shared" si="26"/>
        <v>3.8660250334535142</v>
      </c>
      <c r="AF27" s="262">
        <f t="shared" si="26"/>
        <v>3.5152516378273786</v>
      </c>
      <c r="AG27" s="262">
        <f t="shared" si="26"/>
        <v>3.1670929514788373</v>
      </c>
      <c r="AH27" s="262">
        <f t="shared" ref="AH27:AN27" si="31">AH7-AH17</f>
        <v>2.8190882132335049</v>
      </c>
      <c r="AI27" s="262">
        <f t="shared" si="31"/>
        <v>2.473685001953712</v>
      </c>
      <c r="AJ27" s="262">
        <f t="shared" si="31"/>
        <v>2.1284323951345892</v>
      </c>
      <c r="AK27" s="262">
        <f t="shared" si="31"/>
        <v>1.7857681965702688</v>
      </c>
      <c r="AL27" s="262">
        <f t="shared" si="31"/>
        <v>1.4432512830882258</v>
      </c>
      <c r="AM27" s="262">
        <f t="shared" si="31"/>
        <v>1.103309722453758</v>
      </c>
      <c r="AN27" s="262">
        <f t="shared" si="31"/>
        <v>0.76351215164679731</v>
      </c>
      <c r="AO27" s="262">
        <f t="shared" ref="AO27:AQ27" si="32">AO7-AO17</f>
        <v>0.4262769412872528</v>
      </c>
      <c r="AP27" s="262">
        <f t="shared" si="32"/>
        <v>8.9182449484266416E-2</v>
      </c>
      <c r="AQ27" s="262">
        <f t="shared" si="32"/>
        <v>0</v>
      </c>
    </row>
    <row r="28" spans="2:43" x14ac:dyDescent="0.2">
      <c r="B28" s="256" t="s">
        <v>602</v>
      </c>
      <c r="C28" s="262">
        <f t="shared" si="25"/>
        <v>868464.74152730568</v>
      </c>
      <c r="D28" s="262">
        <f>D8-D18</f>
        <v>0</v>
      </c>
      <c r="E28" s="262">
        <f t="shared" si="26"/>
        <v>0</v>
      </c>
      <c r="F28" s="262">
        <f t="shared" si="26"/>
        <v>0</v>
      </c>
      <c r="G28" s="262">
        <f t="shared" si="26"/>
        <v>1040.5816708419186</v>
      </c>
      <c r="H28" s="262">
        <f t="shared" si="26"/>
        <v>2333.4160613685422</v>
      </c>
      <c r="I28" s="262">
        <f t="shared" si="26"/>
        <v>3412.489009205035</v>
      </c>
      <c r="J28" s="262">
        <f t="shared" si="26"/>
        <v>4282.4177698766271</v>
      </c>
      <c r="K28" s="262">
        <f t="shared" si="26"/>
        <v>5360.8632589666859</v>
      </c>
      <c r="L28" s="262">
        <f t="shared" si="26"/>
        <v>6596.6901860601347</v>
      </c>
      <c r="M28" s="262">
        <f t="shared" si="26"/>
        <v>8211.802540075525</v>
      </c>
      <c r="N28" s="262">
        <f t="shared" si="26"/>
        <v>9540.2502504505519</v>
      </c>
      <c r="O28" s="262">
        <f t="shared" si="26"/>
        <v>10898.973767087793</v>
      </c>
      <c r="P28" s="262">
        <f t="shared" si="26"/>
        <v>12279.344416400931</v>
      </c>
      <c r="Q28" s="262">
        <f t="shared" si="26"/>
        <v>13690.85162708174</v>
      </c>
      <c r="R28" s="262">
        <f t="shared" si="26"/>
        <v>15124.695811318827</v>
      </c>
      <c r="S28" s="262">
        <f t="shared" si="26"/>
        <v>16393.444122069799</v>
      </c>
      <c r="T28" s="262">
        <f t="shared" si="26"/>
        <v>17652.410346862725</v>
      </c>
      <c r="U28" s="262">
        <f t="shared" si="26"/>
        <v>18910.912433723926</v>
      </c>
      <c r="V28" s="262">
        <f t="shared" si="26"/>
        <v>20159.681876453855</v>
      </c>
      <c r="W28" s="262">
        <f t="shared" si="26"/>
        <v>21407.999367853277</v>
      </c>
      <c r="X28" s="262">
        <f t="shared" si="26"/>
        <v>22646.633418009631</v>
      </c>
      <c r="Y28" s="262">
        <f t="shared" si="26"/>
        <v>23884.827613452751</v>
      </c>
      <c r="Z28" s="262">
        <f t="shared" si="26"/>
        <v>25113.387332722537</v>
      </c>
      <c r="AA28" s="262">
        <f t="shared" si="26"/>
        <v>26341.519204436961</v>
      </c>
      <c r="AB28" s="262">
        <f t="shared" si="26"/>
        <v>27560.065328344284</v>
      </c>
      <c r="AC28" s="262">
        <f t="shared" si="26"/>
        <v>28773.631901679157</v>
      </c>
      <c r="AD28" s="262">
        <f t="shared" si="26"/>
        <v>29986.788462454286</v>
      </c>
      <c r="AE28" s="262">
        <f t="shared" si="26"/>
        <v>31190.431917451791</v>
      </c>
      <c r="AF28" s="262">
        <f t="shared" si="26"/>
        <v>32393.677145712347</v>
      </c>
      <c r="AG28" s="262">
        <f t="shared" si="26"/>
        <v>33587.457409683782</v>
      </c>
      <c r="AH28" s="262">
        <f t="shared" ref="AH28:AN28" si="33">AH8-AH18</f>
        <v>34780.851145095869</v>
      </c>
      <c r="AI28" s="262">
        <f t="shared" si="33"/>
        <v>35964.827824865941</v>
      </c>
      <c r="AJ28" s="262">
        <f t="shared" si="33"/>
        <v>37148.429587121347</v>
      </c>
      <c r="AK28" s="262">
        <f t="shared" si="33"/>
        <v>38322.661970632667</v>
      </c>
      <c r="AL28" s="262">
        <f t="shared" si="33"/>
        <v>39496.530961050572</v>
      </c>
      <c r="AM28" s="262">
        <f t="shared" si="33"/>
        <v>40661.078018960259</v>
      </c>
      <c r="AN28" s="262">
        <f t="shared" si="33"/>
        <v>41825.273122081351</v>
      </c>
      <c r="AO28" s="262">
        <f t="shared" ref="AO28:AQ28" si="34">AO8-AO18</f>
        <v>42980.193509350123</v>
      </c>
      <c r="AP28" s="262">
        <f t="shared" si="34"/>
        <v>44134.773294522834</v>
      </c>
      <c r="AQ28" s="262">
        <f t="shared" si="34"/>
        <v>44374.877843979222</v>
      </c>
    </row>
    <row r="29" spans="2:43" x14ac:dyDescent="0.2">
      <c r="B29" s="266" t="s">
        <v>59</v>
      </c>
      <c r="C29" s="267">
        <f t="shared" si="25"/>
        <v>5161602.649327659</v>
      </c>
      <c r="D29" s="271">
        <f>SUM(D25:D28)</f>
        <v>0</v>
      </c>
      <c r="E29" s="271">
        <f t="shared" ref="E29:AG29" si="35">SUM(E25:E28)</f>
        <v>0</v>
      </c>
      <c r="F29" s="271">
        <f t="shared" si="35"/>
        <v>0</v>
      </c>
      <c r="G29" s="271">
        <f t="shared" si="35"/>
        <v>100283.01810653241</v>
      </c>
      <c r="H29" s="271">
        <f t="shared" si="35"/>
        <v>189721.90063810116</v>
      </c>
      <c r="I29" s="271">
        <f t="shared" si="35"/>
        <v>222501.98868671365</v>
      </c>
      <c r="J29" s="271">
        <f t="shared" si="35"/>
        <v>220896.68238255032</v>
      </c>
      <c r="K29" s="271">
        <f t="shared" si="35"/>
        <v>218359.5986403971</v>
      </c>
      <c r="L29" s="271">
        <f t="shared" si="35"/>
        <v>215125.31866768023</v>
      </c>
      <c r="M29" s="271">
        <f t="shared" si="35"/>
        <v>210177.14026762653</v>
      </c>
      <c r="N29" s="271">
        <f t="shared" si="35"/>
        <v>206567.22570777498</v>
      </c>
      <c r="O29" s="271">
        <f t="shared" si="35"/>
        <v>202843.34405341136</v>
      </c>
      <c r="P29" s="271">
        <f t="shared" si="35"/>
        <v>199045.28664357093</v>
      </c>
      <c r="Q29" s="271">
        <f t="shared" si="35"/>
        <v>195129.81556494525</v>
      </c>
      <c r="R29" s="271">
        <f t="shared" si="35"/>
        <v>191137.51040412756</v>
      </c>
      <c r="S29" s="271">
        <f t="shared" si="35"/>
        <v>184802.1821651764</v>
      </c>
      <c r="T29" s="271">
        <f t="shared" si="35"/>
        <v>178512.72512323147</v>
      </c>
      <c r="U29" s="271">
        <f t="shared" si="35"/>
        <v>172226.43485550184</v>
      </c>
      <c r="V29" s="271">
        <f t="shared" si="35"/>
        <v>165985.785039476</v>
      </c>
      <c r="W29" s="271">
        <f t="shared" si="35"/>
        <v>159748.24199412446</v>
      </c>
      <c r="X29" s="271">
        <f t="shared" si="35"/>
        <v>153556.10976681896</v>
      </c>
      <c r="Y29" s="271">
        <f t="shared" si="35"/>
        <v>147367.0247356279</v>
      </c>
      <c r="Z29" s="271">
        <f t="shared" si="35"/>
        <v>141223.12199526961</v>
      </c>
      <c r="AA29" s="271">
        <f t="shared" si="35"/>
        <v>135082.2073029771</v>
      </c>
      <c r="AB29" s="271">
        <f t="shared" si="35"/>
        <v>128986.24747557292</v>
      </c>
      <c r="AC29" s="271">
        <f t="shared" si="35"/>
        <v>122914.13115864916</v>
      </c>
      <c r="AD29" s="271">
        <f t="shared" si="35"/>
        <v>116844.91500396602</v>
      </c>
      <c r="AE29" s="271">
        <f t="shared" si="35"/>
        <v>110820.31467069805</v>
      </c>
      <c r="AF29" s="271">
        <f t="shared" si="35"/>
        <v>104798.55640700873</v>
      </c>
      <c r="AG29" s="271">
        <f t="shared" si="35"/>
        <v>98821.189269305716</v>
      </c>
      <c r="AH29" s="271">
        <f t="shared" ref="AH29:AN29" si="36">SUM(AH25:AH28)</f>
        <v>92846.606526486023</v>
      </c>
      <c r="AI29" s="271">
        <f t="shared" si="36"/>
        <v>86916.19129756352</v>
      </c>
      <c r="AJ29" s="271">
        <f t="shared" si="36"/>
        <v>80988.503204382985</v>
      </c>
      <c r="AK29" s="271">
        <f t="shared" si="36"/>
        <v>75104.760091280128</v>
      </c>
      <c r="AL29" s="271">
        <f t="shared" si="36"/>
        <v>69223.687267931615</v>
      </c>
      <c r="AM29" s="271">
        <f t="shared" si="36"/>
        <v>63386.337964063976</v>
      </c>
      <c r="AN29" s="271">
        <f t="shared" si="36"/>
        <v>57551.602514729428</v>
      </c>
      <c r="AO29" s="271">
        <f t="shared" ref="AO29:AQ29" si="37">SUM(AO25:AO28)</f>
        <v>51760.370192477785</v>
      </c>
      <c r="AP29" s="271">
        <f t="shared" si="37"/>
        <v>45971.695697928903</v>
      </c>
      <c r="AQ29" s="271">
        <f t="shared" si="37"/>
        <v>44374.877843979222</v>
      </c>
    </row>
    <row r="30" spans="2:43" ht="10.35" customHeight="1" x14ac:dyDescent="0.2">
      <c r="B30" s="256" t="s">
        <v>412</v>
      </c>
      <c r="C30" s="262">
        <f t="shared" si="25"/>
        <v>5246670.2859460991</v>
      </c>
      <c r="D30" s="262">
        <f>(D25*Parametre!$C$117)+(D26*Parametre!$D$117)+(D27*Parametre!$E$117)+(D28*Parametre!$C$117)</f>
        <v>0</v>
      </c>
      <c r="E30" s="262">
        <f>(E25*Parametre!$C$117)+(E26*Parametre!$D$117)+(E27*Parametre!$E$117)+(E28*Parametre!$C$117)</f>
        <v>0</v>
      </c>
      <c r="F30" s="262">
        <f>(F25*Parametre!$C$117)+(F26*Parametre!$D$117)+(F27*Parametre!$E$117)+(F28*Parametre!$C$117)</f>
        <v>0</v>
      </c>
      <c r="G30" s="262">
        <f>(G25*Parametre!$C$117)+(G26*Parametre!$D$117)+(G27*Parametre!$E$117)+(G28*Parametre!$C$117)</f>
        <v>102249.4863871112</v>
      </c>
      <c r="H30" s="262">
        <f>(H25*Parametre!$C$117)+(H26*Parametre!$D$117)+(H27*Parametre!$E$117)+(H28*Parametre!$C$117)</f>
        <v>193434.96456821397</v>
      </c>
      <c r="I30" s="262">
        <f>(I25*Parametre!$C$117)+(I26*Parametre!$D$117)+(I27*Parametre!$E$117)+(I28*Parametre!$C$117)</f>
        <v>226843.20165162184</v>
      </c>
      <c r="J30" s="262">
        <f>(J25*Parametre!$C$117)+(J26*Parametre!$D$117)+(J27*Parametre!$E$117)+(J28*Parametre!$C$117)</f>
        <v>225188.84907837457</v>
      </c>
      <c r="K30" s="262">
        <f>(K25*Parametre!$C$117)+(K26*Parametre!$D$117)+(K27*Parametre!$E$117)+(K28*Parametre!$C$117)</f>
        <v>222580.12437489376</v>
      </c>
      <c r="L30" s="262">
        <f>(L25*Parametre!$C$117)+(L26*Parametre!$D$117)+(L27*Parametre!$E$117)+(L28*Parametre!$C$117)</f>
        <v>219257.270161711</v>
      </c>
      <c r="M30" s="262">
        <f>(M25*Parametre!$C$117)+(M26*Parametre!$D$117)+(M27*Parametre!$E$117)+(M28*Parametre!$C$117)</f>
        <v>214179.04151755176</v>
      </c>
      <c r="N30" s="262">
        <f>(N25*Parametre!$C$117)+(N26*Parametre!$D$117)+(N27*Parametre!$E$117)+(N28*Parametre!$C$117)</f>
        <v>210471.27433425418</v>
      </c>
      <c r="O30" s="262">
        <f>(O25*Parametre!$C$117)+(O26*Parametre!$D$117)+(O27*Parametre!$E$117)+(O28*Parametre!$C$117)</f>
        <v>206646.68191330277</v>
      </c>
      <c r="P30" s="262">
        <f>(P25*Parametre!$C$117)+(P26*Parametre!$D$117)+(P27*Parametre!$E$117)+(P28*Parametre!$C$117)</f>
        <v>202746.01502623345</v>
      </c>
      <c r="Q30" s="262">
        <f>(Q25*Parametre!$C$117)+(Q26*Parametre!$D$117)+(Q27*Parametre!$E$117)+(Q28*Parametre!$C$117)</f>
        <v>198724.9909783995</v>
      </c>
      <c r="R30" s="262">
        <f>(R25*Parametre!$C$117)+(R26*Parametre!$D$117)+(R27*Parametre!$E$117)+(R28*Parametre!$C$117)</f>
        <v>194625.16779448645</v>
      </c>
      <c r="S30" s="262">
        <f>(S25*Parametre!$C$117)+(S26*Parametre!$D$117)+(S27*Parametre!$E$117)+(S28*Parametre!$C$117)</f>
        <v>188139.16635690039</v>
      </c>
      <c r="T30" s="262">
        <f>(T25*Parametre!$C$117)+(T26*Parametre!$D$117)+(T27*Parametre!$E$117)+(T28*Parametre!$C$117)</f>
        <v>181700.13887457192</v>
      </c>
      <c r="U30" s="262">
        <f>(U25*Parametre!$C$117)+(U26*Parametre!$D$117)+(U27*Parametre!$E$117)+(U28*Parametre!$C$117)</f>
        <v>175264.35011222935</v>
      </c>
      <c r="V30" s="262">
        <f>(V25*Parametre!$C$117)+(V26*Parametre!$D$117)+(V27*Parametre!$E$117)+(V28*Parametre!$C$117)</f>
        <v>168875.29900799209</v>
      </c>
      <c r="W30" s="262">
        <f>(W25*Parametre!$C$117)+(W26*Parametre!$D$117)+(W27*Parametre!$E$117)+(W28*Parametre!$C$117)</f>
        <v>162489.425189767</v>
      </c>
      <c r="X30" s="262">
        <f>(X25*Parametre!$C$117)+(X26*Parametre!$D$117)+(X27*Parametre!$E$117)+(X28*Parametre!$C$117)</f>
        <v>156150.05387090117</v>
      </c>
      <c r="Y30" s="262">
        <f>(Y25*Parametre!$C$117)+(Y26*Parametre!$D$117)+(Y27*Parametre!$E$117)+(Y28*Parametre!$C$117)</f>
        <v>149813.79884333824</v>
      </c>
      <c r="Z30" s="262">
        <f>(Z25*Parametre!$C$117)+(Z26*Parametre!$D$117)+(Z27*Parametre!$E$117)+(Z28*Parametre!$C$117)</f>
        <v>143523.81228946926</v>
      </c>
      <c r="AA30" s="262">
        <f>(AA25*Parametre!$C$117)+(AA26*Parametre!$D$117)+(AA27*Parametre!$E$117)+(AA28*Parametre!$C$117)</f>
        <v>137236.88146892883</v>
      </c>
      <c r="AB30" s="262">
        <f>(AB25*Parametre!$C$117)+(AB26*Parametre!$D$117)+(AB27*Parametre!$E$117)+(AB28*Parametre!$C$117)</f>
        <v>130995.98622419765</v>
      </c>
      <c r="AC30" s="262">
        <f>(AC25*Parametre!$C$117)+(AC26*Parametre!$D$117)+(AC27*Parametre!$E$117)+(AC28*Parametre!$C$117)</f>
        <v>124779.50561291949</v>
      </c>
      <c r="AD30" s="262">
        <f>(AD25*Parametre!$C$117)+(AD26*Parametre!$D$117)+(AD27*Parametre!$E$117)+(AD28*Parametre!$C$117)</f>
        <v>118565.99075430862</v>
      </c>
      <c r="AE30" s="262">
        <f>(AE25*Parametre!$C$117)+(AE26*Parametre!$D$117)+(AE27*Parametre!$E$117)+(AE28*Parametre!$C$117)</f>
        <v>112398.16427057097</v>
      </c>
      <c r="AF30" s="262">
        <f>(AF25*Parametre!$C$117)+(AF26*Parametre!$D$117)+(AF27*Parametre!$E$117)+(AF28*Parametre!$C$117)</f>
        <v>106233.24406221096</v>
      </c>
      <c r="AG30" s="262">
        <f>(AG25*Parametre!$C$117)+(AG26*Parametre!$D$117)+(AG27*Parametre!$E$117)+(AG28*Parametre!$C$117)</f>
        <v>100113.78212708843</v>
      </c>
      <c r="AH30" s="262">
        <f>(AH25*Parametre!$C$117)+(AH26*Parametre!$D$117)+(AH27*Parametre!$E$117)+(AH28*Parametre!$C$117)</f>
        <v>93997.167418039142</v>
      </c>
      <c r="AI30" s="262">
        <f>(AI25*Parametre!$C$117)+(AI26*Parametre!$D$117)+(AI27*Parametre!$E$117)+(AI28*Parametre!$C$117)</f>
        <v>87925.781990011164</v>
      </c>
      <c r="AJ30" s="262">
        <f>(AJ25*Parametre!$C$117)+(AJ26*Parametre!$D$117)+(AJ27*Parametre!$E$117)+(AJ28*Parametre!$C$117)</f>
        <v>81857.185164266644</v>
      </c>
      <c r="AK30" s="262">
        <f>(AK25*Parametre!$C$117)+(AK26*Parametre!$D$117)+(AK27*Parametre!$E$117)+(AK28*Parametre!$C$117)</f>
        <v>75833.589731554646</v>
      </c>
      <c r="AL30" s="262">
        <f>(AL25*Parametre!$C$117)+(AL26*Parametre!$D$117)+(AL27*Parametre!$E$117)+(AL28*Parametre!$C$117)</f>
        <v>69812.724700392981</v>
      </c>
      <c r="AM30" s="262">
        <f>(AM25*Parametre!$C$117)+(AM26*Parametre!$D$117)+(AM27*Parametre!$E$117)+(AM28*Parametre!$C$117)</f>
        <v>63836.634273333984</v>
      </c>
      <c r="AN30" s="262">
        <f>(AN25*Parametre!$C$117)+(AN26*Parametre!$D$117)+(AN27*Parametre!$E$117)+(AN28*Parametre!$C$117)</f>
        <v>57863.216467704231</v>
      </c>
      <c r="AO30" s="262">
        <f>(AO25*Parametre!$C$117)+(AO26*Parametre!$D$117)+(AO27*Parametre!$E$117)+(AO28*Parametre!$C$117)</f>
        <v>51934.347571161314</v>
      </c>
      <c r="AP30" s="262">
        <f>(AP25*Parametre!$C$117)+(AP26*Parametre!$D$117)+(AP27*Parametre!$E$117)+(AP28*Parametre!$C$117)</f>
        <v>46008.093934106058</v>
      </c>
      <c r="AQ30" s="262">
        <f>(AQ25*Parametre!$C$117)+(AQ26*Parametre!$D$117)+(AQ27*Parametre!$E$117)+(AQ28*Parametre!$C$117)</f>
        <v>44374.877843979222</v>
      </c>
    </row>
    <row r="32" spans="2:43" x14ac:dyDescent="0.2">
      <c r="B32" s="272"/>
      <c r="C32" s="256"/>
      <c r="D32" s="256" t="s">
        <v>10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</row>
    <row r="33" spans="2:43" x14ac:dyDescent="0.2">
      <c r="B33" s="735" t="s">
        <v>463</v>
      </c>
      <c r="C33" s="257"/>
      <c r="D33" s="256">
        <v>1</v>
      </c>
      <c r="E33" s="256">
        <v>2</v>
      </c>
      <c r="F33" s="256">
        <v>3</v>
      </c>
      <c r="G33" s="256">
        <v>4</v>
      </c>
      <c r="H33" s="256">
        <v>5</v>
      </c>
      <c r="I33" s="256">
        <v>6</v>
      </c>
      <c r="J33" s="256">
        <v>7</v>
      </c>
      <c r="K33" s="256">
        <v>8</v>
      </c>
      <c r="L33" s="256">
        <v>9</v>
      </c>
      <c r="M33" s="256">
        <v>10</v>
      </c>
      <c r="N33" s="256">
        <v>11</v>
      </c>
      <c r="O33" s="256">
        <v>12</v>
      </c>
      <c r="P33" s="256">
        <v>13</v>
      </c>
      <c r="Q33" s="256">
        <v>14</v>
      </c>
      <c r="R33" s="256">
        <v>15</v>
      </c>
      <c r="S33" s="256">
        <v>16</v>
      </c>
      <c r="T33" s="256">
        <v>17</v>
      </c>
      <c r="U33" s="256">
        <v>18</v>
      </c>
      <c r="V33" s="256">
        <v>19</v>
      </c>
      <c r="W33" s="256">
        <v>20</v>
      </c>
      <c r="X33" s="256">
        <v>21</v>
      </c>
      <c r="Y33" s="256">
        <v>22</v>
      </c>
      <c r="Z33" s="256">
        <v>23</v>
      </c>
      <c r="AA33" s="256">
        <v>24</v>
      </c>
      <c r="AB33" s="256">
        <v>25</v>
      </c>
      <c r="AC33" s="256">
        <v>26</v>
      </c>
      <c r="AD33" s="256">
        <v>27</v>
      </c>
      <c r="AE33" s="256">
        <v>28</v>
      </c>
      <c r="AF33" s="256">
        <v>29</v>
      </c>
      <c r="AG33" s="256">
        <v>30</v>
      </c>
      <c r="AH33" s="256">
        <v>31</v>
      </c>
      <c r="AI33" s="256">
        <v>32</v>
      </c>
      <c r="AJ33" s="256">
        <v>33</v>
      </c>
      <c r="AK33" s="256">
        <v>34</v>
      </c>
      <c r="AL33" s="256">
        <v>35</v>
      </c>
      <c r="AM33" s="256">
        <v>36</v>
      </c>
      <c r="AN33" s="256">
        <v>37</v>
      </c>
      <c r="AO33" s="256">
        <v>38</v>
      </c>
      <c r="AP33" s="256">
        <v>39</v>
      </c>
      <c r="AQ33" s="256">
        <v>40</v>
      </c>
    </row>
    <row r="34" spans="2:43" x14ac:dyDescent="0.2">
      <c r="B34" s="736"/>
      <c r="C34" s="260" t="s">
        <v>9</v>
      </c>
      <c r="D34" s="304">
        <f>D4</f>
        <v>2026</v>
      </c>
      <c r="E34" s="304">
        <f t="shared" ref="E34:AG34" si="38">E4</f>
        <v>2027</v>
      </c>
      <c r="F34" s="304">
        <f t="shared" si="38"/>
        <v>2028</v>
      </c>
      <c r="G34" s="304">
        <f t="shared" si="38"/>
        <v>2029</v>
      </c>
      <c r="H34" s="304">
        <f t="shared" si="38"/>
        <v>2030</v>
      </c>
      <c r="I34" s="304">
        <f t="shared" si="38"/>
        <v>2031</v>
      </c>
      <c r="J34" s="304">
        <f t="shared" si="38"/>
        <v>2032</v>
      </c>
      <c r="K34" s="304">
        <f t="shared" si="38"/>
        <v>2033</v>
      </c>
      <c r="L34" s="304">
        <f t="shared" si="38"/>
        <v>2034</v>
      </c>
      <c r="M34" s="304">
        <f t="shared" si="38"/>
        <v>2035</v>
      </c>
      <c r="N34" s="304">
        <f t="shared" si="38"/>
        <v>2036</v>
      </c>
      <c r="O34" s="304">
        <f t="shared" si="38"/>
        <v>2037</v>
      </c>
      <c r="P34" s="304">
        <f t="shared" si="38"/>
        <v>2038</v>
      </c>
      <c r="Q34" s="304">
        <f t="shared" si="38"/>
        <v>2039</v>
      </c>
      <c r="R34" s="304">
        <f t="shared" si="38"/>
        <v>2040</v>
      </c>
      <c r="S34" s="304">
        <f t="shared" si="38"/>
        <v>2041</v>
      </c>
      <c r="T34" s="304">
        <f t="shared" si="38"/>
        <v>2042</v>
      </c>
      <c r="U34" s="304">
        <f t="shared" si="38"/>
        <v>2043</v>
      </c>
      <c r="V34" s="304">
        <f t="shared" si="38"/>
        <v>2044</v>
      </c>
      <c r="W34" s="304">
        <f t="shared" si="38"/>
        <v>2045</v>
      </c>
      <c r="X34" s="304">
        <f t="shared" si="38"/>
        <v>2046</v>
      </c>
      <c r="Y34" s="304">
        <f t="shared" si="38"/>
        <v>2047</v>
      </c>
      <c r="Z34" s="304">
        <f t="shared" si="38"/>
        <v>2048</v>
      </c>
      <c r="AA34" s="304">
        <f t="shared" si="38"/>
        <v>2049</v>
      </c>
      <c r="AB34" s="304">
        <f t="shared" si="38"/>
        <v>2050</v>
      </c>
      <c r="AC34" s="304">
        <f t="shared" si="38"/>
        <v>2051</v>
      </c>
      <c r="AD34" s="304">
        <f t="shared" si="38"/>
        <v>2052</v>
      </c>
      <c r="AE34" s="304">
        <f t="shared" si="38"/>
        <v>2053</v>
      </c>
      <c r="AF34" s="304">
        <f t="shared" si="38"/>
        <v>2054</v>
      </c>
      <c r="AG34" s="304">
        <f t="shared" si="38"/>
        <v>2055</v>
      </c>
      <c r="AH34" s="304">
        <f t="shared" ref="AH34:AN34" si="39">AH4</f>
        <v>2056</v>
      </c>
      <c r="AI34" s="304">
        <f t="shared" si="39"/>
        <v>2057</v>
      </c>
      <c r="AJ34" s="304">
        <f t="shared" si="39"/>
        <v>2058</v>
      </c>
      <c r="AK34" s="304">
        <f t="shared" si="39"/>
        <v>2059</v>
      </c>
      <c r="AL34" s="304">
        <f t="shared" si="39"/>
        <v>2060</v>
      </c>
      <c r="AM34" s="304">
        <f t="shared" si="39"/>
        <v>2061</v>
      </c>
      <c r="AN34" s="304">
        <f t="shared" si="39"/>
        <v>2062</v>
      </c>
      <c r="AO34" s="304">
        <f t="shared" ref="AO34:AQ34" si="40">AO4</f>
        <v>2063</v>
      </c>
      <c r="AP34" s="304">
        <f t="shared" si="40"/>
        <v>2064</v>
      </c>
      <c r="AQ34" s="304">
        <f t="shared" si="40"/>
        <v>2065</v>
      </c>
    </row>
    <row r="35" spans="2:43" x14ac:dyDescent="0.2">
      <c r="B35" s="273" t="s">
        <v>59</v>
      </c>
      <c r="C35" s="274">
        <f>SUM(D35:AQ35)</f>
        <v>3917130.230799329</v>
      </c>
      <c r="D35" s="275">
        <f>D30*Parametre!C121/1000</f>
        <v>0</v>
      </c>
      <c r="E35" s="275">
        <f>E30*Parametre!D121/1000</f>
        <v>0</v>
      </c>
      <c r="F35" s="275">
        <f>F30*Parametre!E121/1000</f>
        <v>0</v>
      </c>
      <c r="G35" s="275">
        <f>G30*Parametre!F121/1000</f>
        <v>28466.257010171757</v>
      </c>
      <c r="H35" s="275">
        <f>H30*Parametre!G121/1000</f>
        <v>58456.046292514256</v>
      </c>
      <c r="I35" s="275">
        <f>I30*Parametre!H121/1000</f>
        <v>73950.883738428733</v>
      </c>
      <c r="J35" s="275">
        <f>J30*Parametre!I121/1000</f>
        <v>78771.059407615423</v>
      </c>
      <c r="K35" s="275">
        <f>K30*Parametre!J121/1000</f>
        <v>86583.668381833675</v>
      </c>
      <c r="L35" s="275">
        <f>L30*Parametre!K121/1000</f>
        <v>93885.963083244656</v>
      </c>
      <c r="M35" s="275">
        <f>M30*Parametre!L121/1000</f>
        <v>100107.28400530368</v>
      </c>
      <c r="N35" s="275">
        <f>N30*Parametre!M121/1000</f>
        <v>106624.74757773317</v>
      </c>
      <c r="O35" s="275">
        <f>O30*Parametre!N121/1000</f>
        <v>112746.429651898</v>
      </c>
      <c r="P35" s="275">
        <f>P30*Parametre!O121/1000</f>
        <v>118282.02516630459</v>
      </c>
      <c r="Q35" s="275">
        <f>Q30*Parametre!P121/1000</f>
        <v>123447.96439578178</v>
      </c>
      <c r="R35" s="275">
        <f>R30*Parametre!Q121/1000</f>
        <v>128257.98557656657</v>
      </c>
      <c r="S35" s="275">
        <f>S30*Parametre!R121/1000</f>
        <v>131095.37111748819</v>
      </c>
      <c r="T35" s="275">
        <f>T30*Parametre!S121/1000</f>
        <v>133458.75200337308</v>
      </c>
      <c r="U35" s="275">
        <f>U30*Parametre!T121/1000</f>
        <v>135356.65759167471</v>
      </c>
      <c r="V35" s="275">
        <f>V30*Parametre!U121/1000</f>
        <v>136805.87972637438</v>
      </c>
      <c r="W35" s="275">
        <f>W30*Parametre!V121/1000</f>
        <v>137774.78361840342</v>
      </c>
      <c r="X35" s="275">
        <f>X30*Parametre!W121/1000</f>
        <v>138302.10271345716</v>
      </c>
      <c r="Y35" s="275">
        <f>Y30*Parametre!X121/1000</f>
        <v>138338.06185193852</v>
      </c>
      <c r="Z35" s="275">
        <f>Z30*Parametre!Y121/1000</f>
        <v>138156.02170984313</v>
      </c>
      <c r="AA35" s="275">
        <f>AA30*Parametre!Z121/1000</f>
        <v>137483.90785557288</v>
      </c>
      <c r="AB35" s="275">
        <f>AB30*Parametre!AA121/1000</f>
        <v>136366.82165938977</v>
      </c>
      <c r="AC35" s="275">
        <f>AC30*Parametre!AB121/1000</f>
        <v>134786.82196307564</v>
      </c>
      <c r="AD35" s="275">
        <f>AD30*Parametre!AC121/1000</f>
        <v>132699.05685222222</v>
      </c>
      <c r="AE35" s="275">
        <f>AE30*Parametre!AD121/1000</f>
        <v>127099.84415716164</v>
      </c>
      <c r="AF35" s="275">
        <f>AF30*Parametre!AE121/1000</f>
        <v>121286.49474582626</v>
      </c>
      <c r="AG35" s="275">
        <f>AG30*Parametre!AF121/1000</f>
        <v>115401.15665789484</v>
      </c>
      <c r="AH35" s="275">
        <f>AH30*Parametre!AG121/1000</f>
        <v>109393.90344111394</v>
      </c>
      <c r="AI35" s="275">
        <f>AI30*Parametre!AH121/1000</f>
        <v>103312.79383826313</v>
      </c>
      <c r="AJ35" s="275">
        <f>AJ30*Parametre!AI121/1000</f>
        <v>97107.178760369512</v>
      </c>
      <c r="AK35" s="275">
        <f>AK30*Parametre!AJ121/1000</f>
        <v>90825.890421483011</v>
      </c>
      <c r="AL35" s="275">
        <f>AL30*Parametre!AK121/1000</f>
        <v>84417.546707715199</v>
      </c>
      <c r="AM35" s="275">
        <f>AM30*Parametre!AL121/1000</f>
        <v>77931.763120886128</v>
      </c>
      <c r="AN35" s="275">
        <f>AN30*Parametre!AM121/1000</f>
        <v>71316.414296445466</v>
      </c>
      <c r="AO35" s="275">
        <f>AO30*Parametre!AN121/1000</f>
        <v>64621.908682796027</v>
      </c>
      <c r="AP35" s="275">
        <f>AP30*Parametre!AO121/1000</f>
        <v>57841.375693958144</v>
      </c>
      <c r="AQ35" s="275">
        <f>AQ30*Parametre!AP121/1000</f>
        <v>56369.407325206805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9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E4C6-FFF8-4999-AF9D-5D253DA53773}">
  <sheetPr>
    <tabColor theme="7" tint="0.59999389629810485"/>
  </sheetPr>
  <dimension ref="B2:AQ15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52.85546875" style="231" bestFit="1" customWidth="1"/>
    <col min="3" max="3" width="8.42578125" style="231" bestFit="1" customWidth="1"/>
    <col min="4" max="6" width="4.42578125" style="231" bestFit="1" customWidth="1"/>
    <col min="7" max="34" width="7" style="231" bestFit="1" customWidth="1"/>
    <col min="35" max="43" width="6.140625" style="231" bestFit="1" customWidth="1"/>
    <col min="44" max="16384" width="9.140625" style="231"/>
  </cols>
  <sheetData>
    <row r="2" spans="2:43" ht="17.45" customHeight="1" x14ac:dyDescent="0.2">
      <c r="B2" s="723" t="s">
        <v>637</v>
      </c>
      <c r="C2" s="723"/>
      <c r="D2" s="723"/>
      <c r="E2" s="723"/>
      <c r="F2" s="723"/>
      <c r="G2" s="723"/>
      <c r="H2" s="723"/>
      <c r="I2" s="723"/>
      <c r="J2" s="723"/>
      <c r="K2" s="723"/>
    </row>
    <row r="4" spans="2:43" x14ac:dyDescent="0.2">
      <c r="B4" s="358" t="s">
        <v>636</v>
      </c>
      <c r="C4" s="359"/>
      <c r="D4" s="256" t="s">
        <v>10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</row>
    <row r="5" spans="2:43" x14ac:dyDescent="0.2">
      <c r="B5" s="259" t="s">
        <v>33</v>
      </c>
      <c r="C5" s="361"/>
      <c r="D5" s="256">
        <v>1</v>
      </c>
      <c r="E5" s="256">
        <v>2</v>
      </c>
      <c r="F5" s="256">
        <v>3</v>
      </c>
      <c r="G5" s="256">
        <v>4</v>
      </c>
      <c r="H5" s="256">
        <v>5</v>
      </c>
      <c r="I5" s="256">
        <v>6</v>
      </c>
      <c r="J5" s="256">
        <v>7</v>
      </c>
      <c r="K5" s="256">
        <v>8</v>
      </c>
      <c r="L5" s="256">
        <v>9</v>
      </c>
      <c r="M5" s="256">
        <v>10</v>
      </c>
      <c r="N5" s="256">
        <v>11</v>
      </c>
      <c r="O5" s="256">
        <v>12</v>
      </c>
      <c r="P5" s="256">
        <v>13</v>
      </c>
      <c r="Q5" s="256">
        <v>14</v>
      </c>
      <c r="R5" s="256">
        <v>15</v>
      </c>
      <c r="S5" s="256">
        <v>16</v>
      </c>
      <c r="T5" s="256">
        <v>17</v>
      </c>
      <c r="U5" s="256">
        <v>18</v>
      </c>
      <c r="V5" s="256">
        <v>19</v>
      </c>
      <c r="W5" s="256">
        <v>20</v>
      </c>
      <c r="X5" s="256">
        <v>21</v>
      </c>
      <c r="Y5" s="256">
        <v>22</v>
      </c>
      <c r="Z5" s="256">
        <v>23</v>
      </c>
      <c r="AA5" s="256">
        <v>24</v>
      </c>
      <c r="AB5" s="256">
        <v>25</v>
      </c>
      <c r="AC5" s="256">
        <v>26</v>
      </c>
      <c r="AD5" s="256">
        <v>27</v>
      </c>
      <c r="AE5" s="256">
        <v>28</v>
      </c>
      <c r="AF5" s="256">
        <v>29</v>
      </c>
      <c r="AG5" s="256">
        <v>30</v>
      </c>
      <c r="AH5" s="256">
        <v>31</v>
      </c>
      <c r="AI5" s="256">
        <v>32</v>
      </c>
      <c r="AJ5" s="256">
        <v>33</v>
      </c>
      <c r="AK5" s="256">
        <v>34</v>
      </c>
      <c r="AL5" s="256">
        <v>35</v>
      </c>
      <c r="AM5" s="256">
        <v>36</v>
      </c>
      <c r="AN5" s="256">
        <v>37</v>
      </c>
      <c r="AO5" s="256">
        <v>38</v>
      </c>
      <c r="AP5" s="256">
        <v>39</v>
      </c>
      <c r="AQ5" s="256">
        <v>40</v>
      </c>
    </row>
    <row r="6" spans="2:43" x14ac:dyDescent="0.2">
      <c r="B6" s="405" t="s">
        <v>150</v>
      </c>
      <c r="C6" s="259" t="s">
        <v>9</v>
      </c>
      <c r="D6" s="304">
        <v>2026</v>
      </c>
      <c r="E6" s="304">
        <f>$D$6+D5</f>
        <v>2027</v>
      </c>
      <c r="F6" s="304">
        <f t="shared" ref="F6:AN6" si="0">$D$6+E5</f>
        <v>2028</v>
      </c>
      <c r="G6" s="304">
        <f t="shared" si="0"/>
        <v>2029</v>
      </c>
      <c r="H6" s="304">
        <f t="shared" si="0"/>
        <v>2030</v>
      </c>
      <c r="I6" s="304">
        <f t="shared" si="0"/>
        <v>2031</v>
      </c>
      <c r="J6" s="304">
        <f t="shared" si="0"/>
        <v>2032</v>
      </c>
      <c r="K6" s="304">
        <f t="shared" si="0"/>
        <v>2033</v>
      </c>
      <c r="L6" s="304">
        <f t="shared" si="0"/>
        <v>2034</v>
      </c>
      <c r="M6" s="304">
        <f t="shared" si="0"/>
        <v>2035</v>
      </c>
      <c r="N6" s="304">
        <f t="shared" si="0"/>
        <v>2036</v>
      </c>
      <c r="O6" s="304">
        <f t="shared" si="0"/>
        <v>2037</v>
      </c>
      <c r="P6" s="304">
        <f t="shared" si="0"/>
        <v>2038</v>
      </c>
      <c r="Q6" s="304">
        <f t="shared" si="0"/>
        <v>2039</v>
      </c>
      <c r="R6" s="304">
        <f t="shared" si="0"/>
        <v>2040</v>
      </c>
      <c r="S6" s="304">
        <f t="shared" si="0"/>
        <v>2041</v>
      </c>
      <c r="T6" s="304">
        <f t="shared" si="0"/>
        <v>2042</v>
      </c>
      <c r="U6" s="304">
        <f t="shared" si="0"/>
        <v>2043</v>
      </c>
      <c r="V6" s="304">
        <f t="shared" si="0"/>
        <v>2044</v>
      </c>
      <c r="W6" s="304">
        <f t="shared" si="0"/>
        <v>2045</v>
      </c>
      <c r="X6" s="304">
        <f t="shared" si="0"/>
        <v>2046</v>
      </c>
      <c r="Y6" s="304">
        <f t="shared" si="0"/>
        <v>2047</v>
      </c>
      <c r="Z6" s="304">
        <f t="shared" si="0"/>
        <v>2048</v>
      </c>
      <c r="AA6" s="304">
        <f t="shared" si="0"/>
        <v>2049</v>
      </c>
      <c r="AB6" s="304">
        <f t="shared" si="0"/>
        <v>2050</v>
      </c>
      <c r="AC6" s="304">
        <f t="shared" si="0"/>
        <v>2051</v>
      </c>
      <c r="AD6" s="304">
        <f t="shared" si="0"/>
        <v>2052</v>
      </c>
      <c r="AE6" s="304">
        <f t="shared" si="0"/>
        <v>2053</v>
      </c>
      <c r="AF6" s="304">
        <f t="shared" si="0"/>
        <v>2054</v>
      </c>
      <c r="AG6" s="304">
        <f t="shared" si="0"/>
        <v>2055</v>
      </c>
      <c r="AH6" s="304">
        <f t="shared" si="0"/>
        <v>2056</v>
      </c>
      <c r="AI6" s="304">
        <f t="shared" si="0"/>
        <v>2057</v>
      </c>
      <c r="AJ6" s="304">
        <f t="shared" si="0"/>
        <v>2058</v>
      </c>
      <c r="AK6" s="304">
        <f t="shared" si="0"/>
        <v>2059</v>
      </c>
      <c r="AL6" s="304">
        <f t="shared" si="0"/>
        <v>2060</v>
      </c>
      <c r="AM6" s="304">
        <f t="shared" si="0"/>
        <v>2061</v>
      </c>
      <c r="AN6" s="304">
        <f t="shared" si="0"/>
        <v>2062</v>
      </c>
      <c r="AO6" s="304">
        <f t="shared" ref="AO6" si="1">$D$6+AN5</f>
        <v>2063</v>
      </c>
      <c r="AP6" s="304">
        <f t="shared" ref="AP6" si="2">$D$6+AO5</f>
        <v>2064</v>
      </c>
      <c r="AQ6" s="304">
        <f t="shared" ref="AQ6" si="3">$D$6+AP5</f>
        <v>2065</v>
      </c>
    </row>
    <row r="7" spans="2:43" x14ac:dyDescent="0.2">
      <c r="B7" s="362" t="s">
        <v>685</v>
      </c>
      <c r="C7" s="363">
        <f>SUM(D7:AQ7)</f>
        <v>4291964.3316418063</v>
      </c>
      <c r="D7" s="235">
        <f>('08_A Spotr. PHM_E(cesty)NOV200'!D7*Parametre!$C$98*Parametre!$C$229/1000)+('08_A Spotr. PHM_E(cesty)NOV200'!D13*Parametre!$C$99*Parametre!$C$230/1000)</f>
        <v>0</v>
      </c>
      <c r="E7" s="235">
        <f>('08_A Spotr. PHM_E(cesty)NOV200'!E7*Parametre!$C$98*Parametre!$C$229/1000)+('08_A Spotr. PHM_E(cesty)NOV200'!E13*Parametre!$C$99*Parametre!$C$230/1000)</f>
        <v>0</v>
      </c>
      <c r="F7" s="235">
        <f>('08_A Spotr. PHM_E(cesty)NOV200'!F7*Parametre!$C$98*Parametre!$C$229/1000)+('08_A Spotr. PHM_E(cesty)NOV200'!F13*Parametre!$C$99*Parametre!$C$230/1000)</f>
        <v>0</v>
      </c>
      <c r="G7" s="235">
        <f>('08_A Spotr. PHM_E(cesty)NOV200'!G7*Parametre!$C$98*Parametre!$C$229/1000)+('08_A Spotr. PHM_E(cesty)NOV200'!G13*Parametre!$C$99*Parametre!$C$230/1000)</f>
        <v>99215.307431260997</v>
      </c>
      <c r="H7" s="235">
        <f>('08_A Spotr. PHM_E(cesty)NOV200'!H7*Parametre!$C$98*Parametre!$C$229/1000)+('08_A Spotr. PHM_E(cesty)NOV200'!H13*Parametre!$C$99*Parametre!$C$230/1000)</f>
        <v>187337.25988686507</v>
      </c>
      <c r="I7" s="235">
        <f>('08_A Spotr. PHM_E(cesty)NOV200'!I7*Parametre!$C$98*Parametre!$C$229/1000)+('08_A Spotr. PHM_E(cesty)NOV200'!I13*Parametre!$C$99*Parametre!$C$230/1000)</f>
        <v>219029.6091687638</v>
      </c>
      <c r="J7" s="235">
        <f>('08_A Spotr. PHM_E(cesty)NOV200'!J7*Parametre!$C$98*Parametre!$C$229/1000)+('08_A Spotr. PHM_E(cesty)NOV200'!J13*Parametre!$C$99*Parametre!$C$230/1000)</f>
        <v>216555.05073648095</v>
      </c>
      <c r="K7" s="235">
        <f>('08_A Spotr. PHM_E(cesty)NOV200'!K7*Parametre!$C$98*Parametre!$C$229/1000)+('08_A Spotr. PHM_E(cesty)NOV200'!K13*Parametre!$C$99*Parametre!$C$230/1000)</f>
        <v>212940.50984966021</v>
      </c>
      <c r="L7" s="235">
        <f>('08_A Spotr. PHM_E(cesty)NOV200'!L7*Parametre!$C$98*Parametre!$C$229/1000)+('08_A Spotr. PHM_E(cesty)NOV200'!L13*Parametre!$C$99*Parametre!$C$230/1000)</f>
        <v>208471.62490241614</v>
      </c>
      <c r="M7" s="235">
        <f>('08_A Spotr. PHM_E(cesty)NOV200'!M7*Parametre!$C$98*Parametre!$C$229/1000)+('08_A Spotr. PHM_E(cesty)NOV200'!M13*Parametre!$C$99*Parametre!$C$230/1000)</f>
        <v>201910.12829559227</v>
      </c>
      <c r="N7" s="235">
        <f>('08_A Spotr. PHM_E(cesty)NOV200'!N7*Parametre!$C$98*Parametre!$C$229/1000)+('08_A Spotr. PHM_E(cesty)NOV200'!N13*Parametre!$C$99*Parametre!$C$230/1000)</f>
        <v>196973.11598065414</v>
      </c>
      <c r="O7" s="235">
        <f>('08_A Spotr. PHM_E(cesty)NOV200'!O7*Parametre!$C$98*Parametre!$C$229/1000)+('08_A Spotr. PHM_E(cesty)NOV200'!O13*Parametre!$C$99*Parametre!$C$230/1000)</f>
        <v>191891.90019531478</v>
      </c>
      <c r="P7" s="235">
        <f>('08_A Spotr. PHM_E(cesty)NOV200'!P7*Parametre!$C$98*Parametre!$C$229/1000)+('08_A Spotr. PHM_E(cesty)NOV200'!P13*Parametre!$C$99*Parametre!$C$230/1000)</f>
        <v>186714.88771605626</v>
      </c>
      <c r="Q7" s="235">
        <f>('08_A Spotr. PHM_E(cesty)NOV200'!Q7*Parametre!$C$98*Parametre!$C$229/1000)+('08_A Spotr. PHM_E(cesty)NOV200'!Q13*Parametre!$C$99*Parametre!$C$230/1000)</f>
        <v>181389.36561447347</v>
      </c>
      <c r="R7" s="235">
        <f>('08_A Spotr. PHM_E(cesty)NOV200'!R7*Parametre!$C$98*Parametre!$C$229/1000)+('08_A Spotr. PHM_E(cesty)NOV200'!R13*Parametre!$C$99*Parametre!$C$230/1000)</f>
        <v>175964.69956663414</v>
      </c>
      <c r="S7" s="235">
        <f>('08_A Spotr. PHM_E(cesty)NOV200'!S7*Parametre!$C$98*Parametre!$C$229/1000)+('08_A Spotr. PHM_E(cesty)NOV200'!S13*Parametre!$C$99*Parametre!$C$230/1000)</f>
        <v>168362.70167434716</v>
      </c>
      <c r="T7" s="235">
        <f>('08_A Spotr. PHM_E(cesty)NOV200'!T7*Parametre!$C$98*Parametre!$C$229/1000)+('08_A Spotr. PHM_E(cesty)NOV200'!T13*Parametre!$C$99*Parametre!$C$230/1000)</f>
        <v>160816.34185159151</v>
      </c>
      <c r="U7" s="235">
        <f>('08_A Spotr. PHM_E(cesty)NOV200'!U7*Parametre!$C$98*Parametre!$C$229/1000)+('08_A Spotr. PHM_E(cesty)NOV200'!U13*Parametre!$C$99*Parametre!$C$230/1000)</f>
        <v>153273.61194843333</v>
      </c>
      <c r="V7" s="235">
        <f>('08_A Spotr. PHM_E(cesty)NOV200'!V7*Parametre!$C$98*Parametre!$C$229/1000)+('08_A Spotr. PHM_E(cesty)NOV200'!V13*Parametre!$C$99*Parametre!$C$230/1000)</f>
        <v>145786.24000426941</v>
      </c>
      <c r="W7" s="235">
        <f>('08_A Spotr. PHM_E(cesty)NOV200'!W7*Parametre!$C$98*Parametre!$C$229/1000)+('08_A Spotr. PHM_E(cesty)NOV200'!W13*Parametre!$C$99*Parametre!$C$230/1000)</f>
        <v>138302.42580929474</v>
      </c>
      <c r="X7" s="235">
        <f>('08_A Spotr. PHM_E(cesty)NOV200'!X7*Parametre!$C$98*Parametre!$C$229/1000)+('08_A Spotr. PHM_E(cesty)NOV200'!X13*Parametre!$C$99*Parametre!$C$230/1000)</f>
        <v>130873.69081299138</v>
      </c>
      <c r="Y7" s="235">
        <f>('08_A Spotr. PHM_E(cesty)NOV200'!Y7*Parametre!$C$98*Parametre!$C$229/1000)+('08_A Spotr. PHM_E(cesty)NOV200'!Y13*Parametre!$C$99*Parametre!$C$230/1000)</f>
        <v>123448.44191429226</v>
      </c>
      <c r="Z7" s="235">
        <f>('08_A Spotr. PHM_E(cesty)NOV200'!Z7*Parametre!$C$98*Parametre!$C$229/1000)+('08_A Spotr. PHM_E(cesty)NOV200'!Z13*Parametre!$C$99*Parametre!$C$230/1000)</f>
        <v>116077.994797837</v>
      </c>
      <c r="AA7" s="235">
        <f>('08_A Spotr. PHM_E(cesty)NOV200'!AA7*Parametre!$C$98*Parametre!$C$229/1000)+('08_A Spotr. PHM_E(cesty)NOV200'!AA13*Parametre!$C$99*Parametre!$C$230/1000)</f>
        <v>108710.96264323046</v>
      </c>
      <c r="AB7" s="235">
        <f>('08_A Spotr. PHM_E(cesty)NOV200'!AB7*Parametre!$C$98*Parametre!$C$229/1000)+('08_A Spotr. PHM_E(cesty)NOV200'!AB13*Parametre!$C$99*Parametre!$C$230/1000)</f>
        <v>101398.45619204694</v>
      </c>
      <c r="AC7" s="235">
        <f>('08_A Spotr. PHM_E(cesty)NOV200'!AC7*Parametre!$C$98*Parametre!$C$229/1000)+('08_A Spotr. PHM_E(cesty)NOV200'!AC13*Parametre!$C$99*Parametre!$C$230/1000)</f>
        <v>94114.764922817587</v>
      </c>
      <c r="AD7" s="235">
        <f>('08_A Spotr. PHM_E(cesty)NOV200'!AD7*Parametre!$C$98*Parametre!$C$229/1000)+('08_A Spotr. PHM_E(cesty)NOV200'!AD13*Parametre!$C$99*Parametre!$C$230/1000)</f>
        <v>86834.382923516139</v>
      </c>
      <c r="AE7" s="235">
        <f>('08_A Spotr. PHM_E(cesty)NOV200'!AE7*Parametre!$C$98*Parametre!$C$229/1000)+('08_A Spotr. PHM_E(cesty)NOV200'!AE13*Parametre!$C$99*Parametre!$C$230/1000)</f>
        <v>79608.115054673763</v>
      </c>
      <c r="AF7" s="235">
        <f>('08_A Spotr. PHM_E(cesty)NOV200'!AF7*Parametre!$C$98*Parametre!$C$229/1000)+('08_A Spotr. PHM_E(cesty)NOV200'!AF13*Parametre!$C$99*Parametre!$C$230/1000)</f>
        <v>72385.086596376583</v>
      </c>
      <c r="AG7" s="235">
        <f>('08_A Spotr. PHM_E(cesty)NOV200'!AG7*Parametre!$C$98*Parametre!$C$229/1000)+('08_A Spotr. PHM_E(cesty)NOV200'!AG13*Parametre!$C$99*Parametre!$C$230/1000)</f>
        <v>65215.899506204056</v>
      </c>
      <c r="AH7" s="235">
        <f>('08_A Spotr. PHM_E(cesty)NOV200'!AH7*Parametre!$C$98*Parametre!$C$229/1000)+('08_A Spotr. PHM_E(cesty)NOV200'!AH13*Parametre!$C$99*Parametre!$C$230/1000)</f>
        <v>58049.882472667639</v>
      </c>
      <c r="AI7" s="235">
        <f>('08_A Spotr. PHM_E(cesty)NOV200'!AI7*Parametre!$C$98*Parametre!$C$229/1000)+('08_A Spotr. PHM_E(cesty)NOV200'!AI13*Parametre!$C$99*Parametre!$C$230/1000)</f>
        <v>50937.43536074282</v>
      </c>
      <c r="AJ7" s="235">
        <f>('08_A Spotr. PHM_E(cesty)NOV200'!AJ7*Parametre!$C$98*Parametre!$C$229/1000)+('08_A Spotr. PHM_E(cesty)NOV200'!AJ13*Parametre!$C$99*Parametre!$C$230/1000)</f>
        <v>43828.089454094472</v>
      </c>
      <c r="AK7" s="235">
        <f>('08_A Spotr. PHM_E(cesty)NOV200'!AK7*Parametre!$C$98*Parametre!$C$229/1000)+('08_A Spotr. PHM_E(cesty)NOV200'!AK13*Parametre!$C$99*Parametre!$C$230/1000)</f>
        <v>36772.043332205343</v>
      </c>
      <c r="AL7" s="235">
        <f>('08_A Spotr. PHM_E(cesty)NOV200'!AL7*Parametre!$C$98*Parametre!$C$229/1000)+('08_A Spotr. PHM_E(cesty)NOV200'!AL13*Parametre!$C$99*Parametre!$C$230/1000)</f>
        <v>29719.030063873619</v>
      </c>
      <c r="AM7" s="235">
        <f>('08_A Spotr. PHM_E(cesty)NOV200'!AM7*Parametre!$C$98*Parametre!$C$229/1000)+('08_A Spotr. PHM_E(cesty)NOV200'!AM13*Parametre!$C$99*Parametre!$C$230/1000)</f>
        <v>22719.047746977049</v>
      </c>
      <c r="AN7" s="235">
        <f>('08_A Spotr. PHM_E(cesty)NOV200'!AN7*Parametre!$C$98*Parametre!$C$229/1000)+('08_A Spotr. PHM_E(cesty)NOV200'!AN13*Parametre!$C$99*Parametre!$C$230/1000)</f>
        <v>15722.030428665772</v>
      </c>
      <c r="AO7" s="235">
        <f>('08_A Spotr. PHM_E(cesty)NOV200'!AO7*Parametre!$C$98*Parametre!$C$229/1000)+('08_A Spotr. PHM_E(cesty)NOV200'!AO13*Parametre!$C$99*Parametre!$C$230/1000)</f>
        <v>8777.7765258896561</v>
      </c>
      <c r="AP7" s="235">
        <f>('08_A Spotr. PHM_E(cesty)NOV200'!AP7*Parametre!$C$98*Parametre!$C$229/1000)+('08_A Spotr. PHM_E(cesty)NOV200'!AP13*Parametre!$C$99*Parametre!$C$230/1000)</f>
        <v>1836.4202605949004</v>
      </c>
      <c r="AQ7" s="235">
        <f>('08_A Spotr. PHM_E(cesty)NOV200'!AQ7*Parametre!$C$98*Parametre!$C$229/1000)+('08_A Spotr. PHM_E(cesty)NOV200'!AQ13*Parametre!$C$99*Parametre!$C$230/1000)</f>
        <v>0</v>
      </c>
    </row>
    <row r="8" spans="2:43" x14ac:dyDescent="0.2">
      <c r="B8" s="405" t="s">
        <v>151</v>
      </c>
      <c r="C8" s="259" t="s">
        <v>9</v>
      </c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</row>
    <row r="9" spans="2:43" x14ac:dyDescent="0.2">
      <c r="B9" s="362" t="s">
        <v>685</v>
      </c>
      <c r="C9" s="363">
        <f>SUM(D9:AQ9)</f>
        <v>965.14462443350078</v>
      </c>
      <c r="D9" s="235">
        <f>('08_A Spotr. PHM_E(cesty)NOV200'!D7*Parametre!$C$98*Parametre!$D$229/1000)+('08_A Spotr. PHM_E(cesty)NOV200'!D13*Parametre!$C$99*Parametre!$D$230/1000)</f>
        <v>0</v>
      </c>
      <c r="E9" s="235">
        <f>('08_A Spotr. PHM_E(cesty)NOV200'!E7*Parametre!$C$98*Parametre!$D$229/1000)+('08_A Spotr. PHM_E(cesty)NOV200'!E13*Parametre!$C$99*Parametre!$D$230/1000)</f>
        <v>0</v>
      </c>
      <c r="F9" s="235">
        <f>('08_A Spotr. PHM_E(cesty)NOV200'!F7*Parametre!$C$98*Parametre!$D$229/1000)+('08_A Spotr. PHM_E(cesty)NOV200'!F13*Parametre!$C$99*Parametre!$D$230/1000)</f>
        <v>0</v>
      </c>
      <c r="G9" s="235">
        <f>('08_A Spotr. PHM_E(cesty)NOV200'!G7*Parametre!$C$98*Parametre!$D$229/1000)+('08_A Spotr. PHM_E(cesty)NOV200'!G13*Parametre!$C$99*Parametre!$D$230/1000)</f>
        <v>22.310791336928165</v>
      </c>
      <c r="H9" s="235">
        <f>('08_A Spotr. PHM_E(cesty)NOV200'!H7*Parametre!$C$98*Parametre!$D$229/1000)+('08_A Spotr. PHM_E(cesty)NOV200'!H13*Parametre!$C$99*Parametre!$D$230/1000)</f>
        <v>42.126992529489442</v>
      </c>
      <c r="I9" s="235">
        <f>('08_A Spotr. PHM_E(cesty)NOV200'!I7*Parametre!$C$98*Parametre!$D$229/1000)+('08_A Spotr. PHM_E(cesty)NOV200'!I13*Parametre!$C$99*Parametre!$D$230/1000)</f>
        <v>49.253729422336065</v>
      </c>
      <c r="J9" s="235">
        <f>('08_A Spotr. PHM_E(cesty)NOV200'!J7*Parametre!$C$98*Parametre!$D$229/1000)+('08_A Spotr. PHM_E(cesty)NOV200'!J13*Parametre!$C$99*Parametre!$D$230/1000)</f>
        <v>48.697269353188481</v>
      </c>
      <c r="K9" s="235">
        <f>('08_A Spotr. PHM_E(cesty)NOV200'!K7*Parametre!$C$98*Parametre!$D$229/1000)+('08_A Spotr. PHM_E(cesty)NOV200'!K13*Parametre!$C$99*Parametre!$D$230/1000)</f>
        <v>47.884458612663138</v>
      </c>
      <c r="L9" s="235">
        <f>('08_A Spotr. PHM_E(cesty)NOV200'!L7*Parametre!$C$98*Parametre!$D$229/1000)+('08_A Spotr. PHM_E(cesty)NOV200'!L13*Parametre!$C$99*Parametre!$D$230/1000)</f>
        <v>46.879529412239314</v>
      </c>
      <c r="M9" s="235">
        <f>('08_A Spotr. PHM_E(cesty)NOV200'!M7*Parametre!$C$98*Parametre!$D$229/1000)+('08_A Spotr. PHM_E(cesty)NOV200'!M13*Parametre!$C$99*Parametre!$D$230/1000)</f>
        <v>45.404029457212367</v>
      </c>
      <c r="N9" s="235">
        <f>('08_A Spotr. PHM_E(cesty)NOV200'!N7*Parametre!$C$98*Parametre!$D$229/1000)+('08_A Spotr. PHM_E(cesty)NOV200'!N13*Parametre!$C$99*Parametre!$D$230/1000)</f>
        <v>44.293831298901523</v>
      </c>
      <c r="O9" s="235">
        <f>('08_A Spotr. PHM_E(cesty)NOV200'!O7*Parametre!$C$98*Parametre!$D$229/1000)+('08_A Spotr. PHM_E(cesty)NOV200'!O13*Parametre!$C$99*Parametre!$D$230/1000)</f>
        <v>43.151205749883758</v>
      </c>
      <c r="P9" s="235">
        <f>('08_A Spotr. PHM_E(cesty)NOV200'!P7*Parametre!$C$98*Parametre!$D$229/1000)+('08_A Spotr. PHM_E(cesty)NOV200'!P13*Parametre!$C$99*Parametre!$D$230/1000)</f>
        <v>41.987038161596701</v>
      </c>
      <c r="Q9" s="235">
        <f>('08_A Spotr. PHM_E(cesty)NOV200'!Q7*Parametre!$C$98*Parametre!$D$229/1000)+('08_A Spotr. PHM_E(cesty)NOV200'!Q13*Parametre!$C$99*Parametre!$D$230/1000)</f>
        <v>40.789474847579534</v>
      </c>
      <c r="R9" s="235">
        <f>('08_A Spotr. PHM_E(cesty)NOV200'!R7*Parametre!$C$98*Parametre!$D$229/1000)+('08_A Spotr. PHM_E(cesty)NOV200'!R13*Parametre!$C$99*Parametre!$D$230/1000)</f>
        <v>39.56961678938913</v>
      </c>
      <c r="S9" s="235">
        <f>('08_A Spotr. PHM_E(cesty)NOV200'!S7*Parametre!$C$98*Parametre!$D$229/1000)+('08_A Spotr. PHM_E(cesty)NOV200'!S13*Parametre!$C$99*Parametre!$D$230/1000)</f>
        <v>37.860136739286062</v>
      </c>
      <c r="T9" s="235">
        <f>('08_A Spotr. PHM_E(cesty)NOV200'!T7*Parametre!$C$98*Parametre!$D$229/1000)+('08_A Spotr. PHM_E(cesty)NOV200'!T13*Parametre!$C$99*Parametre!$D$230/1000)</f>
        <v>36.163168159356729</v>
      </c>
      <c r="U9" s="235">
        <f>('08_A Spotr. PHM_E(cesty)NOV200'!U7*Parametre!$C$98*Parametre!$D$229/1000)+('08_A Spotr. PHM_E(cesty)NOV200'!U13*Parametre!$C$99*Parametre!$D$230/1000)</f>
        <v>34.46701584841658</v>
      </c>
      <c r="V9" s="235">
        <f>('08_A Spotr. PHM_E(cesty)NOV200'!V7*Parametre!$C$98*Parametre!$D$229/1000)+('08_A Spotr. PHM_E(cesty)NOV200'!V13*Parametre!$C$99*Parametre!$D$230/1000)</f>
        <v>32.783312018501555</v>
      </c>
      <c r="W9" s="235">
        <f>('08_A Spotr. PHM_E(cesty)NOV200'!W7*Parametre!$C$98*Parametre!$D$229/1000)+('08_A Spotr. PHM_E(cesty)NOV200'!W13*Parametre!$C$99*Parametre!$D$230/1000)</f>
        <v>31.100408228437683</v>
      </c>
      <c r="X9" s="235">
        <f>('08_A Spotr. PHM_E(cesty)NOV200'!X7*Parametre!$C$98*Parametre!$D$229/1000)+('08_A Spotr. PHM_E(cesty)NOV200'!X13*Parametre!$C$99*Parametre!$D$230/1000)</f>
        <v>29.429890233876307</v>
      </c>
      <c r="Y9" s="235">
        <f>('08_A Spotr. PHM_E(cesty)NOV200'!Y7*Parametre!$C$98*Parametre!$D$229/1000)+('08_A Spotr. PHM_E(cesty)NOV200'!Y13*Parametre!$C$99*Parametre!$D$230/1000)</f>
        <v>27.760156166697133</v>
      </c>
      <c r="Z9" s="235">
        <f>('08_A Spotr. PHM_E(cesty)NOV200'!Z7*Parametre!$C$98*Parametre!$D$229/1000)+('08_A Spotr. PHM_E(cesty)NOV200'!Z13*Parametre!$C$99*Parametre!$D$230/1000)</f>
        <v>26.102745511702935</v>
      </c>
      <c r="AA9" s="235">
        <f>('08_A Spotr. PHM_E(cesty)NOV200'!AA7*Parametre!$C$98*Parametre!$D$229/1000)+('08_A Spotr. PHM_E(cesty)NOV200'!AA13*Parametre!$C$99*Parametre!$D$230/1000)</f>
        <v>24.446102787617818</v>
      </c>
      <c r="AB9" s="235">
        <f>('08_A Spotr. PHM_E(cesty)NOV200'!AB7*Parametre!$C$98*Parametre!$D$229/1000)+('08_A Spotr. PHM_E(cesty)NOV200'!AB13*Parametre!$C$99*Parametre!$D$230/1000)</f>
        <v>22.801721393191055</v>
      </c>
      <c r="AC9" s="235">
        <f>('08_A Spotr. PHM_E(cesty)NOV200'!AC7*Parametre!$C$98*Parametre!$D$229/1000)+('08_A Spotr. PHM_E(cesty)NOV200'!AC13*Parametre!$C$99*Parametre!$D$230/1000)</f>
        <v>21.163819739930851</v>
      </c>
      <c r="AD9" s="235">
        <f>('08_A Spotr. PHM_E(cesty)NOV200'!AD7*Parametre!$C$98*Parametre!$D$229/1000)+('08_A Spotr. PHM_E(cesty)NOV200'!AD13*Parametre!$C$99*Parametre!$D$230/1000)</f>
        <v>19.52666225037634</v>
      </c>
      <c r="AE9" s="235">
        <f>('08_A Spotr. PHM_E(cesty)NOV200'!AE7*Parametre!$C$98*Parametre!$D$229/1000)+('08_A Spotr. PHM_E(cesty)NOV200'!AE13*Parametre!$C$99*Parametre!$D$230/1000)</f>
        <v>17.901673539050812</v>
      </c>
      <c r="AF9" s="235">
        <f>('08_A Spotr. PHM_E(cesty)NOV200'!AF7*Parametre!$C$98*Parametre!$D$229/1000)+('08_A Spotr. PHM_E(cesty)NOV200'!AF13*Parametre!$C$99*Parametre!$D$230/1000)</f>
        <v>16.277413281978966</v>
      </c>
      <c r="AG9" s="235">
        <f>('08_A Spotr. PHM_E(cesty)NOV200'!AG7*Parametre!$C$98*Parametre!$D$229/1000)+('08_A Spotr. PHM_E(cesty)NOV200'!AG13*Parametre!$C$99*Parametre!$D$230/1000)</f>
        <v>14.665260466395985</v>
      </c>
      <c r="AH9" s="235">
        <f>('08_A Spotr. PHM_E(cesty)NOV200'!AH7*Parametre!$C$98*Parametre!$D$229/1000)+('08_A Spotr. PHM_E(cesty)NOV200'!AH13*Parametre!$C$99*Parametre!$D$230/1000)</f>
        <v>13.053820509281778</v>
      </c>
      <c r="AI9" s="235">
        <f>('08_A Spotr. PHM_E(cesty)NOV200'!AI7*Parametre!$C$98*Parametre!$D$229/1000)+('08_A Spotr. PHM_E(cesty)NOV200'!AI13*Parametre!$C$99*Parametre!$D$230/1000)</f>
        <v>11.454426952808321</v>
      </c>
      <c r="AJ9" s="235">
        <f>('08_A Spotr. PHM_E(cesty)NOV200'!AJ7*Parametre!$C$98*Parametre!$D$229/1000)+('08_A Spotr. PHM_E(cesty)NOV200'!AJ13*Parametre!$C$99*Parametre!$D$230/1000)</f>
        <v>9.8557307720282665</v>
      </c>
      <c r="AK9" s="235">
        <f>('08_A Spotr. PHM_E(cesty)NOV200'!AK7*Parametre!$C$98*Parametre!$D$229/1000)+('08_A Spotr. PHM_E(cesty)NOV200'!AK13*Parametre!$C$99*Parametre!$D$230/1000)</f>
        <v>8.2690202455474768</v>
      </c>
      <c r="AL9" s="235">
        <f>('08_A Spotr. PHM_E(cesty)NOV200'!AL7*Parametre!$C$98*Parametre!$D$229/1000)+('08_A Spotr. PHM_E(cesty)NOV200'!AL13*Parametre!$C$99*Parametre!$D$230/1000)</f>
        <v>6.6829917243401331</v>
      </c>
      <c r="AM9" s="235">
        <f>('08_A Spotr. PHM_E(cesty)NOV200'!AM7*Parametre!$C$98*Parametre!$D$229/1000)+('08_A Spotr. PHM_E(cesty)NOV200'!AM13*Parametre!$C$99*Parametre!$D$230/1000)</f>
        <v>5.1088884042181997</v>
      </c>
      <c r="AN9" s="235">
        <f>('08_A Spotr. PHM_E(cesty)NOV200'!AN7*Parametre!$C$98*Parametre!$D$229/1000)+('08_A Spotr. PHM_E(cesty)NOV200'!AN13*Parametre!$C$99*Parametre!$D$230/1000)</f>
        <v>3.5354518306544662</v>
      </c>
      <c r="AO9" s="235">
        <f>('08_A Spotr. PHM_E(cesty)NOV200'!AO7*Parametre!$C$98*Parametre!$D$229/1000)+('08_A Spotr. PHM_E(cesty)NOV200'!AO13*Parametre!$C$99*Parametre!$D$230/1000)</f>
        <v>1.9738802967172477</v>
      </c>
      <c r="AP9" s="235">
        <f>('08_A Spotr. PHM_E(cesty)NOV200'!AP7*Parametre!$C$98*Parametre!$D$229/1000)+('08_A Spotr. PHM_E(cesty)NOV200'!AP13*Parametre!$C$99*Parametre!$D$230/1000)</f>
        <v>0.41296036168034411</v>
      </c>
      <c r="AQ9" s="235">
        <f>('08_A Spotr. PHM_E(cesty)NOV200'!AQ7*Parametre!$C$98*Parametre!$D$229/1000)+('08_A Spotr. PHM_E(cesty)NOV200'!AQ13*Parametre!$C$99*Parametre!$D$230/1000)</f>
        <v>0</v>
      </c>
    </row>
    <row r="10" spans="2:43" x14ac:dyDescent="0.2">
      <c r="B10" s="405" t="s">
        <v>253</v>
      </c>
      <c r="C10" s="259" t="s">
        <v>9</v>
      </c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</row>
    <row r="11" spans="2:43" x14ac:dyDescent="0.2">
      <c r="B11" s="362" t="s">
        <v>685</v>
      </c>
      <c r="C11" s="363">
        <f>SUM(D11:AQ11)</f>
        <v>208.43153411459463</v>
      </c>
      <c r="D11" s="235">
        <f>('08_A Spotr. PHM_E(cesty)NOV200'!D7*Parametre!$C$98*Parametre!$E$229/1000)+('08_A Spotr. PHM_E(cesty)NOV200'!D13*Parametre!$C$99*Parametre!$E$230/1000)</f>
        <v>0</v>
      </c>
      <c r="E11" s="235">
        <f>('08_A Spotr. PHM_E(cesty)NOV200'!E7*Parametre!$C$98*Parametre!$E$229/1000)+('08_A Spotr. PHM_E(cesty)NOV200'!E13*Parametre!$C$99*Parametre!$E$230/1000)</f>
        <v>0</v>
      </c>
      <c r="F11" s="235">
        <f>('08_A Spotr. PHM_E(cesty)NOV200'!F7*Parametre!$C$98*Parametre!$E$229/1000)+('08_A Spotr. PHM_E(cesty)NOV200'!F13*Parametre!$C$99*Parametre!$E$230/1000)</f>
        <v>0</v>
      </c>
      <c r="G11" s="235">
        <f>('08_A Spotr. PHM_E(cesty)NOV200'!G7*Parametre!$C$98*Parametre!$E$229/1000)+('08_A Spotr. PHM_E(cesty)NOV200'!G13*Parametre!$C$99*Parametre!$E$230/1000)</f>
        <v>4.8182130925674054</v>
      </c>
      <c r="H11" s="235">
        <f>('08_A Spotr. PHM_E(cesty)NOV200'!H7*Parametre!$C$98*Parametre!$E$229/1000)+('08_A Spotr. PHM_E(cesty)NOV200'!H13*Parametre!$C$99*Parametre!$E$230/1000)</f>
        <v>9.0976973380641155</v>
      </c>
      <c r="I11" s="235">
        <f>('08_A Spotr. PHM_E(cesty)NOV200'!I7*Parametre!$C$98*Parametre!$E$229/1000)+('08_A Spotr. PHM_E(cesty)NOV200'!I13*Parametre!$C$99*Parametre!$E$230/1000)</f>
        <v>10.636779322465149</v>
      </c>
      <c r="J11" s="235">
        <f>('08_A Spotr. PHM_E(cesty)NOV200'!J7*Parametre!$C$98*Parametre!$E$229/1000)+('08_A Spotr. PHM_E(cesty)NOV200'!J13*Parametre!$C$99*Parametre!$E$230/1000)</f>
        <v>10.516606839554596</v>
      </c>
      <c r="K11" s="235">
        <f>('08_A Spotr. PHM_E(cesty)NOV200'!K7*Parametre!$C$98*Parametre!$E$229/1000)+('08_A Spotr. PHM_E(cesty)NOV200'!K13*Parametre!$C$99*Parametre!$E$230/1000)</f>
        <v>10.341073157551286</v>
      </c>
      <c r="L11" s="235">
        <f>('08_A Spotr. PHM_E(cesty)NOV200'!L7*Parametre!$C$98*Parametre!$E$229/1000)+('08_A Spotr. PHM_E(cesty)NOV200'!L13*Parametre!$C$99*Parametre!$E$230/1000)</f>
        <v>10.12404979170719</v>
      </c>
      <c r="M11" s="235">
        <f>('08_A Spotr. PHM_E(cesty)NOV200'!M7*Parametre!$C$98*Parametre!$E$229/1000)+('08_A Spotr. PHM_E(cesty)NOV200'!M13*Parametre!$C$99*Parametre!$E$230/1000)</f>
        <v>9.8054025015222646</v>
      </c>
      <c r="N11" s="235">
        <f>('08_A Spotr. PHM_E(cesty)NOV200'!N7*Parametre!$C$98*Parametre!$E$229/1000)+('08_A Spotr. PHM_E(cesty)NOV200'!N13*Parametre!$C$99*Parametre!$E$230/1000)</f>
        <v>9.5656453713991532</v>
      </c>
      <c r="O11" s="235">
        <f>('08_A Spotr. PHM_E(cesty)NOV200'!O7*Parametre!$C$98*Parametre!$E$229/1000)+('08_A Spotr. PHM_E(cesty)NOV200'!O13*Parametre!$C$99*Parametre!$E$230/1000)</f>
        <v>9.3188852589029629</v>
      </c>
      <c r="P11" s="235">
        <f>('08_A Spotr. PHM_E(cesty)NOV200'!P7*Parametre!$C$98*Parametre!$E$229/1000)+('08_A Spotr. PHM_E(cesty)NOV200'!P13*Parametre!$C$99*Parametre!$E$230/1000)</f>
        <v>9.0674729521353807</v>
      </c>
      <c r="Q11" s="235">
        <f>('08_A Spotr. PHM_E(cesty)NOV200'!Q7*Parametre!$C$98*Parametre!$E$229/1000)+('08_A Spotr. PHM_E(cesty)NOV200'!Q13*Parametre!$C$99*Parametre!$E$230/1000)</f>
        <v>8.808848542465725</v>
      </c>
      <c r="R11" s="235">
        <f>('08_A Spotr. PHM_E(cesty)NOV200'!R7*Parametre!$C$98*Parametre!$E$229/1000)+('08_A Spotr. PHM_E(cesty)NOV200'!R13*Parametre!$C$99*Parametre!$E$230/1000)</f>
        <v>8.5454093852306983</v>
      </c>
      <c r="S11" s="235">
        <f>('08_A Spotr. PHM_E(cesty)NOV200'!S7*Parametre!$C$98*Parametre!$E$229/1000)+('08_A Spotr. PHM_E(cesty)NOV200'!S13*Parametre!$C$99*Parametre!$E$230/1000)</f>
        <v>8.1762320201384835</v>
      </c>
      <c r="T11" s="235">
        <f>('08_A Spotr. PHM_E(cesty)NOV200'!T7*Parametre!$C$98*Parametre!$E$229/1000)+('08_A Spotr. PHM_E(cesty)NOV200'!T13*Parametre!$C$99*Parametre!$E$230/1000)</f>
        <v>7.8097566178985911</v>
      </c>
      <c r="U11" s="235">
        <f>('08_A Spotr. PHM_E(cesty)NOV200'!U7*Parametre!$C$98*Parametre!$E$229/1000)+('08_A Spotr. PHM_E(cesty)NOV200'!U13*Parametre!$C$99*Parametre!$E$230/1000)</f>
        <v>7.4434574961801445</v>
      </c>
      <c r="V11" s="235">
        <f>('08_A Spotr. PHM_E(cesty)NOV200'!V7*Parametre!$C$98*Parametre!$E$229/1000)+('08_A Spotr. PHM_E(cesty)NOV200'!V13*Parametre!$C$99*Parametre!$E$230/1000)</f>
        <v>7.0798467342492151</v>
      </c>
      <c r="W11" s="235">
        <f>('08_A Spotr. PHM_E(cesty)NOV200'!W7*Parametre!$C$98*Parametre!$E$229/1000)+('08_A Spotr. PHM_E(cesty)NOV200'!W13*Parametre!$C$99*Parametre!$E$230/1000)</f>
        <v>6.7164087480135608</v>
      </c>
      <c r="X11" s="235">
        <f>('08_A Spotr. PHM_E(cesty)NOV200'!X7*Parametre!$C$98*Parametre!$E$229/1000)+('08_A Spotr. PHM_E(cesty)NOV200'!X13*Parametre!$C$99*Parametre!$E$230/1000)</f>
        <v>6.3556455840713335</v>
      </c>
      <c r="Y11" s="235">
        <f>('08_A Spotr. PHM_E(cesty)NOV200'!Y7*Parametre!$C$98*Parametre!$E$229/1000)+('08_A Spotr. PHM_E(cesty)NOV200'!Y13*Parametre!$C$99*Parametre!$E$230/1000)</f>
        <v>5.9950517161939318</v>
      </c>
      <c r="Z11" s="235">
        <f>('08_A Spotr. PHM_E(cesty)NOV200'!Z7*Parametre!$C$98*Parametre!$E$229/1000)+('08_A Spotr. PHM_E(cesty)NOV200'!Z13*Parametre!$C$99*Parametre!$E$230/1000)</f>
        <v>5.6371191983797413</v>
      </c>
      <c r="AA11" s="235">
        <f>('08_A Spotr. PHM_E(cesty)NOV200'!AA7*Parametre!$C$98*Parametre!$E$229/1000)+('08_A Spotr. PHM_E(cesty)NOV200'!AA13*Parametre!$C$99*Parametre!$E$230/1000)</f>
        <v>5.2793525220502557</v>
      </c>
      <c r="AB11" s="235">
        <f>('08_A Spotr. PHM_E(cesty)NOV200'!AB7*Parametre!$C$98*Parametre!$E$229/1000)+('08_A Spotr. PHM_E(cesty)NOV200'!AB13*Parametre!$C$99*Parametre!$E$230/1000)</f>
        <v>4.9242337885122218</v>
      </c>
      <c r="AC11" s="235">
        <f>('08_A Spotr. PHM_E(cesty)NOV200'!AC7*Parametre!$C$98*Parametre!$E$229/1000)+('08_A Spotr. PHM_E(cesty)NOV200'!AC13*Parametre!$C$99*Parametre!$E$230/1000)</f>
        <v>4.5705144124982517</v>
      </c>
      <c r="AD11" s="235">
        <f>('08_A Spotr. PHM_E(cesty)NOV200'!AD7*Parametre!$C$98*Parametre!$E$229/1000)+('08_A Spotr. PHM_E(cesty)NOV200'!AD13*Parametre!$C$99*Parametre!$E$230/1000)</f>
        <v>4.2169557452308091</v>
      </c>
      <c r="AE11" s="235">
        <f>('08_A Spotr. PHM_E(cesty)NOV200'!AE7*Parametre!$C$98*Parametre!$E$229/1000)+('08_A Spotr. PHM_E(cesty)NOV200'!AE13*Parametre!$C$99*Parametre!$E$230/1000)</f>
        <v>3.8660250334535142</v>
      </c>
      <c r="AF11" s="235">
        <f>('08_A Spotr. PHM_E(cesty)NOV200'!AF7*Parametre!$C$98*Parametre!$E$229/1000)+('08_A Spotr. PHM_E(cesty)NOV200'!AF13*Parametre!$C$99*Parametre!$E$230/1000)</f>
        <v>3.5152516378273786</v>
      </c>
      <c r="AG11" s="235">
        <f>('08_A Spotr. PHM_E(cesty)NOV200'!AG7*Parametre!$C$98*Parametre!$E$229/1000)+('08_A Spotr. PHM_E(cesty)NOV200'!AG13*Parametre!$C$99*Parametre!$E$230/1000)</f>
        <v>3.1670929514788373</v>
      </c>
      <c r="AH11" s="235">
        <f>('08_A Spotr. PHM_E(cesty)NOV200'!AH7*Parametre!$C$98*Parametre!$E$229/1000)+('08_A Spotr. PHM_E(cesty)NOV200'!AH13*Parametre!$C$99*Parametre!$E$230/1000)</f>
        <v>2.8190882132335049</v>
      </c>
      <c r="AI11" s="235">
        <f>('08_A Spotr. PHM_E(cesty)NOV200'!AI7*Parametre!$C$98*Parametre!$E$229/1000)+('08_A Spotr. PHM_E(cesty)NOV200'!AI13*Parametre!$C$99*Parametre!$E$230/1000)</f>
        <v>2.473685001953712</v>
      </c>
      <c r="AJ11" s="235">
        <f>('08_A Spotr. PHM_E(cesty)NOV200'!AJ7*Parametre!$C$98*Parametre!$E$229/1000)+('08_A Spotr. PHM_E(cesty)NOV200'!AJ13*Parametre!$C$99*Parametre!$E$230/1000)</f>
        <v>2.1284323951345892</v>
      </c>
      <c r="AK11" s="235">
        <f>('08_A Spotr. PHM_E(cesty)NOV200'!AK7*Parametre!$C$98*Parametre!$E$229/1000)+('08_A Spotr. PHM_E(cesty)NOV200'!AK13*Parametre!$C$99*Parametre!$E$230/1000)</f>
        <v>1.7857681965702688</v>
      </c>
      <c r="AL11" s="235">
        <f>('08_A Spotr. PHM_E(cesty)NOV200'!AL7*Parametre!$C$98*Parametre!$E$229/1000)+('08_A Spotr. PHM_E(cesty)NOV200'!AL13*Parametre!$C$99*Parametre!$E$230/1000)</f>
        <v>1.4432512830882258</v>
      </c>
      <c r="AM11" s="235">
        <f>('08_A Spotr. PHM_E(cesty)NOV200'!AM7*Parametre!$C$98*Parametre!$E$229/1000)+('08_A Spotr. PHM_E(cesty)NOV200'!AM13*Parametre!$C$99*Parametre!$E$230/1000)</f>
        <v>1.103309722453758</v>
      </c>
      <c r="AN11" s="235">
        <f>('08_A Spotr. PHM_E(cesty)NOV200'!AN7*Parametre!$C$98*Parametre!$E$229/1000)+('08_A Spotr. PHM_E(cesty)NOV200'!AN13*Parametre!$C$99*Parametre!$E$230/1000)</f>
        <v>0.76351215164679731</v>
      </c>
      <c r="AO11" s="235">
        <f>('08_A Spotr. PHM_E(cesty)NOV200'!AO7*Parametre!$C$98*Parametre!$E$229/1000)+('08_A Spotr. PHM_E(cesty)NOV200'!AO13*Parametre!$C$99*Parametre!$E$230/1000)</f>
        <v>0.4262769412872528</v>
      </c>
      <c r="AP11" s="235">
        <f>('08_A Spotr. PHM_E(cesty)NOV200'!AP7*Parametre!$C$98*Parametre!$E$229/1000)+('08_A Spotr. PHM_E(cesty)NOV200'!AP13*Parametre!$C$99*Parametre!$E$230/1000)</f>
        <v>8.9182449484266416E-2</v>
      </c>
      <c r="AQ11" s="235">
        <f>('08_A Spotr. PHM_E(cesty)NOV200'!AQ7*Parametre!$C$98*Parametre!$E$229/1000)+('08_A Spotr. PHM_E(cesty)NOV200'!AQ13*Parametre!$C$99*Parametre!$E$230/1000)</f>
        <v>0</v>
      </c>
    </row>
    <row r="12" spans="2:43" x14ac:dyDescent="0.2">
      <c r="B12" s="405" t="s">
        <v>638</v>
      </c>
      <c r="C12" s="259" t="s">
        <v>9</v>
      </c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</row>
    <row r="13" spans="2:43" x14ac:dyDescent="0.2">
      <c r="B13" s="362" t="s">
        <v>685</v>
      </c>
      <c r="C13" s="363">
        <f>SUM(D13:AQ13)</f>
        <v>868464.74152730568</v>
      </c>
      <c r="D13" s="235">
        <f>'08_A Spotr. PHM_E(cesty)NOV200'!D19*Parametre!$D$112/1000</f>
        <v>0</v>
      </c>
      <c r="E13" s="235">
        <f>'08_A Spotr. PHM_E(cesty)NOV200'!E19*Parametre!$D$112/1000</f>
        <v>0</v>
      </c>
      <c r="F13" s="235">
        <f>'08_A Spotr. PHM_E(cesty)NOV200'!F19*Parametre!$D$112/1000</f>
        <v>0</v>
      </c>
      <c r="G13" s="235">
        <f>'08_A Spotr. PHM_E(cesty)NOV200'!G19*Parametre!$D$112/1000</f>
        <v>1040.5816708419186</v>
      </c>
      <c r="H13" s="235">
        <f>'08_A Spotr. PHM_E(cesty)NOV200'!H19*Parametre!$D$112/1000</f>
        <v>2333.4160613685422</v>
      </c>
      <c r="I13" s="235">
        <f>'08_A Spotr. PHM_E(cesty)NOV200'!I19*Parametre!$D$112/1000</f>
        <v>3412.489009205035</v>
      </c>
      <c r="J13" s="235">
        <f>'08_A Spotr. PHM_E(cesty)NOV200'!J19*Parametre!$D$112/1000</f>
        <v>4282.4177698766271</v>
      </c>
      <c r="K13" s="235">
        <f>'08_A Spotr. PHM_E(cesty)NOV200'!K19*Parametre!$D$112/1000</f>
        <v>5360.8632589666859</v>
      </c>
      <c r="L13" s="235">
        <f>'08_A Spotr. PHM_E(cesty)NOV200'!L19*Parametre!$D$112/1000</f>
        <v>6596.6901860601347</v>
      </c>
      <c r="M13" s="235">
        <f>'08_A Spotr. PHM_E(cesty)NOV200'!M19*Parametre!$D$112/1000</f>
        <v>8211.802540075525</v>
      </c>
      <c r="N13" s="235">
        <f>'08_A Spotr. PHM_E(cesty)NOV200'!N19*Parametre!$D$112/1000</f>
        <v>9540.2502504505519</v>
      </c>
      <c r="O13" s="235">
        <f>'08_A Spotr. PHM_E(cesty)NOV200'!O19*Parametre!$D$112/1000</f>
        <v>10898.973767087793</v>
      </c>
      <c r="P13" s="235">
        <f>'08_A Spotr. PHM_E(cesty)NOV200'!P19*Parametre!$D$112/1000</f>
        <v>12279.344416400931</v>
      </c>
      <c r="Q13" s="235">
        <f>'08_A Spotr. PHM_E(cesty)NOV200'!Q19*Parametre!$D$112/1000</f>
        <v>13690.85162708174</v>
      </c>
      <c r="R13" s="235">
        <f>'08_A Spotr. PHM_E(cesty)NOV200'!R19*Parametre!$D$112/1000</f>
        <v>15124.695811318827</v>
      </c>
      <c r="S13" s="235">
        <f>'08_A Spotr. PHM_E(cesty)NOV200'!S19*Parametre!$D$112/1000</f>
        <v>16393.444122069799</v>
      </c>
      <c r="T13" s="235">
        <f>'08_A Spotr. PHM_E(cesty)NOV200'!T19*Parametre!$D$112/1000</f>
        <v>17652.410346862725</v>
      </c>
      <c r="U13" s="235">
        <f>'08_A Spotr. PHM_E(cesty)NOV200'!U19*Parametre!$D$112/1000</f>
        <v>18910.912433723926</v>
      </c>
      <c r="V13" s="235">
        <f>'08_A Spotr. PHM_E(cesty)NOV200'!V19*Parametre!$D$112/1000</f>
        <v>20159.681876453855</v>
      </c>
      <c r="W13" s="235">
        <f>'08_A Spotr. PHM_E(cesty)NOV200'!W19*Parametre!$D$112/1000</f>
        <v>21407.999367853277</v>
      </c>
      <c r="X13" s="235">
        <f>'08_A Spotr. PHM_E(cesty)NOV200'!X19*Parametre!$D$112/1000</f>
        <v>22646.633418009631</v>
      </c>
      <c r="Y13" s="235">
        <f>'08_A Spotr. PHM_E(cesty)NOV200'!Y19*Parametre!$D$112/1000</f>
        <v>23884.827613452751</v>
      </c>
      <c r="Z13" s="235">
        <f>'08_A Spotr. PHM_E(cesty)NOV200'!Z19*Parametre!$D$112/1000</f>
        <v>25113.387332722537</v>
      </c>
      <c r="AA13" s="235">
        <f>'08_A Spotr. PHM_E(cesty)NOV200'!AA19*Parametre!$D$112/1000</f>
        <v>26341.519204436961</v>
      </c>
      <c r="AB13" s="235">
        <f>'08_A Spotr. PHM_E(cesty)NOV200'!AB19*Parametre!$D$112/1000</f>
        <v>27560.065328344284</v>
      </c>
      <c r="AC13" s="235">
        <f>'08_A Spotr. PHM_E(cesty)NOV200'!AC19*Parametre!$D$112/1000</f>
        <v>28773.631901679157</v>
      </c>
      <c r="AD13" s="235">
        <f>'08_A Spotr. PHM_E(cesty)NOV200'!AD19*Parametre!$D$112/1000</f>
        <v>29986.788462454286</v>
      </c>
      <c r="AE13" s="235">
        <f>'08_A Spotr. PHM_E(cesty)NOV200'!AE19*Parametre!$D$112/1000</f>
        <v>31190.431917451791</v>
      </c>
      <c r="AF13" s="235">
        <f>'08_A Spotr. PHM_E(cesty)NOV200'!AF19*Parametre!$D$112/1000</f>
        <v>32393.677145712347</v>
      </c>
      <c r="AG13" s="235">
        <f>'08_A Spotr. PHM_E(cesty)NOV200'!AG19*Parametre!$D$112/1000</f>
        <v>33587.457409683782</v>
      </c>
      <c r="AH13" s="235">
        <f>'08_A Spotr. PHM_E(cesty)NOV200'!AH19*Parametre!$D$112/1000</f>
        <v>34780.851145095869</v>
      </c>
      <c r="AI13" s="235">
        <f>'08_A Spotr. PHM_E(cesty)NOV200'!AI19*Parametre!$D$112/1000</f>
        <v>35964.827824865941</v>
      </c>
      <c r="AJ13" s="235">
        <f>'08_A Spotr. PHM_E(cesty)NOV200'!AJ19*Parametre!$D$112/1000</f>
        <v>37148.429587121347</v>
      </c>
      <c r="AK13" s="235">
        <f>'08_A Spotr. PHM_E(cesty)NOV200'!AK19*Parametre!$D$112/1000</f>
        <v>38322.661970632667</v>
      </c>
      <c r="AL13" s="235">
        <f>'08_A Spotr. PHM_E(cesty)NOV200'!AL19*Parametre!$D$112/1000</f>
        <v>39496.530961050572</v>
      </c>
      <c r="AM13" s="235">
        <f>'08_A Spotr. PHM_E(cesty)NOV200'!AM19*Parametre!$D$112/1000</f>
        <v>40661.078018960259</v>
      </c>
      <c r="AN13" s="235">
        <f>'08_A Spotr. PHM_E(cesty)NOV200'!AN19*Parametre!$D$112/1000</f>
        <v>41825.273122081351</v>
      </c>
      <c r="AO13" s="235">
        <f>'08_A Spotr. PHM_E(cesty)NOV200'!AO19*Parametre!$D$112/1000</f>
        <v>42980.193509350123</v>
      </c>
      <c r="AP13" s="235">
        <f>'08_A Spotr. PHM_E(cesty)NOV200'!AP19*Parametre!$D$112/1000</f>
        <v>44134.773294522834</v>
      </c>
      <c r="AQ13" s="235">
        <f>'08_A Spotr. PHM_E(cesty)NOV200'!AQ19*Parametre!$D$112/1000</f>
        <v>44374.877843979222</v>
      </c>
    </row>
    <row r="14" spans="2:43" x14ac:dyDescent="0.2">
      <c r="B14" s="305"/>
      <c r="C14" s="305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305"/>
      <c r="C15" s="306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AQ35"/>
  <sheetViews>
    <sheetView zoomScale="90" zoomScaleNormal="90" workbookViewId="0"/>
  </sheetViews>
  <sheetFormatPr defaultColWidth="9.140625" defaultRowHeight="11.25" x14ac:dyDescent="0.2"/>
  <cols>
    <col min="1" max="1" width="3.85546875" style="30" customWidth="1"/>
    <col min="2" max="2" width="46.42578125" style="30" bestFit="1" customWidth="1"/>
    <col min="3" max="3" width="10.140625" style="30" bestFit="1" customWidth="1"/>
    <col min="4" max="43" width="7.5703125" style="30" bestFit="1" customWidth="1"/>
    <col min="44" max="16384" width="9.140625" style="30"/>
  </cols>
  <sheetData>
    <row r="2" spans="2:43" x14ac:dyDescent="0.2">
      <c r="B2" s="31"/>
      <c r="C2" s="31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" t="s">
        <v>464</v>
      </c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x14ac:dyDescent="0.2">
      <c r="B4" s="34" t="s">
        <v>33</v>
      </c>
      <c r="C4" s="268" t="s">
        <v>9</v>
      </c>
      <c r="D4" s="35">
        <f>Parametre!C13</f>
        <v>2026</v>
      </c>
      <c r="E4" s="35">
        <f>D4+$D$3</f>
        <v>2027</v>
      </c>
      <c r="F4" s="35">
        <f t="shared" ref="F4:AG4" si="0">E4+$D$3</f>
        <v>2028</v>
      </c>
      <c r="G4" s="35">
        <f t="shared" si="0"/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si="0"/>
        <v>2055</v>
      </c>
      <c r="AH4" s="35">
        <f t="shared" ref="AH4" si="1">AG4+$D$3</f>
        <v>2056</v>
      </c>
      <c r="AI4" s="35">
        <f t="shared" ref="AI4" si="2">AH4+$D$3</f>
        <v>2057</v>
      </c>
      <c r="AJ4" s="35">
        <f t="shared" ref="AJ4" si="3">AI4+$D$3</f>
        <v>2058</v>
      </c>
      <c r="AK4" s="35">
        <f t="shared" ref="AK4" si="4">AJ4+$D$3</f>
        <v>2059</v>
      </c>
      <c r="AL4" s="35">
        <f t="shared" ref="AL4" si="5">AK4+$D$3</f>
        <v>2060</v>
      </c>
      <c r="AM4" s="35">
        <f t="shared" ref="AM4" si="6">AL4+$D$3</f>
        <v>2061</v>
      </c>
      <c r="AN4" s="35">
        <f t="shared" ref="AN4" si="7">AM4+$D$3</f>
        <v>2062</v>
      </c>
      <c r="AO4" s="35">
        <f t="shared" ref="AO4" si="8">AN4+$D$3</f>
        <v>2063</v>
      </c>
      <c r="AP4" s="35">
        <f t="shared" ref="AP4" si="9">AO4+$D$3</f>
        <v>2064</v>
      </c>
      <c r="AQ4" s="35">
        <f t="shared" ref="AQ4" si="10">AP4+$D$3</f>
        <v>2065</v>
      </c>
    </row>
    <row r="5" spans="2:43" x14ac:dyDescent="0.2">
      <c r="B5" s="31" t="s">
        <v>288</v>
      </c>
      <c r="C5" s="37">
        <f>SUM(D5:AQ5)</f>
        <v>0</v>
      </c>
      <c r="D5" s="121">
        <v>0</v>
      </c>
      <c r="E5" s="121">
        <v>0</v>
      </c>
      <c r="F5" s="121">
        <v>0</v>
      </c>
      <c r="G5" s="121">
        <v>0</v>
      </c>
      <c r="H5" s="121">
        <v>0</v>
      </c>
      <c r="I5" s="121">
        <v>0</v>
      </c>
      <c r="J5" s="121">
        <v>0</v>
      </c>
      <c r="K5" s="121">
        <v>0</v>
      </c>
      <c r="L5" s="121">
        <v>0</v>
      </c>
      <c r="M5" s="121">
        <v>0</v>
      </c>
      <c r="N5" s="121">
        <v>0</v>
      </c>
      <c r="O5" s="121">
        <v>0</v>
      </c>
      <c r="P5" s="121">
        <v>0</v>
      </c>
      <c r="Q5" s="121">
        <v>0</v>
      </c>
      <c r="R5" s="121">
        <v>0</v>
      </c>
      <c r="S5" s="121">
        <v>0</v>
      </c>
      <c r="T5" s="121">
        <v>0</v>
      </c>
      <c r="U5" s="121">
        <v>0</v>
      </c>
      <c r="V5" s="121">
        <v>0</v>
      </c>
      <c r="W5" s="121">
        <v>0</v>
      </c>
      <c r="X5" s="121">
        <v>0</v>
      </c>
      <c r="Y5" s="121">
        <v>0</v>
      </c>
      <c r="Z5" s="121">
        <v>0</v>
      </c>
      <c r="AA5" s="121">
        <v>0</v>
      </c>
      <c r="AB5" s="121">
        <v>0</v>
      </c>
      <c r="AC5" s="121">
        <v>0</v>
      </c>
      <c r="AD5" s="121">
        <v>0</v>
      </c>
      <c r="AE5" s="121">
        <v>0</v>
      </c>
      <c r="AF5" s="121">
        <v>0</v>
      </c>
      <c r="AG5" s="121">
        <v>0</v>
      </c>
      <c r="AH5" s="121">
        <v>0</v>
      </c>
      <c r="AI5" s="121">
        <v>0</v>
      </c>
      <c r="AJ5" s="121">
        <v>0</v>
      </c>
      <c r="AK5" s="121">
        <v>0</v>
      </c>
      <c r="AL5" s="121">
        <v>0</v>
      </c>
      <c r="AM5" s="121">
        <v>0</v>
      </c>
      <c r="AN5" s="121">
        <v>0</v>
      </c>
      <c r="AO5" s="121">
        <v>0</v>
      </c>
      <c r="AP5" s="121">
        <v>0</v>
      </c>
      <c r="AQ5" s="121">
        <v>0</v>
      </c>
    </row>
    <row r="6" spans="2:43" x14ac:dyDescent="0.2">
      <c r="B6" s="31" t="s">
        <v>289</v>
      </c>
      <c r="C6" s="37">
        <f t="shared" ref="C6:C8" si="11">SUM(D6:AQ6)</f>
        <v>13345332.000000007</v>
      </c>
      <c r="D6" s="121">
        <f>'13a_A Hluk (voz.)NOV200'!D6</f>
        <v>333633.3</v>
      </c>
      <c r="E6" s="121">
        <f>'13a_A Hluk (voz.)NOV200'!E6</f>
        <v>333633.3</v>
      </c>
      <c r="F6" s="121">
        <f>'13a_A Hluk (voz.)NOV200'!F6</f>
        <v>333633.3</v>
      </c>
      <c r="G6" s="121">
        <f>'13a_A Hluk (voz.)NOV200'!G6</f>
        <v>333633.3</v>
      </c>
      <c r="H6" s="121">
        <f>'13a_A Hluk (voz.)NOV200'!H6</f>
        <v>333633.3</v>
      </c>
      <c r="I6" s="121">
        <f>'13a_A Hluk (voz.)NOV200'!I6</f>
        <v>333633.3</v>
      </c>
      <c r="J6" s="121">
        <f>'13a_A Hluk (voz.)NOV200'!J6</f>
        <v>333633.3</v>
      </c>
      <c r="K6" s="121">
        <f>'13a_A Hluk (voz.)NOV200'!K6</f>
        <v>333633.3</v>
      </c>
      <c r="L6" s="121">
        <f>'13a_A Hluk (voz.)NOV200'!L6</f>
        <v>333633.3</v>
      </c>
      <c r="M6" s="121">
        <f>'13a_A Hluk (voz.)NOV200'!M6</f>
        <v>333633.3</v>
      </c>
      <c r="N6" s="121">
        <f>'13a_A Hluk (voz.)NOV200'!N6</f>
        <v>333633.3</v>
      </c>
      <c r="O6" s="121">
        <f>'13a_A Hluk (voz.)NOV200'!O6</f>
        <v>333633.3</v>
      </c>
      <c r="P6" s="121">
        <f>'13a_A Hluk (voz.)NOV200'!P6</f>
        <v>333633.3</v>
      </c>
      <c r="Q6" s="121">
        <f>'13a_A Hluk (voz.)NOV200'!Q6</f>
        <v>333633.3</v>
      </c>
      <c r="R6" s="121">
        <f>'13a_A Hluk (voz.)NOV200'!R6</f>
        <v>333633.3</v>
      </c>
      <c r="S6" s="121">
        <f>'13a_A Hluk (voz.)NOV200'!S6</f>
        <v>333633.3</v>
      </c>
      <c r="T6" s="121">
        <f>'13a_A Hluk (voz.)NOV200'!T6</f>
        <v>333633.3</v>
      </c>
      <c r="U6" s="121">
        <f>'13a_A Hluk (voz.)NOV200'!U6</f>
        <v>333633.3</v>
      </c>
      <c r="V6" s="121">
        <f>'13a_A Hluk (voz.)NOV200'!V6</f>
        <v>333633.3</v>
      </c>
      <c r="W6" s="121">
        <f>'13a_A Hluk (voz.)NOV200'!W6</f>
        <v>333633.3</v>
      </c>
      <c r="X6" s="121">
        <f>'13a_A Hluk (voz.)NOV200'!X6</f>
        <v>333633.3</v>
      </c>
      <c r="Y6" s="121">
        <f>'13a_A Hluk (voz.)NOV200'!Y6</f>
        <v>333633.3</v>
      </c>
      <c r="Z6" s="121">
        <f>'13a_A Hluk (voz.)NOV200'!Z6</f>
        <v>333633.3</v>
      </c>
      <c r="AA6" s="121">
        <f>'13a_A Hluk (voz.)NOV200'!AA6</f>
        <v>333633.3</v>
      </c>
      <c r="AB6" s="121">
        <f>'13a_A Hluk (voz.)NOV200'!AB6</f>
        <v>333633.3</v>
      </c>
      <c r="AC6" s="121">
        <f>'13a_A Hluk (voz.)NOV200'!AC6</f>
        <v>333633.3</v>
      </c>
      <c r="AD6" s="121">
        <f>'13a_A Hluk (voz.)NOV200'!AD6</f>
        <v>333633.3</v>
      </c>
      <c r="AE6" s="121">
        <f>'13a_A Hluk (voz.)NOV200'!AE6</f>
        <v>333633.3</v>
      </c>
      <c r="AF6" s="121">
        <f>'13a_A Hluk (voz.)NOV200'!AF6</f>
        <v>333633.3</v>
      </c>
      <c r="AG6" s="121">
        <f>'13a_A Hluk (voz.)NOV200'!AG6</f>
        <v>333633.3</v>
      </c>
      <c r="AH6" s="121">
        <f>'13a_A Hluk (voz.)NOV200'!AH6</f>
        <v>333633.3</v>
      </c>
      <c r="AI6" s="121">
        <f>'13a_A Hluk (voz.)NOV200'!AI6</f>
        <v>333633.3</v>
      </c>
      <c r="AJ6" s="121">
        <f>'13a_A Hluk (voz.)NOV200'!AJ6</f>
        <v>333633.3</v>
      </c>
      <c r="AK6" s="121">
        <f>'13a_A Hluk (voz.)NOV200'!AK6</f>
        <v>333633.3</v>
      </c>
      <c r="AL6" s="121">
        <f>'13a_A Hluk (voz.)NOV200'!AL6</f>
        <v>333633.3</v>
      </c>
      <c r="AM6" s="121">
        <f>'13a_A Hluk (voz.)NOV200'!AM6</f>
        <v>333633.3</v>
      </c>
      <c r="AN6" s="121">
        <f>'13a_A Hluk (voz.)NOV200'!AN6</f>
        <v>333633.3</v>
      </c>
      <c r="AO6" s="121">
        <f>'13a_A Hluk (voz.)NOV200'!AO6</f>
        <v>333633.3</v>
      </c>
      <c r="AP6" s="121">
        <f>'13a_A Hluk (voz.)NOV200'!AP6</f>
        <v>333633.3</v>
      </c>
      <c r="AQ6" s="121">
        <f>'13a_A Hluk (voz.)NOV200'!AQ6</f>
        <v>333633.3</v>
      </c>
    </row>
    <row r="7" spans="2:43" x14ac:dyDescent="0.2">
      <c r="B7" s="31" t="s">
        <v>290</v>
      </c>
      <c r="C7" s="37">
        <f t="shared" si="11"/>
        <v>9239076.0000000056</v>
      </c>
      <c r="D7" s="121">
        <f>'13a_A Hluk (voz.)NOV200'!D12</f>
        <v>230976.9</v>
      </c>
      <c r="E7" s="121">
        <f>'13a_A Hluk (voz.)NOV200'!E12</f>
        <v>230976.9</v>
      </c>
      <c r="F7" s="121">
        <f>'13a_A Hluk (voz.)NOV200'!F12</f>
        <v>230976.9</v>
      </c>
      <c r="G7" s="121">
        <f>'13a_A Hluk (voz.)NOV200'!G12</f>
        <v>230976.9</v>
      </c>
      <c r="H7" s="121">
        <f>'13a_A Hluk (voz.)NOV200'!H12</f>
        <v>230976.9</v>
      </c>
      <c r="I7" s="121">
        <f>'13a_A Hluk (voz.)NOV200'!I12</f>
        <v>230976.9</v>
      </c>
      <c r="J7" s="121">
        <f>'13a_A Hluk (voz.)NOV200'!J12</f>
        <v>230976.9</v>
      </c>
      <c r="K7" s="121">
        <f>'13a_A Hluk (voz.)NOV200'!K12</f>
        <v>230976.9</v>
      </c>
      <c r="L7" s="121">
        <f>'13a_A Hluk (voz.)NOV200'!L12</f>
        <v>230976.9</v>
      </c>
      <c r="M7" s="121">
        <f>'13a_A Hluk (voz.)NOV200'!M12</f>
        <v>230976.9</v>
      </c>
      <c r="N7" s="121">
        <f>'13a_A Hluk (voz.)NOV200'!N12</f>
        <v>230976.9</v>
      </c>
      <c r="O7" s="121">
        <f>'13a_A Hluk (voz.)NOV200'!O12</f>
        <v>230976.9</v>
      </c>
      <c r="P7" s="121">
        <f>'13a_A Hluk (voz.)NOV200'!P12</f>
        <v>230976.9</v>
      </c>
      <c r="Q7" s="121">
        <f>'13a_A Hluk (voz.)NOV200'!Q12</f>
        <v>230976.9</v>
      </c>
      <c r="R7" s="121">
        <f>'13a_A Hluk (voz.)NOV200'!R12</f>
        <v>230976.9</v>
      </c>
      <c r="S7" s="121">
        <f>'13a_A Hluk (voz.)NOV200'!S12</f>
        <v>230976.9</v>
      </c>
      <c r="T7" s="121">
        <f>'13a_A Hluk (voz.)NOV200'!T12</f>
        <v>230976.9</v>
      </c>
      <c r="U7" s="121">
        <f>'13a_A Hluk (voz.)NOV200'!U12</f>
        <v>230976.9</v>
      </c>
      <c r="V7" s="121">
        <f>'13a_A Hluk (voz.)NOV200'!V12</f>
        <v>230976.9</v>
      </c>
      <c r="W7" s="121">
        <f>'13a_A Hluk (voz.)NOV200'!W12</f>
        <v>230976.9</v>
      </c>
      <c r="X7" s="121">
        <f>'13a_A Hluk (voz.)NOV200'!X12</f>
        <v>230976.9</v>
      </c>
      <c r="Y7" s="121">
        <f>'13a_A Hluk (voz.)NOV200'!Y12</f>
        <v>230976.9</v>
      </c>
      <c r="Z7" s="121">
        <f>'13a_A Hluk (voz.)NOV200'!Z12</f>
        <v>230976.9</v>
      </c>
      <c r="AA7" s="121">
        <f>'13a_A Hluk (voz.)NOV200'!AA12</f>
        <v>230976.9</v>
      </c>
      <c r="AB7" s="121">
        <f>'13a_A Hluk (voz.)NOV200'!AB12</f>
        <v>230976.9</v>
      </c>
      <c r="AC7" s="121">
        <f>'13a_A Hluk (voz.)NOV200'!AC12</f>
        <v>230976.9</v>
      </c>
      <c r="AD7" s="121">
        <f>'13a_A Hluk (voz.)NOV200'!AD12</f>
        <v>230976.9</v>
      </c>
      <c r="AE7" s="121">
        <f>'13a_A Hluk (voz.)NOV200'!AE12</f>
        <v>230976.9</v>
      </c>
      <c r="AF7" s="121">
        <f>'13a_A Hluk (voz.)NOV200'!AF12</f>
        <v>230976.9</v>
      </c>
      <c r="AG7" s="121">
        <f>'13a_A Hluk (voz.)NOV200'!AG12</f>
        <v>230976.9</v>
      </c>
      <c r="AH7" s="121">
        <f>'13a_A Hluk (voz.)NOV200'!AH12</f>
        <v>230976.9</v>
      </c>
      <c r="AI7" s="121">
        <f>'13a_A Hluk (voz.)NOV200'!AI12</f>
        <v>230976.9</v>
      </c>
      <c r="AJ7" s="121">
        <f>'13a_A Hluk (voz.)NOV200'!AJ12</f>
        <v>230976.9</v>
      </c>
      <c r="AK7" s="121">
        <f>'13a_A Hluk (voz.)NOV200'!AK12</f>
        <v>230976.9</v>
      </c>
      <c r="AL7" s="121">
        <f>'13a_A Hluk (voz.)NOV200'!AL12</f>
        <v>230976.9</v>
      </c>
      <c r="AM7" s="121">
        <f>'13a_A Hluk (voz.)NOV200'!AM12</f>
        <v>230976.9</v>
      </c>
      <c r="AN7" s="121">
        <f>'13a_A Hluk (voz.)NOV200'!AN12</f>
        <v>230976.9</v>
      </c>
      <c r="AO7" s="121">
        <f>'13a_A Hluk (voz.)NOV200'!AO12</f>
        <v>230976.9</v>
      </c>
      <c r="AP7" s="121">
        <f>'13a_A Hluk (voz.)NOV200'!AP12</f>
        <v>230976.9</v>
      </c>
      <c r="AQ7" s="121">
        <f>'13a_A Hluk (voz.)NOV200'!AQ12</f>
        <v>230976.9</v>
      </c>
    </row>
    <row r="8" spans="2:43" x14ac:dyDescent="0.2">
      <c r="B8" s="32" t="s">
        <v>9</v>
      </c>
      <c r="C8" s="122">
        <f t="shared" si="11"/>
        <v>22584407.999999985</v>
      </c>
      <c r="D8" s="122">
        <f t="shared" ref="D8:AG8" si="12">SUM(D5:D7)</f>
        <v>564610.19999999995</v>
      </c>
      <c r="E8" s="122">
        <f t="shared" si="12"/>
        <v>564610.19999999995</v>
      </c>
      <c r="F8" s="122">
        <f t="shared" si="12"/>
        <v>564610.19999999995</v>
      </c>
      <c r="G8" s="122">
        <f t="shared" si="12"/>
        <v>564610.19999999995</v>
      </c>
      <c r="H8" s="122">
        <f t="shared" si="12"/>
        <v>564610.19999999995</v>
      </c>
      <c r="I8" s="122">
        <f t="shared" si="12"/>
        <v>564610.19999999995</v>
      </c>
      <c r="J8" s="122">
        <f t="shared" si="12"/>
        <v>564610.19999999995</v>
      </c>
      <c r="K8" s="122">
        <f t="shared" si="12"/>
        <v>564610.19999999995</v>
      </c>
      <c r="L8" s="122">
        <f t="shared" si="12"/>
        <v>564610.19999999995</v>
      </c>
      <c r="M8" s="122">
        <f t="shared" si="12"/>
        <v>564610.19999999995</v>
      </c>
      <c r="N8" s="122">
        <f t="shared" si="12"/>
        <v>564610.19999999995</v>
      </c>
      <c r="O8" s="122">
        <f t="shared" si="12"/>
        <v>564610.19999999995</v>
      </c>
      <c r="P8" s="122">
        <f t="shared" si="12"/>
        <v>564610.19999999995</v>
      </c>
      <c r="Q8" s="122">
        <f t="shared" si="12"/>
        <v>564610.19999999995</v>
      </c>
      <c r="R8" s="122">
        <f t="shared" si="12"/>
        <v>564610.19999999995</v>
      </c>
      <c r="S8" s="122">
        <f t="shared" si="12"/>
        <v>564610.19999999995</v>
      </c>
      <c r="T8" s="122">
        <f t="shared" si="12"/>
        <v>564610.19999999995</v>
      </c>
      <c r="U8" s="122">
        <f t="shared" si="12"/>
        <v>564610.19999999995</v>
      </c>
      <c r="V8" s="122">
        <f t="shared" si="12"/>
        <v>564610.19999999995</v>
      </c>
      <c r="W8" s="122">
        <f t="shared" si="12"/>
        <v>564610.19999999995</v>
      </c>
      <c r="X8" s="122">
        <f t="shared" si="12"/>
        <v>564610.19999999995</v>
      </c>
      <c r="Y8" s="122">
        <f t="shared" si="12"/>
        <v>564610.19999999995</v>
      </c>
      <c r="Z8" s="122">
        <f t="shared" si="12"/>
        <v>564610.19999999995</v>
      </c>
      <c r="AA8" s="122">
        <f t="shared" si="12"/>
        <v>564610.19999999995</v>
      </c>
      <c r="AB8" s="122">
        <f t="shared" si="12"/>
        <v>564610.19999999995</v>
      </c>
      <c r="AC8" s="122">
        <f t="shared" si="12"/>
        <v>564610.19999999995</v>
      </c>
      <c r="AD8" s="122">
        <f t="shared" si="12"/>
        <v>564610.19999999995</v>
      </c>
      <c r="AE8" s="122">
        <f t="shared" si="12"/>
        <v>564610.19999999995</v>
      </c>
      <c r="AF8" s="122">
        <f t="shared" si="12"/>
        <v>564610.19999999995</v>
      </c>
      <c r="AG8" s="122">
        <f t="shared" si="12"/>
        <v>564610.19999999995</v>
      </c>
      <c r="AH8" s="122">
        <f t="shared" ref="AH8:AN8" si="13">SUM(AH5:AH7)</f>
        <v>564610.19999999995</v>
      </c>
      <c r="AI8" s="122">
        <f t="shared" si="13"/>
        <v>564610.19999999995</v>
      </c>
      <c r="AJ8" s="122">
        <f t="shared" si="13"/>
        <v>564610.19999999995</v>
      </c>
      <c r="AK8" s="122">
        <f t="shared" si="13"/>
        <v>564610.19999999995</v>
      </c>
      <c r="AL8" s="122">
        <f t="shared" si="13"/>
        <v>564610.19999999995</v>
      </c>
      <c r="AM8" s="122">
        <f t="shared" si="13"/>
        <v>564610.19999999995</v>
      </c>
      <c r="AN8" s="122">
        <f t="shared" si="13"/>
        <v>564610.19999999995</v>
      </c>
      <c r="AO8" s="122">
        <f t="shared" ref="AO8:AQ8" si="14">SUM(AO5:AO7)</f>
        <v>564610.19999999995</v>
      </c>
      <c r="AP8" s="122">
        <f t="shared" si="14"/>
        <v>564610.19999999995</v>
      </c>
      <c r="AQ8" s="122">
        <f t="shared" si="14"/>
        <v>564610.19999999995</v>
      </c>
    </row>
    <row r="11" spans="2:43" x14ac:dyDescent="0.2">
      <c r="B11" s="31"/>
      <c r="C11" s="31"/>
      <c r="D11" s="31" t="s">
        <v>10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</row>
    <row r="12" spans="2:43" x14ac:dyDescent="0.2">
      <c r="B12" s="32" t="s">
        <v>465</v>
      </c>
      <c r="C12" s="32"/>
      <c r="D12" s="33">
        <v>1</v>
      </c>
      <c r="E12" s="33">
        <v>2</v>
      </c>
      <c r="F12" s="33">
        <v>3</v>
      </c>
      <c r="G12" s="33">
        <v>4</v>
      </c>
      <c r="H12" s="33">
        <v>5</v>
      </c>
      <c r="I12" s="33">
        <v>6</v>
      </c>
      <c r="J12" s="33">
        <v>7</v>
      </c>
      <c r="K12" s="33">
        <v>8</v>
      </c>
      <c r="L12" s="33">
        <v>9</v>
      </c>
      <c r="M12" s="33">
        <v>10</v>
      </c>
      <c r="N12" s="33">
        <v>11</v>
      </c>
      <c r="O12" s="33">
        <v>12</v>
      </c>
      <c r="P12" s="33">
        <v>13</v>
      </c>
      <c r="Q12" s="33">
        <v>14</v>
      </c>
      <c r="R12" s="33">
        <v>15</v>
      </c>
      <c r="S12" s="33">
        <v>16</v>
      </c>
      <c r="T12" s="33">
        <v>17</v>
      </c>
      <c r="U12" s="33">
        <v>18</v>
      </c>
      <c r="V12" s="33">
        <v>19</v>
      </c>
      <c r="W12" s="33">
        <v>20</v>
      </c>
      <c r="X12" s="33">
        <v>21</v>
      </c>
      <c r="Y12" s="33">
        <v>22</v>
      </c>
      <c r="Z12" s="33">
        <v>23</v>
      </c>
      <c r="AA12" s="33">
        <v>24</v>
      </c>
      <c r="AB12" s="33">
        <v>25</v>
      </c>
      <c r="AC12" s="33">
        <v>26</v>
      </c>
      <c r="AD12" s="33">
        <v>27</v>
      </c>
      <c r="AE12" s="33">
        <v>28</v>
      </c>
      <c r="AF12" s="33">
        <v>29</v>
      </c>
      <c r="AG12" s="33">
        <v>30</v>
      </c>
      <c r="AH12" s="33">
        <v>31</v>
      </c>
      <c r="AI12" s="33">
        <v>32</v>
      </c>
      <c r="AJ12" s="33">
        <v>33</v>
      </c>
      <c r="AK12" s="33">
        <v>34</v>
      </c>
      <c r="AL12" s="33">
        <v>35</v>
      </c>
      <c r="AM12" s="33">
        <v>36</v>
      </c>
      <c r="AN12" s="33">
        <v>37</v>
      </c>
      <c r="AO12" s="33">
        <v>38</v>
      </c>
      <c r="AP12" s="33">
        <v>39</v>
      </c>
      <c r="AQ12" s="33">
        <v>40</v>
      </c>
    </row>
    <row r="13" spans="2:43" x14ac:dyDescent="0.2">
      <c r="B13" s="34" t="s">
        <v>34</v>
      </c>
      <c r="C13" s="268" t="s">
        <v>9</v>
      </c>
      <c r="D13" s="35">
        <f t="shared" ref="D13:AG13" si="15">D4</f>
        <v>2026</v>
      </c>
      <c r="E13" s="35">
        <f t="shared" si="15"/>
        <v>2027</v>
      </c>
      <c r="F13" s="35">
        <f t="shared" si="15"/>
        <v>2028</v>
      </c>
      <c r="G13" s="35">
        <f t="shared" si="15"/>
        <v>2029</v>
      </c>
      <c r="H13" s="35">
        <f t="shared" si="15"/>
        <v>2030</v>
      </c>
      <c r="I13" s="35">
        <f t="shared" si="15"/>
        <v>2031</v>
      </c>
      <c r="J13" s="35">
        <f t="shared" si="15"/>
        <v>2032</v>
      </c>
      <c r="K13" s="35">
        <f t="shared" si="15"/>
        <v>2033</v>
      </c>
      <c r="L13" s="35">
        <f t="shared" si="15"/>
        <v>2034</v>
      </c>
      <c r="M13" s="35">
        <f t="shared" si="15"/>
        <v>2035</v>
      </c>
      <c r="N13" s="35">
        <f t="shared" si="15"/>
        <v>2036</v>
      </c>
      <c r="O13" s="35">
        <f t="shared" si="15"/>
        <v>2037</v>
      </c>
      <c r="P13" s="35">
        <f t="shared" si="15"/>
        <v>2038</v>
      </c>
      <c r="Q13" s="35">
        <f t="shared" si="15"/>
        <v>2039</v>
      </c>
      <c r="R13" s="35">
        <f t="shared" si="15"/>
        <v>2040</v>
      </c>
      <c r="S13" s="35">
        <f t="shared" si="15"/>
        <v>2041</v>
      </c>
      <c r="T13" s="35">
        <f t="shared" si="15"/>
        <v>2042</v>
      </c>
      <c r="U13" s="35">
        <f t="shared" si="15"/>
        <v>2043</v>
      </c>
      <c r="V13" s="35">
        <f t="shared" si="15"/>
        <v>2044</v>
      </c>
      <c r="W13" s="35">
        <f t="shared" si="15"/>
        <v>2045</v>
      </c>
      <c r="X13" s="35">
        <f t="shared" si="15"/>
        <v>2046</v>
      </c>
      <c r="Y13" s="35">
        <f t="shared" si="15"/>
        <v>2047</v>
      </c>
      <c r="Z13" s="35">
        <f t="shared" si="15"/>
        <v>2048</v>
      </c>
      <c r="AA13" s="35">
        <f t="shared" si="15"/>
        <v>2049</v>
      </c>
      <c r="AB13" s="35">
        <f t="shared" si="15"/>
        <v>2050</v>
      </c>
      <c r="AC13" s="35">
        <f t="shared" si="15"/>
        <v>2051</v>
      </c>
      <c r="AD13" s="35">
        <f t="shared" si="15"/>
        <v>2052</v>
      </c>
      <c r="AE13" s="35">
        <f t="shared" si="15"/>
        <v>2053</v>
      </c>
      <c r="AF13" s="35">
        <f t="shared" si="15"/>
        <v>2054</v>
      </c>
      <c r="AG13" s="35">
        <f t="shared" si="15"/>
        <v>2055</v>
      </c>
      <c r="AH13" s="35">
        <f t="shared" ref="AH13:AN13" si="16">AH4</f>
        <v>2056</v>
      </c>
      <c r="AI13" s="35">
        <f t="shared" si="16"/>
        <v>2057</v>
      </c>
      <c r="AJ13" s="35">
        <f t="shared" si="16"/>
        <v>2058</v>
      </c>
      <c r="AK13" s="35">
        <f t="shared" si="16"/>
        <v>2059</v>
      </c>
      <c r="AL13" s="35">
        <f t="shared" si="16"/>
        <v>2060</v>
      </c>
      <c r="AM13" s="35">
        <f t="shared" si="16"/>
        <v>2061</v>
      </c>
      <c r="AN13" s="35">
        <f t="shared" si="16"/>
        <v>2062</v>
      </c>
      <c r="AO13" s="35">
        <f t="shared" ref="AO13:AQ13" si="17">AO4</f>
        <v>2063</v>
      </c>
      <c r="AP13" s="35">
        <f t="shared" si="17"/>
        <v>2064</v>
      </c>
      <c r="AQ13" s="35">
        <f t="shared" si="17"/>
        <v>2065</v>
      </c>
    </row>
    <row r="14" spans="2:43" x14ac:dyDescent="0.2">
      <c r="B14" s="31" t="s">
        <v>288</v>
      </c>
      <c r="C14" s="37">
        <f t="shared" ref="C14:C17" si="18">SUM(D14:AQ14)</f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</row>
    <row r="15" spans="2:43" x14ac:dyDescent="0.2">
      <c r="B15" s="31" t="s">
        <v>289</v>
      </c>
      <c r="C15" s="37">
        <f t="shared" si="18"/>
        <v>13345332.000000007</v>
      </c>
      <c r="D15" s="121">
        <f>'13a_A Hluk (voz.)NOV200'!D18</f>
        <v>333633.3</v>
      </c>
      <c r="E15" s="121">
        <f>'13a_A Hluk (voz.)NOV200'!E18</f>
        <v>333633.3</v>
      </c>
      <c r="F15" s="121">
        <f>'13a_A Hluk (voz.)NOV200'!F18</f>
        <v>333633.3</v>
      </c>
      <c r="G15" s="121">
        <f>'13a_A Hluk (voz.)NOV200'!G18</f>
        <v>333633.3</v>
      </c>
      <c r="H15" s="121">
        <f>'13a_A Hluk (voz.)NOV200'!H18</f>
        <v>333633.3</v>
      </c>
      <c r="I15" s="121">
        <f>'13a_A Hluk (voz.)NOV200'!I18</f>
        <v>333633.3</v>
      </c>
      <c r="J15" s="121">
        <f>'13a_A Hluk (voz.)NOV200'!J18</f>
        <v>333633.3</v>
      </c>
      <c r="K15" s="121">
        <f>'13a_A Hluk (voz.)NOV200'!K18</f>
        <v>333633.3</v>
      </c>
      <c r="L15" s="121">
        <f>'13a_A Hluk (voz.)NOV200'!L18</f>
        <v>333633.3</v>
      </c>
      <c r="M15" s="121">
        <f>'13a_A Hluk (voz.)NOV200'!M18</f>
        <v>333633.3</v>
      </c>
      <c r="N15" s="121">
        <f>'13a_A Hluk (voz.)NOV200'!N18</f>
        <v>333633.3</v>
      </c>
      <c r="O15" s="121">
        <f>'13a_A Hluk (voz.)NOV200'!O18</f>
        <v>333633.3</v>
      </c>
      <c r="P15" s="121">
        <f>'13a_A Hluk (voz.)NOV200'!P18</f>
        <v>333633.3</v>
      </c>
      <c r="Q15" s="121">
        <f>'13a_A Hluk (voz.)NOV200'!Q18</f>
        <v>333633.3</v>
      </c>
      <c r="R15" s="121">
        <f>'13a_A Hluk (voz.)NOV200'!R18</f>
        <v>333633.3</v>
      </c>
      <c r="S15" s="121">
        <f>'13a_A Hluk (voz.)NOV200'!S18</f>
        <v>333633.3</v>
      </c>
      <c r="T15" s="121">
        <f>'13a_A Hluk (voz.)NOV200'!T18</f>
        <v>333633.3</v>
      </c>
      <c r="U15" s="121">
        <f>'13a_A Hluk (voz.)NOV200'!U18</f>
        <v>333633.3</v>
      </c>
      <c r="V15" s="121">
        <f>'13a_A Hluk (voz.)NOV200'!V18</f>
        <v>333633.3</v>
      </c>
      <c r="W15" s="121">
        <f>'13a_A Hluk (voz.)NOV200'!W18</f>
        <v>333633.3</v>
      </c>
      <c r="X15" s="121">
        <f>'13a_A Hluk (voz.)NOV200'!X18</f>
        <v>333633.3</v>
      </c>
      <c r="Y15" s="121">
        <f>'13a_A Hluk (voz.)NOV200'!Y18</f>
        <v>333633.3</v>
      </c>
      <c r="Z15" s="121">
        <f>'13a_A Hluk (voz.)NOV200'!Z18</f>
        <v>333633.3</v>
      </c>
      <c r="AA15" s="121">
        <f>'13a_A Hluk (voz.)NOV200'!AA18</f>
        <v>333633.3</v>
      </c>
      <c r="AB15" s="121">
        <f>'13a_A Hluk (voz.)NOV200'!AB18</f>
        <v>333633.3</v>
      </c>
      <c r="AC15" s="121">
        <f>'13a_A Hluk (voz.)NOV200'!AC18</f>
        <v>333633.3</v>
      </c>
      <c r="AD15" s="121">
        <f>'13a_A Hluk (voz.)NOV200'!AD18</f>
        <v>333633.3</v>
      </c>
      <c r="AE15" s="121">
        <f>'13a_A Hluk (voz.)NOV200'!AE18</f>
        <v>333633.3</v>
      </c>
      <c r="AF15" s="121">
        <f>'13a_A Hluk (voz.)NOV200'!AF18</f>
        <v>333633.3</v>
      </c>
      <c r="AG15" s="121">
        <f>'13a_A Hluk (voz.)NOV200'!AG18</f>
        <v>333633.3</v>
      </c>
      <c r="AH15" s="121">
        <f>'13a_A Hluk (voz.)NOV200'!AH18</f>
        <v>333633.3</v>
      </c>
      <c r="AI15" s="121">
        <f>'13a_A Hluk (voz.)NOV200'!AI18</f>
        <v>333633.3</v>
      </c>
      <c r="AJ15" s="121">
        <f>'13a_A Hluk (voz.)NOV200'!AJ18</f>
        <v>333633.3</v>
      </c>
      <c r="AK15" s="121">
        <f>'13a_A Hluk (voz.)NOV200'!AK18</f>
        <v>333633.3</v>
      </c>
      <c r="AL15" s="121">
        <f>'13a_A Hluk (voz.)NOV200'!AL18</f>
        <v>333633.3</v>
      </c>
      <c r="AM15" s="121">
        <f>'13a_A Hluk (voz.)NOV200'!AM18</f>
        <v>333633.3</v>
      </c>
      <c r="AN15" s="121">
        <f>'13a_A Hluk (voz.)NOV200'!AN18</f>
        <v>333633.3</v>
      </c>
      <c r="AO15" s="121">
        <f>'13a_A Hluk (voz.)NOV200'!AO18</f>
        <v>333633.3</v>
      </c>
      <c r="AP15" s="121">
        <f>'13a_A Hluk (voz.)NOV200'!AP18</f>
        <v>333633.3</v>
      </c>
      <c r="AQ15" s="121">
        <f>'13a_A Hluk (voz.)NOV200'!AQ18</f>
        <v>333633.3</v>
      </c>
    </row>
    <row r="16" spans="2:43" x14ac:dyDescent="0.2">
      <c r="B16" s="31" t="s">
        <v>290</v>
      </c>
      <c r="C16" s="37">
        <f t="shared" si="18"/>
        <v>9239076.0000000056</v>
      </c>
      <c r="D16" s="121">
        <f>'13a_A Hluk (voz.)NOV200'!D24</f>
        <v>230976.9</v>
      </c>
      <c r="E16" s="121">
        <f>'13a_A Hluk (voz.)NOV200'!E24</f>
        <v>230976.9</v>
      </c>
      <c r="F16" s="121">
        <f>'13a_A Hluk (voz.)NOV200'!F24</f>
        <v>230976.9</v>
      </c>
      <c r="G16" s="121">
        <f>'13a_A Hluk (voz.)NOV200'!G24</f>
        <v>230976.9</v>
      </c>
      <c r="H16" s="121">
        <f>'13a_A Hluk (voz.)NOV200'!H24</f>
        <v>230976.9</v>
      </c>
      <c r="I16" s="121">
        <f>'13a_A Hluk (voz.)NOV200'!I24</f>
        <v>230976.9</v>
      </c>
      <c r="J16" s="121">
        <f>'13a_A Hluk (voz.)NOV200'!J24</f>
        <v>230976.9</v>
      </c>
      <c r="K16" s="121">
        <f>'13a_A Hluk (voz.)NOV200'!K24</f>
        <v>230976.9</v>
      </c>
      <c r="L16" s="121">
        <f>'13a_A Hluk (voz.)NOV200'!L24</f>
        <v>230976.9</v>
      </c>
      <c r="M16" s="121">
        <f>'13a_A Hluk (voz.)NOV200'!M24</f>
        <v>230976.9</v>
      </c>
      <c r="N16" s="121">
        <f>'13a_A Hluk (voz.)NOV200'!N24</f>
        <v>230976.9</v>
      </c>
      <c r="O16" s="121">
        <f>'13a_A Hluk (voz.)NOV200'!O24</f>
        <v>230976.9</v>
      </c>
      <c r="P16" s="121">
        <f>'13a_A Hluk (voz.)NOV200'!P24</f>
        <v>230976.9</v>
      </c>
      <c r="Q16" s="121">
        <f>'13a_A Hluk (voz.)NOV200'!Q24</f>
        <v>230976.9</v>
      </c>
      <c r="R16" s="121">
        <f>'13a_A Hluk (voz.)NOV200'!R24</f>
        <v>230976.9</v>
      </c>
      <c r="S16" s="121">
        <f>'13a_A Hluk (voz.)NOV200'!S24</f>
        <v>230976.9</v>
      </c>
      <c r="T16" s="121">
        <f>'13a_A Hluk (voz.)NOV200'!T24</f>
        <v>230976.9</v>
      </c>
      <c r="U16" s="121">
        <f>'13a_A Hluk (voz.)NOV200'!U24</f>
        <v>230976.9</v>
      </c>
      <c r="V16" s="121">
        <f>'13a_A Hluk (voz.)NOV200'!V24</f>
        <v>230976.9</v>
      </c>
      <c r="W16" s="121">
        <f>'13a_A Hluk (voz.)NOV200'!W24</f>
        <v>230976.9</v>
      </c>
      <c r="X16" s="121">
        <f>'13a_A Hluk (voz.)NOV200'!X24</f>
        <v>230976.9</v>
      </c>
      <c r="Y16" s="121">
        <f>'13a_A Hluk (voz.)NOV200'!Y24</f>
        <v>230976.9</v>
      </c>
      <c r="Z16" s="121">
        <f>'13a_A Hluk (voz.)NOV200'!Z24</f>
        <v>230976.9</v>
      </c>
      <c r="AA16" s="121">
        <f>'13a_A Hluk (voz.)NOV200'!AA24</f>
        <v>230976.9</v>
      </c>
      <c r="AB16" s="121">
        <f>'13a_A Hluk (voz.)NOV200'!AB24</f>
        <v>230976.9</v>
      </c>
      <c r="AC16" s="121">
        <f>'13a_A Hluk (voz.)NOV200'!AC24</f>
        <v>230976.9</v>
      </c>
      <c r="AD16" s="121">
        <f>'13a_A Hluk (voz.)NOV200'!AD24</f>
        <v>230976.9</v>
      </c>
      <c r="AE16" s="121">
        <f>'13a_A Hluk (voz.)NOV200'!AE24</f>
        <v>230976.9</v>
      </c>
      <c r="AF16" s="121">
        <f>'13a_A Hluk (voz.)NOV200'!AF24</f>
        <v>230976.9</v>
      </c>
      <c r="AG16" s="121">
        <f>'13a_A Hluk (voz.)NOV200'!AG24</f>
        <v>230976.9</v>
      </c>
      <c r="AH16" s="121">
        <f>'13a_A Hluk (voz.)NOV200'!AH24</f>
        <v>230976.9</v>
      </c>
      <c r="AI16" s="121">
        <f>'13a_A Hluk (voz.)NOV200'!AI24</f>
        <v>230976.9</v>
      </c>
      <c r="AJ16" s="121">
        <f>'13a_A Hluk (voz.)NOV200'!AJ24</f>
        <v>230976.9</v>
      </c>
      <c r="AK16" s="121">
        <f>'13a_A Hluk (voz.)NOV200'!AK24</f>
        <v>230976.9</v>
      </c>
      <c r="AL16" s="121">
        <f>'13a_A Hluk (voz.)NOV200'!AL24</f>
        <v>230976.9</v>
      </c>
      <c r="AM16" s="121">
        <f>'13a_A Hluk (voz.)NOV200'!AM24</f>
        <v>230976.9</v>
      </c>
      <c r="AN16" s="121">
        <f>'13a_A Hluk (voz.)NOV200'!AN24</f>
        <v>230976.9</v>
      </c>
      <c r="AO16" s="121">
        <f>'13a_A Hluk (voz.)NOV200'!AO24</f>
        <v>230976.9</v>
      </c>
      <c r="AP16" s="121">
        <f>'13a_A Hluk (voz.)NOV200'!AP24</f>
        <v>230976.9</v>
      </c>
      <c r="AQ16" s="121">
        <f>'13a_A Hluk (voz.)NOV200'!AQ24</f>
        <v>230976.9</v>
      </c>
    </row>
    <row r="17" spans="2:43" x14ac:dyDescent="0.2">
      <c r="B17" s="32" t="s">
        <v>35</v>
      </c>
      <c r="C17" s="122">
        <f t="shared" si="18"/>
        <v>22584407.999999985</v>
      </c>
      <c r="D17" s="122">
        <f t="shared" ref="D17:AG17" si="19">SUM(D14:D16)</f>
        <v>564610.19999999995</v>
      </c>
      <c r="E17" s="122">
        <f t="shared" si="19"/>
        <v>564610.19999999995</v>
      </c>
      <c r="F17" s="122">
        <f t="shared" si="19"/>
        <v>564610.19999999995</v>
      </c>
      <c r="G17" s="122">
        <f t="shared" si="19"/>
        <v>564610.19999999995</v>
      </c>
      <c r="H17" s="122">
        <f t="shared" si="19"/>
        <v>564610.19999999995</v>
      </c>
      <c r="I17" s="122">
        <f t="shared" si="19"/>
        <v>564610.19999999995</v>
      </c>
      <c r="J17" s="122">
        <f t="shared" si="19"/>
        <v>564610.19999999995</v>
      </c>
      <c r="K17" s="122">
        <f t="shared" si="19"/>
        <v>564610.19999999995</v>
      </c>
      <c r="L17" s="122">
        <f t="shared" si="19"/>
        <v>564610.19999999995</v>
      </c>
      <c r="M17" s="122">
        <f t="shared" si="19"/>
        <v>564610.19999999995</v>
      </c>
      <c r="N17" s="122">
        <f t="shared" si="19"/>
        <v>564610.19999999995</v>
      </c>
      <c r="O17" s="122">
        <f t="shared" si="19"/>
        <v>564610.19999999995</v>
      </c>
      <c r="P17" s="122">
        <f t="shared" si="19"/>
        <v>564610.19999999995</v>
      </c>
      <c r="Q17" s="122">
        <f t="shared" si="19"/>
        <v>564610.19999999995</v>
      </c>
      <c r="R17" s="122">
        <f t="shared" si="19"/>
        <v>564610.19999999995</v>
      </c>
      <c r="S17" s="122">
        <f t="shared" si="19"/>
        <v>564610.19999999995</v>
      </c>
      <c r="T17" s="122">
        <f t="shared" si="19"/>
        <v>564610.19999999995</v>
      </c>
      <c r="U17" s="122">
        <f t="shared" si="19"/>
        <v>564610.19999999995</v>
      </c>
      <c r="V17" s="122">
        <f t="shared" si="19"/>
        <v>564610.19999999995</v>
      </c>
      <c r="W17" s="122">
        <f t="shared" si="19"/>
        <v>564610.19999999995</v>
      </c>
      <c r="X17" s="122">
        <f t="shared" si="19"/>
        <v>564610.19999999995</v>
      </c>
      <c r="Y17" s="122">
        <f t="shared" si="19"/>
        <v>564610.19999999995</v>
      </c>
      <c r="Z17" s="122">
        <f t="shared" si="19"/>
        <v>564610.19999999995</v>
      </c>
      <c r="AA17" s="122">
        <f t="shared" si="19"/>
        <v>564610.19999999995</v>
      </c>
      <c r="AB17" s="122">
        <f t="shared" si="19"/>
        <v>564610.19999999995</v>
      </c>
      <c r="AC17" s="122">
        <f t="shared" si="19"/>
        <v>564610.19999999995</v>
      </c>
      <c r="AD17" s="122">
        <f t="shared" si="19"/>
        <v>564610.19999999995</v>
      </c>
      <c r="AE17" s="122">
        <f t="shared" si="19"/>
        <v>564610.19999999995</v>
      </c>
      <c r="AF17" s="122">
        <f t="shared" si="19"/>
        <v>564610.19999999995</v>
      </c>
      <c r="AG17" s="122">
        <f t="shared" si="19"/>
        <v>564610.19999999995</v>
      </c>
      <c r="AH17" s="122">
        <f t="shared" ref="AH17:AN17" si="20">SUM(AH14:AH16)</f>
        <v>564610.19999999995</v>
      </c>
      <c r="AI17" s="122">
        <f t="shared" si="20"/>
        <v>564610.19999999995</v>
      </c>
      <c r="AJ17" s="122">
        <f t="shared" si="20"/>
        <v>564610.19999999995</v>
      </c>
      <c r="AK17" s="122">
        <f t="shared" si="20"/>
        <v>564610.19999999995</v>
      </c>
      <c r="AL17" s="122">
        <f t="shared" si="20"/>
        <v>564610.19999999995</v>
      </c>
      <c r="AM17" s="122">
        <f t="shared" si="20"/>
        <v>564610.19999999995</v>
      </c>
      <c r="AN17" s="122">
        <f t="shared" si="20"/>
        <v>564610.19999999995</v>
      </c>
      <c r="AO17" s="122">
        <f t="shared" ref="AO17:AQ17" si="21">SUM(AO14:AO16)</f>
        <v>564610.19999999995</v>
      </c>
      <c r="AP17" s="122">
        <f t="shared" si="21"/>
        <v>564610.19999999995</v>
      </c>
      <c r="AQ17" s="122">
        <f t="shared" si="21"/>
        <v>564610.19999999995</v>
      </c>
    </row>
    <row r="20" spans="2:43" x14ac:dyDescent="0.2">
      <c r="B20" s="31"/>
      <c r="C20" s="31"/>
      <c r="D20" s="31" t="s">
        <v>10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</row>
    <row r="21" spans="2:43" x14ac:dyDescent="0.2">
      <c r="B21" s="32" t="s">
        <v>466</v>
      </c>
      <c r="C21" s="32"/>
      <c r="D21" s="33">
        <v>1</v>
      </c>
      <c r="E21" s="33">
        <v>2</v>
      </c>
      <c r="F21" s="33">
        <v>3</v>
      </c>
      <c r="G21" s="33">
        <v>4</v>
      </c>
      <c r="H21" s="33">
        <v>5</v>
      </c>
      <c r="I21" s="33">
        <v>6</v>
      </c>
      <c r="J21" s="33">
        <v>7</v>
      </c>
      <c r="K21" s="33">
        <v>8</v>
      </c>
      <c r="L21" s="33">
        <v>9</v>
      </c>
      <c r="M21" s="33">
        <v>10</v>
      </c>
      <c r="N21" s="33">
        <v>11</v>
      </c>
      <c r="O21" s="33">
        <v>12</v>
      </c>
      <c r="P21" s="33">
        <v>13</v>
      </c>
      <c r="Q21" s="33">
        <v>14</v>
      </c>
      <c r="R21" s="33">
        <v>15</v>
      </c>
      <c r="S21" s="33">
        <v>16</v>
      </c>
      <c r="T21" s="33">
        <v>17</v>
      </c>
      <c r="U21" s="33">
        <v>18</v>
      </c>
      <c r="V21" s="33">
        <v>19</v>
      </c>
      <c r="W21" s="33">
        <v>20</v>
      </c>
      <c r="X21" s="33">
        <v>21</v>
      </c>
      <c r="Y21" s="33">
        <v>22</v>
      </c>
      <c r="Z21" s="33">
        <v>23</v>
      </c>
      <c r="AA21" s="33">
        <v>24</v>
      </c>
      <c r="AB21" s="33">
        <v>25</v>
      </c>
      <c r="AC21" s="33">
        <v>26</v>
      </c>
      <c r="AD21" s="33">
        <v>27</v>
      </c>
      <c r="AE21" s="33">
        <v>28</v>
      </c>
      <c r="AF21" s="33">
        <v>29</v>
      </c>
      <c r="AG21" s="33">
        <v>30</v>
      </c>
      <c r="AH21" s="33">
        <v>31</v>
      </c>
      <c r="AI21" s="33">
        <v>32</v>
      </c>
      <c r="AJ21" s="33">
        <v>33</v>
      </c>
      <c r="AK21" s="33">
        <v>34</v>
      </c>
      <c r="AL21" s="33">
        <v>35</v>
      </c>
      <c r="AM21" s="33">
        <v>36</v>
      </c>
      <c r="AN21" s="33">
        <v>37</v>
      </c>
      <c r="AO21" s="33">
        <v>38</v>
      </c>
      <c r="AP21" s="33">
        <v>39</v>
      </c>
      <c r="AQ21" s="33">
        <v>40</v>
      </c>
    </row>
    <row r="22" spans="2:43" x14ac:dyDescent="0.2">
      <c r="B22" s="34" t="s">
        <v>63</v>
      </c>
      <c r="C22" s="268" t="s">
        <v>9</v>
      </c>
      <c r="D22" s="35">
        <f t="shared" ref="D22:AG22" si="22">D4</f>
        <v>2026</v>
      </c>
      <c r="E22" s="35">
        <f t="shared" si="22"/>
        <v>2027</v>
      </c>
      <c r="F22" s="35">
        <f t="shared" si="22"/>
        <v>2028</v>
      </c>
      <c r="G22" s="35">
        <f t="shared" si="22"/>
        <v>2029</v>
      </c>
      <c r="H22" s="35">
        <f t="shared" si="22"/>
        <v>2030</v>
      </c>
      <c r="I22" s="35">
        <f t="shared" si="22"/>
        <v>2031</v>
      </c>
      <c r="J22" s="35">
        <f t="shared" si="22"/>
        <v>2032</v>
      </c>
      <c r="K22" s="35">
        <f t="shared" si="22"/>
        <v>2033</v>
      </c>
      <c r="L22" s="35">
        <f t="shared" si="22"/>
        <v>2034</v>
      </c>
      <c r="M22" s="35">
        <f t="shared" si="22"/>
        <v>2035</v>
      </c>
      <c r="N22" s="35">
        <f t="shared" si="22"/>
        <v>2036</v>
      </c>
      <c r="O22" s="35">
        <f t="shared" si="22"/>
        <v>2037</v>
      </c>
      <c r="P22" s="35">
        <f t="shared" si="22"/>
        <v>2038</v>
      </c>
      <c r="Q22" s="35">
        <f t="shared" si="22"/>
        <v>2039</v>
      </c>
      <c r="R22" s="35">
        <f t="shared" si="22"/>
        <v>2040</v>
      </c>
      <c r="S22" s="35">
        <f t="shared" si="22"/>
        <v>2041</v>
      </c>
      <c r="T22" s="35">
        <f t="shared" si="22"/>
        <v>2042</v>
      </c>
      <c r="U22" s="35">
        <f t="shared" si="22"/>
        <v>2043</v>
      </c>
      <c r="V22" s="35">
        <f t="shared" si="22"/>
        <v>2044</v>
      </c>
      <c r="W22" s="35">
        <f t="shared" si="22"/>
        <v>2045</v>
      </c>
      <c r="X22" s="35">
        <f t="shared" si="22"/>
        <v>2046</v>
      </c>
      <c r="Y22" s="35">
        <f t="shared" si="22"/>
        <v>2047</v>
      </c>
      <c r="Z22" s="35">
        <f t="shared" si="22"/>
        <v>2048</v>
      </c>
      <c r="AA22" s="35">
        <f t="shared" si="22"/>
        <v>2049</v>
      </c>
      <c r="AB22" s="35">
        <f t="shared" si="22"/>
        <v>2050</v>
      </c>
      <c r="AC22" s="35">
        <f t="shared" si="22"/>
        <v>2051</v>
      </c>
      <c r="AD22" s="35">
        <f t="shared" si="22"/>
        <v>2052</v>
      </c>
      <c r="AE22" s="35">
        <f t="shared" si="22"/>
        <v>2053</v>
      </c>
      <c r="AF22" s="35">
        <f t="shared" si="22"/>
        <v>2054</v>
      </c>
      <c r="AG22" s="35">
        <f t="shared" si="22"/>
        <v>2055</v>
      </c>
      <c r="AH22" s="35">
        <f t="shared" ref="AH22:AN22" si="23">AH4</f>
        <v>2056</v>
      </c>
      <c r="AI22" s="35">
        <f t="shared" si="23"/>
        <v>2057</v>
      </c>
      <c r="AJ22" s="35">
        <f t="shared" si="23"/>
        <v>2058</v>
      </c>
      <c r="AK22" s="35">
        <f t="shared" si="23"/>
        <v>2059</v>
      </c>
      <c r="AL22" s="35">
        <f t="shared" si="23"/>
        <v>2060</v>
      </c>
      <c r="AM22" s="35">
        <f t="shared" si="23"/>
        <v>2061</v>
      </c>
      <c r="AN22" s="35">
        <f t="shared" si="23"/>
        <v>2062</v>
      </c>
      <c r="AO22" s="35">
        <f t="shared" ref="AO22:AQ22" si="24">AO4</f>
        <v>2063</v>
      </c>
      <c r="AP22" s="35">
        <f t="shared" si="24"/>
        <v>2064</v>
      </c>
      <c r="AQ22" s="35">
        <f t="shared" si="24"/>
        <v>2065</v>
      </c>
    </row>
    <row r="23" spans="2:43" x14ac:dyDescent="0.2">
      <c r="B23" s="31" t="s">
        <v>288</v>
      </c>
      <c r="C23" s="37">
        <f t="shared" ref="C23:C26" si="25">SUM(D23:AQ23)</f>
        <v>0</v>
      </c>
      <c r="D23" s="37">
        <f t="shared" ref="D23:AG23" si="26">D5-D14</f>
        <v>0</v>
      </c>
      <c r="E23" s="37">
        <f t="shared" si="26"/>
        <v>0</v>
      </c>
      <c r="F23" s="37">
        <f t="shared" si="26"/>
        <v>0</v>
      </c>
      <c r="G23" s="37">
        <f t="shared" si="26"/>
        <v>0</v>
      </c>
      <c r="H23" s="37">
        <f t="shared" si="26"/>
        <v>0</v>
      </c>
      <c r="I23" s="37">
        <f t="shared" si="26"/>
        <v>0</v>
      </c>
      <c r="J23" s="37">
        <f t="shared" si="26"/>
        <v>0</v>
      </c>
      <c r="K23" s="37">
        <f t="shared" si="26"/>
        <v>0</v>
      </c>
      <c r="L23" s="37">
        <f t="shared" si="26"/>
        <v>0</v>
      </c>
      <c r="M23" s="37">
        <f t="shared" si="26"/>
        <v>0</v>
      </c>
      <c r="N23" s="37">
        <f t="shared" si="26"/>
        <v>0</v>
      </c>
      <c r="O23" s="37">
        <f t="shared" si="26"/>
        <v>0</v>
      </c>
      <c r="P23" s="37">
        <f t="shared" si="26"/>
        <v>0</v>
      </c>
      <c r="Q23" s="37">
        <f t="shared" si="26"/>
        <v>0</v>
      </c>
      <c r="R23" s="37">
        <f t="shared" si="26"/>
        <v>0</v>
      </c>
      <c r="S23" s="37">
        <f t="shared" si="26"/>
        <v>0</v>
      </c>
      <c r="T23" s="37">
        <f t="shared" si="26"/>
        <v>0</v>
      </c>
      <c r="U23" s="37">
        <f t="shared" si="26"/>
        <v>0</v>
      </c>
      <c r="V23" s="37">
        <f t="shared" si="26"/>
        <v>0</v>
      </c>
      <c r="W23" s="37">
        <f t="shared" si="26"/>
        <v>0</v>
      </c>
      <c r="X23" s="37">
        <f t="shared" si="26"/>
        <v>0</v>
      </c>
      <c r="Y23" s="37">
        <f t="shared" si="26"/>
        <v>0</v>
      </c>
      <c r="Z23" s="37">
        <f t="shared" si="26"/>
        <v>0</v>
      </c>
      <c r="AA23" s="37">
        <f t="shared" si="26"/>
        <v>0</v>
      </c>
      <c r="AB23" s="37">
        <f t="shared" si="26"/>
        <v>0</v>
      </c>
      <c r="AC23" s="37">
        <f t="shared" si="26"/>
        <v>0</v>
      </c>
      <c r="AD23" s="37">
        <f t="shared" si="26"/>
        <v>0</v>
      </c>
      <c r="AE23" s="37">
        <f t="shared" si="26"/>
        <v>0</v>
      </c>
      <c r="AF23" s="37">
        <f t="shared" si="26"/>
        <v>0</v>
      </c>
      <c r="AG23" s="37">
        <f t="shared" si="26"/>
        <v>0</v>
      </c>
      <c r="AH23" s="37">
        <f t="shared" ref="AH23:AN23" si="27">AH5-AH14</f>
        <v>0</v>
      </c>
      <c r="AI23" s="37">
        <f t="shared" si="27"/>
        <v>0</v>
      </c>
      <c r="AJ23" s="37">
        <f t="shared" si="27"/>
        <v>0</v>
      </c>
      <c r="AK23" s="37">
        <f t="shared" si="27"/>
        <v>0</v>
      </c>
      <c r="AL23" s="37">
        <f t="shared" si="27"/>
        <v>0</v>
      </c>
      <c r="AM23" s="37">
        <f t="shared" si="27"/>
        <v>0</v>
      </c>
      <c r="AN23" s="37">
        <f t="shared" si="27"/>
        <v>0</v>
      </c>
      <c r="AO23" s="37">
        <f t="shared" ref="AO23:AQ23" si="28">AO5-AO14</f>
        <v>0</v>
      </c>
      <c r="AP23" s="37">
        <f t="shared" si="28"/>
        <v>0</v>
      </c>
      <c r="AQ23" s="37">
        <f t="shared" si="28"/>
        <v>0</v>
      </c>
    </row>
    <row r="24" spans="2:43" x14ac:dyDescent="0.2">
      <c r="B24" s="31" t="s">
        <v>289</v>
      </c>
      <c r="C24" s="37">
        <f t="shared" si="25"/>
        <v>0</v>
      </c>
      <c r="D24" s="37">
        <f t="shared" ref="D24:AG24" si="29">D6-D15</f>
        <v>0</v>
      </c>
      <c r="E24" s="37">
        <f t="shared" si="29"/>
        <v>0</v>
      </c>
      <c r="F24" s="37">
        <f t="shared" si="29"/>
        <v>0</v>
      </c>
      <c r="G24" s="37">
        <f t="shared" si="29"/>
        <v>0</v>
      </c>
      <c r="H24" s="37">
        <f t="shared" si="29"/>
        <v>0</v>
      </c>
      <c r="I24" s="37">
        <f t="shared" si="29"/>
        <v>0</v>
      </c>
      <c r="J24" s="37">
        <f t="shared" si="29"/>
        <v>0</v>
      </c>
      <c r="K24" s="37">
        <f t="shared" si="29"/>
        <v>0</v>
      </c>
      <c r="L24" s="37">
        <f t="shared" si="29"/>
        <v>0</v>
      </c>
      <c r="M24" s="37">
        <f t="shared" si="29"/>
        <v>0</v>
      </c>
      <c r="N24" s="37">
        <f t="shared" si="29"/>
        <v>0</v>
      </c>
      <c r="O24" s="37">
        <f t="shared" si="29"/>
        <v>0</v>
      </c>
      <c r="P24" s="37">
        <f t="shared" si="29"/>
        <v>0</v>
      </c>
      <c r="Q24" s="37">
        <f t="shared" si="29"/>
        <v>0</v>
      </c>
      <c r="R24" s="37">
        <f t="shared" si="29"/>
        <v>0</v>
      </c>
      <c r="S24" s="37">
        <f t="shared" si="29"/>
        <v>0</v>
      </c>
      <c r="T24" s="37">
        <f t="shared" si="29"/>
        <v>0</v>
      </c>
      <c r="U24" s="37">
        <f t="shared" si="29"/>
        <v>0</v>
      </c>
      <c r="V24" s="37">
        <f t="shared" si="29"/>
        <v>0</v>
      </c>
      <c r="W24" s="37">
        <f t="shared" si="29"/>
        <v>0</v>
      </c>
      <c r="X24" s="37">
        <f t="shared" si="29"/>
        <v>0</v>
      </c>
      <c r="Y24" s="37">
        <f t="shared" si="29"/>
        <v>0</v>
      </c>
      <c r="Z24" s="37">
        <f t="shared" si="29"/>
        <v>0</v>
      </c>
      <c r="AA24" s="37">
        <f t="shared" si="29"/>
        <v>0</v>
      </c>
      <c r="AB24" s="37">
        <f t="shared" si="29"/>
        <v>0</v>
      </c>
      <c r="AC24" s="37">
        <f t="shared" si="29"/>
        <v>0</v>
      </c>
      <c r="AD24" s="37">
        <f t="shared" si="29"/>
        <v>0</v>
      </c>
      <c r="AE24" s="37">
        <f t="shared" si="29"/>
        <v>0</v>
      </c>
      <c r="AF24" s="37">
        <f t="shared" si="29"/>
        <v>0</v>
      </c>
      <c r="AG24" s="37">
        <f t="shared" si="29"/>
        <v>0</v>
      </c>
      <c r="AH24" s="37">
        <f t="shared" ref="AH24:AN24" si="30">AH6-AH15</f>
        <v>0</v>
      </c>
      <c r="AI24" s="37">
        <f t="shared" si="30"/>
        <v>0</v>
      </c>
      <c r="AJ24" s="37">
        <f t="shared" si="30"/>
        <v>0</v>
      </c>
      <c r="AK24" s="37">
        <f t="shared" si="30"/>
        <v>0</v>
      </c>
      <c r="AL24" s="37">
        <f t="shared" si="30"/>
        <v>0</v>
      </c>
      <c r="AM24" s="37">
        <f t="shared" si="30"/>
        <v>0</v>
      </c>
      <c r="AN24" s="37">
        <f t="shared" si="30"/>
        <v>0</v>
      </c>
      <c r="AO24" s="37">
        <f t="shared" ref="AO24:AQ24" si="31">AO6-AO15</f>
        <v>0</v>
      </c>
      <c r="AP24" s="37">
        <f t="shared" si="31"/>
        <v>0</v>
      </c>
      <c r="AQ24" s="37">
        <f t="shared" si="31"/>
        <v>0</v>
      </c>
    </row>
    <row r="25" spans="2:43" x14ac:dyDescent="0.2">
      <c r="B25" s="31" t="s">
        <v>290</v>
      </c>
      <c r="C25" s="37">
        <f t="shared" si="25"/>
        <v>0</v>
      </c>
      <c r="D25" s="37">
        <f t="shared" ref="D25:AG25" si="32">D7-D16</f>
        <v>0</v>
      </c>
      <c r="E25" s="37">
        <f t="shared" si="32"/>
        <v>0</v>
      </c>
      <c r="F25" s="37">
        <f t="shared" si="32"/>
        <v>0</v>
      </c>
      <c r="G25" s="37">
        <f t="shared" si="32"/>
        <v>0</v>
      </c>
      <c r="H25" s="37">
        <f t="shared" si="32"/>
        <v>0</v>
      </c>
      <c r="I25" s="37">
        <f t="shared" si="32"/>
        <v>0</v>
      </c>
      <c r="J25" s="37">
        <f t="shared" si="32"/>
        <v>0</v>
      </c>
      <c r="K25" s="37">
        <f t="shared" si="32"/>
        <v>0</v>
      </c>
      <c r="L25" s="37">
        <f t="shared" si="32"/>
        <v>0</v>
      </c>
      <c r="M25" s="37">
        <f t="shared" si="32"/>
        <v>0</v>
      </c>
      <c r="N25" s="37">
        <f t="shared" si="32"/>
        <v>0</v>
      </c>
      <c r="O25" s="37">
        <f t="shared" si="32"/>
        <v>0</v>
      </c>
      <c r="P25" s="37">
        <f t="shared" si="32"/>
        <v>0</v>
      </c>
      <c r="Q25" s="37">
        <f t="shared" si="32"/>
        <v>0</v>
      </c>
      <c r="R25" s="37">
        <f t="shared" si="32"/>
        <v>0</v>
      </c>
      <c r="S25" s="37">
        <f t="shared" si="32"/>
        <v>0</v>
      </c>
      <c r="T25" s="37">
        <f t="shared" si="32"/>
        <v>0</v>
      </c>
      <c r="U25" s="37">
        <f t="shared" si="32"/>
        <v>0</v>
      </c>
      <c r="V25" s="37">
        <f t="shared" si="32"/>
        <v>0</v>
      </c>
      <c r="W25" s="37">
        <f t="shared" si="32"/>
        <v>0</v>
      </c>
      <c r="X25" s="37">
        <f t="shared" si="32"/>
        <v>0</v>
      </c>
      <c r="Y25" s="37">
        <f t="shared" si="32"/>
        <v>0</v>
      </c>
      <c r="Z25" s="37">
        <f t="shared" si="32"/>
        <v>0</v>
      </c>
      <c r="AA25" s="37">
        <f t="shared" si="32"/>
        <v>0</v>
      </c>
      <c r="AB25" s="37">
        <f t="shared" si="32"/>
        <v>0</v>
      </c>
      <c r="AC25" s="37">
        <f t="shared" si="32"/>
        <v>0</v>
      </c>
      <c r="AD25" s="37">
        <f t="shared" si="32"/>
        <v>0</v>
      </c>
      <c r="AE25" s="37">
        <f t="shared" si="32"/>
        <v>0</v>
      </c>
      <c r="AF25" s="37">
        <f t="shared" si="32"/>
        <v>0</v>
      </c>
      <c r="AG25" s="37">
        <f t="shared" si="32"/>
        <v>0</v>
      </c>
      <c r="AH25" s="37">
        <f t="shared" ref="AH25:AN25" si="33">AH7-AH16</f>
        <v>0</v>
      </c>
      <c r="AI25" s="37">
        <f t="shared" si="33"/>
        <v>0</v>
      </c>
      <c r="AJ25" s="37">
        <f t="shared" si="33"/>
        <v>0</v>
      </c>
      <c r="AK25" s="37">
        <f t="shared" si="33"/>
        <v>0</v>
      </c>
      <c r="AL25" s="37">
        <f t="shared" si="33"/>
        <v>0</v>
      </c>
      <c r="AM25" s="37">
        <f t="shared" si="33"/>
        <v>0</v>
      </c>
      <c r="AN25" s="37">
        <f t="shared" si="33"/>
        <v>0</v>
      </c>
      <c r="AO25" s="37">
        <f t="shared" ref="AO25:AQ25" si="34">AO7-AO16</f>
        <v>0</v>
      </c>
      <c r="AP25" s="37">
        <f t="shared" si="34"/>
        <v>0</v>
      </c>
      <c r="AQ25" s="37">
        <f t="shared" si="34"/>
        <v>0</v>
      </c>
    </row>
    <row r="26" spans="2:43" x14ac:dyDescent="0.2">
      <c r="B26" s="162" t="s">
        <v>59</v>
      </c>
      <c r="C26" s="163">
        <f t="shared" si="25"/>
        <v>0</v>
      </c>
      <c r="D26" s="164">
        <f t="shared" ref="D26:AG26" si="35">SUM(D23:D25)</f>
        <v>0</v>
      </c>
      <c r="E26" s="163">
        <f t="shared" si="35"/>
        <v>0</v>
      </c>
      <c r="F26" s="163">
        <f t="shared" si="35"/>
        <v>0</v>
      </c>
      <c r="G26" s="163">
        <f t="shared" si="35"/>
        <v>0</v>
      </c>
      <c r="H26" s="163">
        <f t="shared" si="35"/>
        <v>0</v>
      </c>
      <c r="I26" s="163">
        <f t="shared" si="35"/>
        <v>0</v>
      </c>
      <c r="J26" s="163">
        <f t="shared" si="35"/>
        <v>0</v>
      </c>
      <c r="K26" s="163">
        <f t="shared" si="35"/>
        <v>0</v>
      </c>
      <c r="L26" s="163">
        <f t="shared" si="35"/>
        <v>0</v>
      </c>
      <c r="M26" s="163">
        <f t="shared" si="35"/>
        <v>0</v>
      </c>
      <c r="N26" s="163">
        <f t="shared" si="35"/>
        <v>0</v>
      </c>
      <c r="O26" s="163">
        <f t="shared" si="35"/>
        <v>0</v>
      </c>
      <c r="P26" s="163">
        <f t="shared" si="35"/>
        <v>0</v>
      </c>
      <c r="Q26" s="163">
        <f t="shared" si="35"/>
        <v>0</v>
      </c>
      <c r="R26" s="163">
        <f t="shared" si="35"/>
        <v>0</v>
      </c>
      <c r="S26" s="163">
        <f t="shared" si="35"/>
        <v>0</v>
      </c>
      <c r="T26" s="163">
        <f t="shared" si="35"/>
        <v>0</v>
      </c>
      <c r="U26" s="163">
        <f t="shared" si="35"/>
        <v>0</v>
      </c>
      <c r="V26" s="163">
        <f t="shared" si="35"/>
        <v>0</v>
      </c>
      <c r="W26" s="163">
        <f t="shared" si="35"/>
        <v>0</v>
      </c>
      <c r="X26" s="163">
        <f t="shared" si="35"/>
        <v>0</v>
      </c>
      <c r="Y26" s="163">
        <f t="shared" si="35"/>
        <v>0</v>
      </c>
      <c r="Z26" s="163">
        <f t="shared" si="35"/>
        <v>0</v>
      </c>
      <c r="AA26" s="163">
        <f t="shared" si="35"/>
        <v>0</v>
      </c>
      <c r="AB26" s="163">
        <f t="shared" si="35"/>
        <v>0</v>
      </c>
      <c r="AC26" s="163">
        <f t="shared" si="35"/>
        <v>0</v>
      </c>
      <c r="AD26" s="163">
        <f t="shared" si="35"/>
        <v>0</v>
      </c>
      <c r="AE26" s="163">
        <f t="shared" si="35"/>
        <v>0</v>
      </c>
      <c r="AF26" s="163">
        <f t="shared" si="35"/>
        <v>0</v>
      </c>
      <c r="AG26" s="163">
        <f t="shared" si="35"/>
        <v>0</v>
      </c>
      <c r="AH26" s="163">
        <f t="shared" ref="AH26:AN26" si="36">SUM(AH23:AH25)</f>
        <v>0</v>
      </c>
      <c r="AI26" s="163">
        <f t="shared" si="36"/>
        <v>0</v>
      </c>
      <c r="AJ26" s="163">
        <f t="shared" si="36"/>
        <v>0</v>
      </c>
      <c r="AK26" s="163">
        <f t="shared" si="36"/>
        <v>0</v>
      </c>
      <c r="AL26" s="163">
        <f t="shared" si="36"/>
        <v>0</v>
      </c>
      <c r="AM26" s="163">
        <f t="shared" si="36"/>
        <v>0</v>
      </c>
      <c r="AN26" s="163">
        <f t="shared" si="36"/>
        <v>0</v>
      </c>
      <c r="AO26" s="163">
        <f t="shared" ref="AO26:AQ26" si="37">SUM(AO23:AO25)</f>
        <v>0</v>
      </c>
      <c r="AP26" s="163">
        <f t="shared" si="37"/>
        <v>0</v>
      </c>
      <c r="AQ26" s="163">
        <f t="shared" si="37"/>
        <v>0</v>
      </c>
    </row>
    <row r="29" spans="2:43" x14ac:dyDescent="0.2">
      <c r="B29" s="123"/>
      <c r="C29" s="31"/>
      <c r="D29" s="31" t="s">
        <v>10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2:43" x14ac:dyDescent="0.2">
      <c r="B30" s="123"/>
      <c r="C30" s="32"/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33">
        <v>13</v>
      </c>
      <c r="Q30" s="33">
        <v>14</v>
      </c>
      <c r="R30" s="33">
        <v>15</v>
      </c>
      <c r="S30" s="33">
        <v>16</v>
      </c>
      <c r="T30" s="33">
        <v>17</v>
      </c>
      <c r="U30" s="33">
        <v>18</v>
      </c>
      <c r="V30" s="33">
        <v>19</v>
      </c>
      <c r="W30" s="33">
        <v>20</v>
      </c>
      <c r="X30" s="33">
        <v>21</v>
      </c>
      <c r="Y30" s="33">
        <v>22</v>
      </c>
      <c r="Z30" s="33">
        <v>23</v>
      </c>
      <c r="AA30" s="33">
        <v>24</v>
      </c>
      <c r="AB30" s="33">
        <v>25</v>
      </c>
      <c r="AC30" s="33">
        <v>26</v>
      </c>
      <c r="AD30" s="33">
        <v>27</v>
      </c>
      <c r="AE30" s="33">
        <v>28</v>
      </c>
      <c r="AF30" s="33">
        <v>29</v>
      </c>
      <c r="AG30" s="33">
        <v>30</v>
      </c>
      <c r="AH30" s="33">
        <v>31</v>
      </c>
      <c r="AI30" s="33">
        <v>32</v>
      </c>
      <c r="AJ30" s="33">
        <v>33</v>
      </c>
      <c r="AK30" s="33">
        <v>34</v>
      </c>
      <c r="AL30" s="33">
        <v>35</v>
      </c>
      <c r="AM30" s="33">
        <v>36</v>
      </c>
      <c r="AN30" s="33">
        <v>37</v>
      </c>
      <c r="AO30" s="33">
        <v>38</v>
      </c>
      <c r="AP30" s="33">
        <v>39</v>
      </c>
      <c r="AQ30" s="33">
        <v>40</v>
      </c>
    </row>
    <row r="31" spans="2:43" x14ac:dyDescent="0.2">
      <c r="B31" s="165" t="s">
        <v>467</v>
      </c>
      <c r="C31" s="268" t="s">
        <v>9</v>
      </c>
      <c r="D31" s="35">
        <f t="shared" ref="D31:AG31" si="38">D4</f>
        <v>2026</v>
      </c>
      <c r="E31" s="35">
        <f t="shared" si="38"/>
        <v>2027</v>
      </c>
      <c r="F31" s="35">
        <f t="shared" si="38"/>
        <v>2028</v>
      </c>
      <c r="G31" s="35">
        <f t="shared" si="38"/>
        <v>2029</v>
      </c>
      <c r="H31" s="35">
        <f t="shared" si="38"/>
        <v>2030</v>
      </c>
      <c r="I31" s="35">
        <f t="shared" si="38"/>
        <v>2031</v>
      </c>
      <c r="J31" s="35">
        <f t="shared" si="38"/>
        <v>2032</v>
      </c>
      <c r="K31" s="35">
        <f t="shared" si="38"/>
        <v>2033</v>
      </c>
      <c r="L31" s="35">
        <f t="shared" si="38"/>
        <v>2034</v>
      </c>
      <c r="M31" s="35">
        <f t="shared" si="38"/>
        <v>2035</v>
      </c>
      <c r="N31" s="35">
        <f t="shared" si="38"/>
        <v>2036</v>
      </c>
      <c r="O31" s="35">
        <f t="shared" si="38"/>
        <v>2037</v>
      </c>
      <c r="P31" s="35">
        <f t="shared" si="38"/>
        <v>2038</v>
      </c>
      <c r="Q31" s="35">
        <f t="shared" si="38"/>
        <v>2039</v>
      </c>
      <c r="R31" s="35">
        <f t="shared" si="38"/>
        <v>2040</v>
      </c>
      <c r="S31" s="35">
        <f t="shared" si="38"/>
        <v>2041</v>
      </c>
      <c r="T31" s="35">
        <f t="shared" si="38"/>
        <v>2042</v>
      </c>
      <c r="U31" s="35">
        <f t="shared" si="38"/>
        <v>2043</v>
      </c>
      <c r="V31" s="35">
        <f t="shared" si="38"/>
        <v>2044</v>
      </c>
      <c r="W31" s="35">
        <f t="shared" si="38"/>
        <v>2045</v>
      </c>
      <c r="X31" s="35">
        <f t="shared" si="38"/>
        <v>2046</v>
      </c>
      <c r="Y31" s="35">
        <f t="shared" si="38"/>
        <v>2047</v>
      </c>
      <c r="Z31" s="35">
        <f t="shared" si="38"/>
        <v>2048</v>
      </c>
      <c r="AA31" s="35">
        <f t="shared" si="38"/>
        <v>2049</v>
      </c>
      <c r="AB31" s="35">
        <f t="shared" si="38"/>
        <v>2050</v>
      </c>
      <c r="AC31" s="35">
        <f t="shared" si="38"/>
        <v>2051</v>
      </c>
      <c r="AD31" s="35">
        <f t="shared" si="38"/>
        <v>2052</v>
      </c>
      <c r="AE31" s="35">
        <f t="shared" si="38"/>
        <v>2053</v>
      </c>
      <c r="AF31" s="35">
        <f t="shared" si="38"/>
        <v>2054</v>
      </c>
      <c r="AG31" s="35">
        <f t="shared" si="38"/>
        <v>2055</v>
      </c>
      <c r="AH31" s="35">
        <f t="shared" ref="AH31:AN31" si="39">AH4</f>
        <v>2056</v>
      </c>
      <c r="AI31" s="35">
        <f t="shared" si="39"/>
        <v>2057</v>
      </c>
      <c r="AJ31" s="35">
        <f t="shared" si="39"/>
        <v>2058</v>
      </c>
      <c r="AK31" s="35">
        <f t="shared" si="39"/>
        <v>2059</v>
      </c>
      <c r="AL31" s="35">
        <f t="shared" si="39"/>
        <v>2060</v>
      </c>
      <c r="AM31" s="35">
        <f t="shared" si="39"/>
        <v>2061</v>
      </c>
      <c r="AN31" s="35">
        <f t="shared" si="39"/>
        <v>2062</v>
      </c>
      <c r="AO31" s="35">
        <f t="shared" ref="AO31:AQ31" si="40">AO4</f>
        <v>2063</v>
      </c>
      <c r="AP31" s="35">
        <f t="shared" si="40"/>
        <v>2064</v>
      </c>
      <c r="AQ31" s="35">
        <f t="shared" si="40"/>
        <v>2065</v>
      </c>
    </row>
    <row r="32" spans="2:43" x14ac:dyDescent="0.2">
      <c r="B32" s="31" t="s">
        <v>288</v>
      </c>
      <c r="C32" s="37">
        <f t="shared" ref="C32:C35" si="41">SUM(D32:AQ32)</f>
        <v>0</v>
      </c>
      <c r="D32" s="37">
        <f>D23*Parametre!C125</f>
        <v>0</v>
      </c>
      <c r="E32" s="37">
        <f>E23*Parametre!D125</f>
        <v>0</v>
      </c>
      <c r="F32" s="37">
        <f>F23*Parametre!E125</f>
        <v>0</v>
      </c>
      <c r="G32" s="37">
        <f>G23*Parametre!F125</f>
        <v>0</v>
      </c>
      <c r="H32" s="37">
        <f>H23*Parametre!G125</f>
        <v>0</v>
      </c>
      <c r="I32" s="37">
        <f>I23*Parametre!H125</f>
        <v>0</v>
      </c>
      <c r="J32" s="37">
        <f>J23*Parametre!I125</f>
        <v>0</v>
      </c>
      <c r="K32" s="37">
        <f>K23*Parametre!J125</f>
        <v>0</v>
      </c>
      <c r="L32" s="37">
        <f>L23*Parametre!K125</f>
        <v>0</v>
      </c>
      <c r="M32" s="37">
        <f>M23*Parametre!L125</f>
        <v>0</v>
      </c>
      <c r="N32" s="37">
        <f>N23*Parametre!M125</f>
        <v>0</v>
      </c>
      <c r="O32" s="37">
        <f>O23*Parametre!N125</f>
        <v>0</v>
      </c>
      <c r="P32" s="37">
        <f>P23*Parametre!O125</f>
        <v>0</v>
      </c>
      <c r="Q32" s="37">
        <f>Q23*Parametre!P125</f>
        <v>0</v>
      </c>
      <c r="R32" s="37">
        <f>R23*Parametre!Q125</f>
        <v>0</v>
      </c>
      <c r="S32" s="37">
        <f>S23*Parametre!R125</f>
        <v>0</v>
      </c>
      <c r="T32" s="37">
        <f>T23*Parametre!S125</f>
        <v>0</v>
      </c>
      <c r="U32" s="37">
        <f>U23*Parametre!T125</f>
        <v>0</v>
      </c>
      <c r="V32" s="37">
        <f>V23*Parametre!U125</f>
        <v>0</v>
      </c>
      <c r="W32" s="37">
        <f>W23*Parametre!V125</f>
        <v>0</v>
      </c>
      <c r="X32" s="37">
        <f>X23*Parametre!W125</f>
        <v>0</v>
      </c>
      <c r="Y32" s="37">
        <f>Y23*Parametre!X125</f>
        <v>0</v>
      </c>
      <c r="Z32" s="37">
        <f>Z23*Parametre!Y125</f>
        <v>0</v>
      </c>
      <c r="AA32" s="37">
        <f>AA23*Parametre!Z125</f>
        <v>0</v>
      </c>
      <c r="AB32" s="37">
        <f>AB23*Parametre!AA125</f>
        <v>0</v>
      </c>
      <c r="AC32" s="37">
        <f>AC23*Parametre!AB125</f>
        <v>0</v>
      </c>
      <c r="AD32" s="37">
        <f>AD23*Parametre!AC125</f>
        <v>0</v>
      </c>
      <c r="AE32" s="37">
        <f>AE23*Parametre!AD125</f>
        <v>0</v>
      </c>
      <c r="AF32" s="37">
        <f>AF23*Parametre!AE125</f>
        <v>0</v>
      </c>
      <c r="AG32" s="37">
        <f>AG23*Parametre!AF125</f>
        <v>0</v>
      </c>
      <c r="AH32" s="37">
        <f>AH23*Parametre!AG125</f>
        <v>0</v>
      </c>
      <c r="AI32" s="37">
        <f>AI23*Parametre!AH125</f>
        <v>0</v>
      </c>
      <c r="AJ32" s="37">
        <f>AJ23*Parametre!AI125</f>
        <v>0</v>
      </c>
      <c r="AK32" s="37">
        <f>AK23*Parametre!AJ125</f>
        <v>0</v>
      </c>
      <c r="AL32" s="37">
        <f>AL23*Parametre!AK125</f>
        <v>0</v>
      </c>
      <c r="AM32" s="37">
        <f>AM23*Parametre!AL125</f>
        <v>0</v>
      </c>
      <c r="AN32" s="37">
        <f>AN23*Parametre!AM125</f>
        <v>0</v>
      </c>
      <c r="AO32" s="37">
        <f>AO23*Parametre!AN125</f>
        <v>0</v>
      </c>
      <c r="AP32" s="37">
        <f>AP23*Parametre!AO125</f>
        <v>0</v>
      </c>
      <c r="AQ32" s="37">
        <f>AQ23*Parametre!AP125</f>
        <v>0</v>
      </c>
    </row>
    <row r="33" spans="2:43" x14ac:dyDescent="0.2">
      <c r="B33" s="31" t="s">
        <v>289</v>
      </c>
      <c r="C33" s="37">
        <f t="shared" si="41"/>
        <v>0</v>
      </c>
      <c r="D33" s="37">
        <f>D24*Parametre!C126</f>
        <v>0</v>
      </c>
      <c r="E33" s="37">
        <f>E24*Parametre!D126</f>
        <v>0</v>
      </c>
      <c r="F33" s="37">
        <f>F24*Parametre!E126</f>
        <v>0</v>
      </c>
      <c r="G33" s="37">
        <f>G24*Parametre!F126</f>
        <v>0</v>
      </c>
      <c r="H33" s="37">
        <f>H24*Parametre!G126</f>
        <v>0</v>
      </c>
      <c r="I33" s="37">
        <f>I24*Parametre!H126</f>
        <v>0</v>
      </c>
      <c r="J33" s="37">
        <f>J24*Parametre!I126</f>
        <v>0</v>
      </c>
      <c r="K33" s="37">
        <f>K24*Parametre!J126</f>
        <v>0</v>
      </c>
      <c r="L33" s="37">
        <f>L24*Parametre!K126</f>
        <v>0</v>
      </c>
      <c r="M33" s="37">
        <f>M24*Parametre!L126</f>
        <v>0</v>
      </c>
      <c r="N33" s="37">
        <f>N24*Parametre!M126</f>
        <v>0</v>
      </c>
      <c r="O33" s="37">
        <f>O24*Parametre!N126</f>
        <v>0</v>
      </c>
      <c r="P33" s="37">
        <f>P24*Parametre!O126</f>
        <v>0</v>
      </c>
      <c r="Q33" s="37">
        <f>Q24*Parametre!P126</f>
        <v>0</v>
      </c>
      <c r="R33" s="37">
        <f>R24*Parametre!Q126</f>
        <v>0</v>
      </c>
      <c r="S33" s="37">
        <f>S24*Parametre!R126</f>
        <v>0</v>
      </c>
      <c r="T33" s="37">
        <f>T24*Parametre!S126</f>
        <v>0</v>
      </c>
      <c r="U33" s="37">
        <f>U24*Parametre!T126</f>
        <v>0</v>
      </c>
      <c r="V33" s="37">
        <f>V24*Parametre!U126</f>
        <v>0</v>
      </c>
      <c r="W33" s="37">
        <f>W24*Parametre!V126</f>
        <v>0</v>
      </c>
      <c r="X33" s="37">
        <f>X24*Parametre!W126</f>
        <v>0</v>
      </c>
      <c r="Y33" s="37">
        <f>Y24*Parametre!X126</f>
        <v>0</v>
      </c>
      <c r="Z33" s="37">
        <f>Z24*Parametre!Y126</f>
        <v>0</v>
      </c>
      <c r="AA33" s="37">
        <f>AA24*Parametre!Z126</f>
        <v>0</v>
      </c>
      <c r="AB33" s="37">
        <f>AB24*Parametre!AA126</f>
        <v>0</v>
      </c>
      <c r="AC33" s="37">
        <f>AC24*Parametre!AB126</f>
        <v>0</v>
      </c>
      <c r="AD33" s="37">
        <f>AD24*Parametre!AC126</f>
        <v>0</v>
      </c>
      <c r="AE33" s="37">
        <f>AE24*Parametre!AD126</f>
        <v>0</v>
      </c>
      <c r="AF33" s="37">
        <f>AF24*Parametre!AE126</f>
        <v>0</v>
      </c>
      <c r="AG33" s="37">
        <f>AG24*Parametre!AF126</f>
        <v>0</v>
      </c>
      <c r="AH33" s="37">
        <f>AH24*Parametre!AG126</f>
        <v>0</v>
      </c>
      <c r="AI33" s="37">
        <f>AI24*Parametre!AH126</f>
        <v>0</v>
      </c>
      <c r="AJ33" s="37">
        <f>AJ24*Parametre!AI126</f>
        <v>0</v>
      </c>
      <c r="AK33" s="37">
        <f>AK24*Parametre!AJ126</f>
        <v>0</v>
      </c>
      <c r="AL33" s="37">
        <f>AL24*Parametre!AK126</f>
        <v>0</v>
      </c>
      <c r="AM33" s="37">
        <f>AM24*Parametre!AL126</f>
        <v>0</v>
      </c>
      <c r="AN33" s="37">
        <f>AN24*Parametre!AM126</f>
        <v>0</v>
      </c>
      <c r="AO33" s="37">
        <f>AO24*Parametre!AN126</f>
        <v>0</v>
      </c>
      <c r="AP33" s="37">
        <f>AP24*Parametre!AO126</f>
        <v>0</v>
      </c>
      <c r="AQ33" s="37">
        <f>AQ24*Parametre!AP126</f>
        <v>0</v>
      </c>
    </row>
    <row r="34" spans="2:43" x14ac:dyDescent="0.2">
      <c r="B34" s="31" t="s">
        <v>290</v>
      </c>
      <c r="C34" s="37">
        <f t="shared" si="41"/>
        <v>0</v>
      </c>
      <c r="D34" s="37">
        <f>D25*Parametre!C127</f>
        <v>0</v>
      </c>
      <c r="E34" s="37">
        <f>E25*Parametre!D127</f>
        <v>0</v>
      </c>
      <c r="F34" s="37">
        <f>F25*Parametre!E127</f>
        <v>0</v>
      </c>
      <c r="G34" s="37">
        <f>G25*Parametre!F127</f>
        <v>0</v>
      </c>
      <c r="H34" s="37">
        <f>H25*Parametre!G127</f>
        <v>0</v>
      </c>
      <c r="I34" s="37">
        <f>I25*Parametre!H127</f>
        <v>0</v>
      </c>
      <c r="J34" s="37">
        <f>J25*Parametre!I127</f>
        <v>0</v>
      </c>
      <c r="K34" s="37">
        <f>K25*Parametre!J127</f>
        <v>0</v>
      </c>
      <c r="L34" s="37">
        <f>L25*Parametre!K127</f>
        <v>0</v>
      </c>
      <c r="M34" s="37">
        <f>M25*Parametre!L127</f>
        <v>0</v>
      </c>
      <c r="N34" s="37">
        <f>N25*Parametre!M127</f>
        <v>0</v>
      </c>
      <c r="O34" s="37">
        <f>O25*Parametre!N127</f>
        <v>0</v>
      </c>
      <c r="P34" s="37">
        <f>P25*Parametre!O127</f>
        <v>0</v>
      </c>
      <c r="Q34" s="37">
        <f>Q25*Parametre!P127</f>
        <v>0</v>
      </c>
      <c r="R34" s="37">
        <f>R25*Parametre!Q127</f>
        <v>0</v>
      </c>
      <c r="S34" s="37">
        <f>S25*Parametre!R127</f>
        <v>0</v>
      </c>
      <c r="T34" s="37">
        <f>T25*Parametre!S127</f>
        <v>0</v>
      </c>
      <c r="U34" s="37">
        <f>U25*Parametre!T127</f>
        <v>0</v>
      </c>
      <c r="V34" s="37">
        <f>V25*Parametre!U127</f>
        <v>0</v>
      </c>
      <c r="W34" s="37">
        <f>W25*Parametre!V127</f>
        <v>0</v>
      </c>
      <c r="X34" s="37">
        <f>X25*Parametre!W127</f>
        <v>0</v>
      </c>
      <c r="Y34" s="37">
        <f>Y25*Parametre!X127</f>
        <v>0</v>
      </c>
      <c r="Z34" s="37">
        <f>Z25*Parametre!Y127</f>
        <v>0</v>
      </c>
      <c r="AA34" s="37">
        <f>AA25*Parametre!Z127</f>
        <v>0</v>
      </c>
      <c r="AB34" s="37">
        <f>AB25*Parametre!AA127</f>
        <v>0</v>
      </c>
      <c r="AC34" s="37">
        <f>AC25*Parametre!AB127</f>
        <v>0</v>
      </c>
      <c r="AD34" s="37">
        <f>AD25*Parametre!AC127</f>
        <v>0</v>
      </c>
      <c r="AE34" s="37">
        <f>AE25*Parametre!AD127</f>
        <v>0</v>
      </c>
      <c r="AF34" s="37">
        <f>AF25*Parametre!AE127</f>
        <v>0</v>
      </c>
      <c r="AG34" s="37">
        <f>AG25*Parametre!AF127</f>
        <v>0</v>
      </c>
      <c r="AH34" s="37">
        <f>AH25*Parametre!AG127</f>
        <v>0</v>
      </c>
      <c r="AI34" s="37">
        <f>AI25*Parametre!AH127</f>
        <v>0</v>
      </c>
      <c r="AJ34" s="37">
        <f>AJ25*Parametre!AI127</f>
        <v>0</v>
      </c>
      <c r="AK34" s="37">
        <f>AK25*Parametre!AJ127</f>
        <v>0</v>
      </c>
      <c r="AL34" s="37">
        <f>AL25*Parametre!AK127</f>
        <v>0</v>
      </c>
      <c r="AM34" s="37">
        <f>AM25*Parametre!AL127</f>
        <v>0</v>
      </c>
      <c r="AN34" s="37">
        <f>AN25*Parametre!AM127</f>
        <v>0</v>
      </c>
      <c r="AO34" s="37">
        <f>AO25*Parametre!AN127</f>
        <v>0</v>
      </c>
      <c r="AP34" s="37">
        <f>AP25*Parametre!AO127</f>
        <v>0</v>
      </c>
      <c r="AQ34" s="37">
        <f>AQ25*Parametre!AP127</f>
        <v>0</v>
      </c>
    </row>
    <row r="35" spans="2:43" x14ac:dyDescent="0.2">
      <c r="B35" s="159" t="s">
        <v>291</v>
      </c>
      <c r="C35" s="160">
        <f t="shared" si="41"/>
        <v>0</v>
      </c>
      <c r="D35" s="161">
        <f t="shared" ref="D35:AG35" si="42">SUM(D32:D34)</f>
        <v>0</v>
      </c>
      <c r="E35" s="160">
        <f t="shared" si="42"/>
        <v>0</v>
      </c>
      <c r="F35" s="160">
        <f t="shared" si="42"/>
        <v>0</v>
      </c>
      <c r="G35" s="160">
        <f t="shared" si="42"/>
        <v>0</v>
      </c>
      <c r="H35" s="160">
        <f t="shared" si="42"/>
        <v>0</v>
      </c>
      <c r="I35" s="160">
        <f t="shared" si="42"/>
        <v>0</v>
      </c>
      <c r="J35" s="160">
        <f t="shared" si="42"/>
        <v>0</v>
      </c>
      <c r="K35" s="160">
        <f t="shared" si="42"/>
        <v>0</v>
      </c>
      <c r="L35" s="160">
        <f t="shared" si="42"/>
        <v>0</v>
      </c>
      <c r="M35" s="160">
        <f t="shared" si="42"/>
        <v>0</v>
      </c>
      <c r="N35" s="160">
        <f t="shared" si="42"/>
        <v>0</v>
      </c>
      <c r="O35" s="160">
        <f t="shared" si="42"/>
        <v>0</v>
      </c>
      <c r="P35" s="160">
        <f t="shared" si="42"/>
        <v>0</v>
      </c>
      <c r="Q35" s="160">
        <f t="shared" si="42"/>
        <v>0</v>
      </c>
      <c r="R35" s="160">
        <f t="shared" si="42"/>
        <v>0</v>
      </c>
      <c r="S35" s="160">
        <f t="shared" si="42"/>
        <v>0</v>
      </c>
      <c r="T35" s="160">
        <f t="shared" si="42"/>
        <v>0</v>
      </c>
      <c r="U35" s="160">
        <f t="shared" si="42"/>
        <v>0</v>
      </c>
      <c r="V35" s="160">
        <f t="shared" si="42"/>
        <v>0</v>
      </c>
      <c r="W35" s="160">
        <f t="shared" si="42"/>
        <v>0</v>
      </c>
      <c r="X35" s="160">
        <f t="shared" si="42"/>
        <v>0</v>
      </c>
      <c r="Y35" s="160">
        <f t="shared" si="42"/>
        <v>0</v>
      </c>
      <c r="Z35" s="160">
        <f t="shared" si="42"/>
        <v>0</v>
      </c>
      <c r="AA35" s="160">
        <f t="shared" si="42"/>
        <v>0</v>
      </c>
      <c r="AB35" s="160">
        <f t="shared" si="42"/>
        <v>0</v>
      </c>
      <c r="AC35" s="160">
        <f t="shared" si="42"/>
        <v>0</v>
      </c>
      <c r="AD35" s="160">
        <f t="shared" si="42"/>
        <v>0</v>
      </c>
      <c r="AE35" s="160">
        <f t="shared" si="42"/>
        <v>0</v>
      </c>
      <c r="AF35" s="160">
        <f t="shared" si="42"/>
        <v>0</v>
      </c>
      <c r="AG35" s="160">
        <f t="shared" si="42"/>
        <v>0</v>
      </c>
      <c r="AH35" s="160">
        <f t="shared" ref="AH35:AN35" si="43">SUM(AH32:AH34)</f>
        <v>0</v>
      </c>
      <c r="AI35" s="160">
        <f t="shared" si="43"/>
        <v>0</v>
      </c>
      <c r="AJ35" s="160">
        <f t="shared" si="43"/>
        <v>0</v>
      </c>
      <c r="AK35" s="160">
        <f t="shared" si="43"/>
        <v>0</v>
      </c>
      <c r="AL35" s="160">
        <f t="shared" si="43"/>
        <v>0</v>
      </c>
      <c r="AM35" s="160">
        <f t="shared" si="43"/>
        <v>0</v>
      </c>
      <c r="AN35" s="160">
        <f t="shared" si="43"/>
        <v>0</v>
      </c>
      <c r="AO35" s="160">
        <f t="shared" ref="AO35:AQ35" si="44">SUM(AO32:AO34)</f>
        <v>0</v>
      </c>
      <c r="AP35" s="160">
        <f t="shared" si="44"/>
        <v>0</v>
      </c>
      <c r="AQ35" s="160">
        <f t="shared" si="44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6CAE-0049-4968-B07D-3352DB1D3AC6}">
  <sheetPr>
    <tabColor theme="7" tint="0.59999389629810485"/>
  </sheetPr>
  <dimension ref="B3:AQ26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38.5703125" style="231" bestFit="1" customWidth="1"/>
    <col min="3" max="3" width="9.140625" style="231" bestFit="1" customWidth="1"/>
    <col min="4" max="43" width="7" style="231" bestFit="1" customWidth="1"/>
    <col min="44" max="16384" width="9.140625" style="231"/>
  </cols>
  <sheetData>
    <row r="3" spans="2:43" x14ac:dyDescent="0.2">
      <c r="B3" s="358" t="s">
        <v>620</v>
      </c>
      <c r="C3" s="359"/>
      <c r="D3" s="256" t="s">
        <v>10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</row>
    <row r="4" spans="2:43" x14ac:dyDescent="0.2">
      <c r="B4" s="360" t="s">
        <v>289</v>
      </c>
      <c r="C4" s="361"/>
      <c r="D4" s="256">
        <v>1</v>
      </c>
      <c r="E4" s="256">
        <v>2</v>
      </c>
      <c r="F4" s="256">
        <v>3</v>
      </c>
      <c r="G4" s="256">
        <v>4</v>
      </c>
      <c r="H4" s="256">
        <v>5</v>
      </c>
      <c r="I4" s="256">
        <v>6</v>
      </c>
      <c r="J4" s="256">
        <v>7</v>
      </c>
      <c r="K4" s="256">
        <v>8</v>
      </c>
      <c r="L4" s="256">
        <v>9</v>
      </c>
      <c r="M4" s="256">
        <v>10</v>
      </c>
      <c r="N4" s="256">
        <v>11</v>
      </c>
      <c r="O4" s="256">
        <v>12</v>
      </c>
      <c r="P4" s="256">
        <v>13</v>
      </c>
      <c r="Q4" s="256">
        <v>14</v>
      </c>
      <c r="R4" s="256">
        <v>15</v>
      </c>
      <c r="S4" s="256">
        <v>16</v>
      </c>
      <c r="T4" s="256">
        <v>17</v>
      </c>
      <c r="U4" s="256">
        <v>18</v>
      </c>
      <c r="V4" s="256">
        <v>19</v>
      </c>
      <c r="W4" s="256">
        <v>20</v>
      </c>
      <c r="X4" s="256">
        <v>21</v>
      </c>
      <c r="Y4" s="256">
        <v>22</v>
      </c>
      <c r="Z4" s="256">
        <v>23</v>
      </c>
      <c r="AA4" s="256">
        <v>24</v>
      </c>
      <c r="AB4" s="256">
        <v>25</v>
      </c>
      <c r="AC4" s="256">
        <v>26</v>
      </c>
      <c r="AD4" s="256">
        <v>27</v>
      </c>
      <c r="AE4" s="256">
        <v>28</v>
      </c>
      <c r="AF4" s="256">
        <v>29</v>
      </c>
      <c r="AG4" s="256">
        <v>30</v>
      </c>
      <c r="AH4" s="256">
        <v>31</v>
      </c>
      <c r="AI4" s="256">
        <v>32</v>
      </c>
      <c r="AJ4" s="256">
        <v>33</v>
      </c>
      <c r="AK4" s="256">
        <v>34</v>
      </c>
      <c r="AL4" s="256">
        <v>35</v>
      </c>
      <c r="AM4" s="256">
        <v>36</v>
      </c>
      <c r="AN4" s="256">
        <v>37</v>
      </c>
      <c r="AO4" s="256">
        <v>38</v>
      </c>
      <c r="AP4" s="256">
        <v>39</v>
      </c>
      <c r="AQ4" s="256">
        <v>40</v>
      </c>
    </row>
    <row r="5" spans="2:43" x14ac:dyDescent="0.2">
      <c r="B5" s="259" t="s">
        <v>33</v>
      </c>
      <c r="C5" s="259" t="s">
        <v>9</v>
      </c>
      <c r="D5" s="304">
        <v>2026</v>
      </c>
      <c r="E5" s="304">
        <f>$D$5+D4</f>
        <v>2027</v>
      </c>
      <c r="F5" s="304">
        <f t="shared" ref="F5:AN5" si="0">$D$5+E4</f>
        <v>2028</v>
      </c>
      <c r="G5" s="304">
        <f t="shared" si="0"/>
        <v>2029</v>
      </c>
      <c r="H5" s="304">
        <f t="shared" si="0"/>
        <v>2030</v>
      </c>
      <c r="I5" s="304">
        <f t="shared" si="0"/>
        <v>2031</v>
      </c>
      <c r="J5" s="304">
        <f t="shared" si="0"/>
        <v>2032</v>
      </c>
      <c r="K5" s="304">
        <f t="shared" si="0"/>
        <v>2033</v>
      </c>
      <c r="L5" s="304">
        <f t="shared" si="0"/>
        <v>2034</v>
      </c>
      <c r="M5" s="304">
        <f t="shared" si="0"/>
        <v>2035</v>
      </c>
      <c r="N5" s="304">
        <f t="shared" si="0"/>
        <v>2036</v>
      </c>
      <c r="O5" s="304">
        <f t="shared" si="0"/>
        <v>2037</v>
      </c>
      <c r="P5" s="304">
        <f t="shared" si="0"/>
        <v>2038</v>
      </c>
      <c r="Q5" s="304">
        <f t="shared" si="0"/>
        <v>2039</v>
      </c>
      <c r="R5" s="304">
        <f t="shared" si="0"/>
        <v>2040</v>
      </c>
      <c r="S5" s="304">
        <f t="shared" si="0"/>
        <v>2041</v>
      </c>
      <c r="T5" s="304">
        <f t="shared" si="0"/>
        <v>2042</v>
      </c>
      <c r="U5" s="304">
        <f t="shared" si="0"/>
        <v>2043</v>
      </c>
      <c r="V5" s="304">
        <f t="shared" si="0"/>
        <v>2044</v>
      </c>
      <c r="W5" s="304">
        <f t="shared" si="0"/>
        <v>2045</v>
      </c>
      <c r="X5" s="304">
        <f t="shared" si="0"/>
        <v>2046</v>
      </c>
      <c r="Y5" s="304">
        <f t="shared" si="0"/>
        <v>2047</v>
      </c>
      <c r="Z5" s="304">
        <f t="shared" si="0"/>
        <v>2048</v>
      </c>
      <c r="AA5" s="304">
        <f t="shared" si="0"/>
        <v>2049</v>
      </c>
      <c r="AB5" s="304">
        <f t="shared" si="0"/>
        <v>2050</v>
      </c>
      <c r="AC5" s="304">
        <f t="shared" si="0"/>
        <v>2051</v>
      </c>
      <c r="AD5" s="304">
        <f t="shared" si="0"/>
        <v>2052</v>
      </c>
      <c r="AE5" s="304">
        <f t="shared" si="0"/>
        <v>2053</v>
      </c>
      <c r="AF5" s="304">
        <f t="shared" si="0"/>
        <v>2054</v>
      </c>
      <c r="AG5" s="304">
        <f t="shared" si="0"/>
        <v>2055</v>
      </c>
      <c r="AH5" s="304">
        <f t="shared" si="0"/>
        <v>2056</v>
      </c>
      <c r="AI5" s="304">
        <f t="shared" si="0"/>
        <v>2057</v>
      </c>
      <c r="AJ5" s="304">
        <f t="shared" si="0"/>
        <v>2058</v>
      </c>
      <c r="AK5" s="304">
        <f t="shared" si="0"/>
        <v>2059</v>
      </c>
      <c r="AL5" s="304">
        <f t="shared" si="0"/>
        <v>2060</v>
      </c>
      <c r="AM5" s="304">
        <f t="shared" si="0"/>
        <v>2061</v>
      </c>
      <c r="AN5" s="304">
        <f t="shared" si="0"/>
        <v>2062</v>
      </c>
      <c r="AO5" s="304">
        <f t="shared" ref="AO5" si="1">$D$5+AN4</f>
        <v>2063</v>
      </c>
      <c r="AP5" s="304">
        <f t="shared" ref="AP5" si="2">$D$5+AO4</f>
        <v>2064</v>
      </c>
      <c r="AQ5" s="304">
        <f t="shared" ref="AQ5" si="3">$D$5+AP4</f>
        <v>2065</v>
      </c>
    </row>
    <row r="6" spans="2:43" x14ac:dyDescent="0.2">
      <c r="B6" s="362" t="s">
        <v>685</v>
      </c>
      <c r="C6" s="363">
        <f>SUM(D6:AQ6)</f>
        <v>13345332.000000007</v>
      </c>
      <c r="D6" s="235">
        <f>Vstupy!$B$24*Vstupy!$D$62</f>
        <v>333633.3</v>
      </c>
      <c r="E6" s="235">
        <f>Vstupy!$B$24*Vstupy!$D$62</f>
        <v>333633.3</v>
      </c>
      <c r="F6" s="235">
        <f>Vstupy!$B$24*Vstupy!$D$62</f>
        <v>333633.3</v>
      </c>
      <c r="G6" s="235">
        <f>Vstupy!$B$24*Vstupy!$D$62</f>
        <v>333633.3</v>
      </c>
      <c r="H6" s="235">
        <f>Vstupy!$B$24*Vstupy!$D$62</f>
        <v>333633.3</v>
      </c>
      <c r="I6" s="235">
        <f>Vstupy!$B$24*Vstupy!$D$62</f>
        <v>333633.3</v>
      </c>
      <c r="J6" s="235">
        <f>Vstupy!$B$24*Vstupy!$D$62</f>
        <v>333633.3</v>
      </c>
      <c r="K6" s="235">
        <f>Vstupy!$B$24*Vstupy!$D$62</f>
        <v>333633.3</v>
      </c>
      <c r="L6" s="235">
        <f>Vstupy!$B$24*Vstupy!$D$62</f>
        <v>333633.3</v>
      </c>
      <c r="M6" s="235">
        <f>Vstupy!$B$24*Vstupy!$D$62</f>
        <v>333633.3</v>
      </c>
      <c r="N6" s="235">
        <f>Vstupy!$B$24*Vstupy!$D$62</f>
        <v>333633.3</v>
      </c>
      <c r="O6" s="235">
        <f>Vstupy!$B$24*Vstupy!$D$62</f>
        <v>333633.3</v>
      </c>
      <c r="P6" s="235">
        <f>Vstupy!$B$24*Vstupy!$D$62</f>
        <v>333633.3</v>
      </c>
      <c r="Q6" s="235">
        <f>Vstupy!$B$24*Vstupy!$D$62</f>
        <v>333633.3</v>
      </c>
      <c r="R6" s="235">
        <f>Vstupy!$B$24*Vstupy!$D$62</f>
        <v>333633.3</v>
      </c>
      <c r="S6" s="235">
        <f>Vstupy!$B$24*Vstupy!$D$62</f>
        <v>333633.3</v>
      </c>
      <c r="T6" s="235">
        <f>Vstupy!$B$24*Vstupy!$D$62</f>
        <v>333633.3</v>
      </c>
      <c r="U6" s="235">
        <f>Vstupy!$B$24*Vstupy!$D$62</f>
        <v>333633.3</v>
      </c>
      <c r="V6" s="235">
        <f>Vstupy!$B$24*Vstupy!$D$62</f>
        <v>333633.3</v>
      </c>
      <c r="W6" s="235">
        <f>Vstupy!$B$24*Vstupy!$D$62</f>
        <v>333633.3</v>
      </c>
      <c r="X6" s="235">
        <f>Vstupy!$B$24*Vstupy!$D$62</f>
        <v>333633.3</v>
      </c>
      <c r="Y6" s="235">
        <f>Vstupy!$B$24*Vstupy!$D$62</f>
        <v>333633.3</v>
      </c>
      <c r="Z6" s="235">
        <f>Vstupy!$B$24*Vstupy!$D$62</f>
        <v>333633.3</v>
      </c>
      <c r="AA6" s="235">
        <f>Vstupy!$B$24*Vstupy!$D$62</f>
        <v>333633.3</v>
      </c>
      <c r="AB6" s="235">
        <f>Vstupy!$B$24*Vstupy!$D$62</f>
        <v>333633.3</v>
      </c>
      <c r="AC6" s="235">
        <f>Vstupy!$B$24*Vstupy!$D$62</f>
        <v>333633.3</v>
      </c>
      <c r="AD6" s="235">
        <f>Vstupy!$B$24*Vstupy!$D$62</f>
        <v>333633.3</v>
      </c>
      <c r="AE6" s="235">
        <f>Vstupy!$B$24*Vstupy!$D$62</f>
        <v>333633.3</v>
      </c>
      <c r="AF6" s="235">
        <f>Vstupy!$B$24*Vstupy!$D$62</f>
        <v>333633.3</v>
      </c>
      <c r="AG6" s="235">
        <f>Vstupy!$B$24*Vstupy!$D$62</f>
        <v>333633.3</v>
      </c>
      <c r="AH6" s="235">
        <f>Vstupy!$B$24*Vstupy!$D$62</f>
        <v>333633.3</v>
      </c>
      <c r="AI6" s="235">
        <f>Vstupy!$B$24*Vstupy!$D$62</f>
        <v>333633.3</v>
      </c>
      <c r="AJ6" s="235">
        <f>Vstupy!$B$24*Vstupy!$D$62</f>
        <v>333633.3</v>
      </c>
      <c r="AK6" s="235">
        <f>Vstupy!$B$24*Vstupy!$D$62</f>
        <v>333633.3</v>
      </c>
      <c r="AL6" s="235">
        <f>Vstupy!$B$24*Vstupy!$D$62</f>
        <v>333633.3</v>
      </c>
      <c r="AM6" s="235">
        <f>Vstupy!$B$24*Vstupy!$D$62</f>
        <v>333633.3</v>
      </c>
      <c r="AN6" s="235">
        <f>Vstupy!$B$24*Vstupy!$D$62</f>
        <v>333633.3</v>
      </c>
      <c r="AO6" s="235">
        <f>Vstupy!$B$24*Vstupy!$D$62</f>
        <v>333633.3</v>
      </c>
      <c r="AP6" s="235">
        <f>Vstupy!$B$24*Vstupy!$D$62</f>
        <v>333633.3</v>
      </c>
      <c r="AQ6" s="235">
        <f>Vstupy!$B$24*Vstupy!$D$62</f>
        <v>333633.3</v>
      </c>
    </row>
    <row r="8" spans="2:43" x14ac:dyDescent="0.2">
      <c r="B8" s="305"/>
      <c r="C8" s="305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</row>
    <row r="9" spans="2:43" x14ac:dyDescent="0.2">
      <c r="B9" s="358" t="s">
        <v>621</v>
      </c>
      <c r="C9" s="359"/>
      <c r="D9" s="256" t="s">
        <v>10</v>
      </c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</row>
    <row r="10" spans="2:43" x14ac:dyDescent="0.2">
      <c r="B10" s="360" t="s">
        <v>290</v>
      </c>
      <c r="C10" s="361"/>
      <c r="D10" s="256">
        <v>1</v>
      </c>
      <c r="E10" s="256">
        <v>2</v>
      </c>
      <c r="F10" s="256">
        <v>3</v>
      </c>
      <c r="G10" s="256">
        <v>4</v>
      </c>
      <c r="H10" s="256">
        <v>5</v>
      </c>
      <c r="I10" s="256">
        <v>6</v>
      </c>
      <c r="J10" s="256">
        <v>7</v>
      </c>
      <c r="K10" s="256">
        <v>8</v>
      </c>
      <c r="L10" s="256">
        <v>9</v>
      </c>
      <c r="M10" s="256">
        <v>10</v>
      </c>
      <c r="N10" s="256">
        <v>11</v>
      </c>
      <c r="O10" s="256">
        <v>12</v>
      </c>
      <c r="P10" s="256">
        <v>13</v>
      </c>
      <c r="Q10" s="256">
        <v>14</v>
      </c>
      <c r="R10" s="256">
        <v>15</v>
      </c>
      <c r="S10" s="256">
        <v>16</v>
      </c>
      <c r="T10" s="256">
        <v>17</v>
      </c>
      <c r="U10" s="256">
        <v>18</v>
      </c>
      <c r="V10" s="256">
        <v>19</v>
      </c>
      <c r="W10" s="256">
        <v>20</v>
      </c>
      <c r="X10" s="256">
        <v>21</v>
      </c>
      <c r="Y10" s="256">
        <v>22</v>
      </c>
      <c r="Z10" s="256">
        <v>23</v>
      </c>
      <c r="AA10" s="256">
        <v>24</v>
      </c>
      <c r="AB10" s="256">
        <v>25</v>
      </c>
      <c r="AC10" s="256">
        <v>26</v>
      </c>
      <c r="AD10" s="256">
        <v>27</v>
      </c>
      <c r="AE10" s="256">
        <v>28</v>
      </c>
      <c r="AF10" s="256">
        <v>29</v>
      </c>
      <c r="AG10" s="256">
        <v>30</v>
      </c>
      <c r="AH10" s="256">
        <v>31</v>
      </c>
      <c r="AI10" s="256">
        <v>32</v>
      </c>
      <c r="AJ10" s="256">
        <v>33</v>
      </c>
      <c r="AK10" s="256">
        <v>34</v>
      </c>
      <c r="AL10" s="256">
        <v>35</v>
      </c>
      <c r="AM10" s="256">
        <v>36</v>
      </c>
      <c r="AN10" s="256">
        <v>37</v>
      </c>
      <c r="AO10" s="256">
        <v>38</v>
      </c>
      <c r="AP10" s="256">
        <v>39</v>
      </c>
      <c r="AQ10" s="256">
        <v>40</v>
      </c>
    </row>
    <row r="11" spans="2:43" x14ac:dyDescent="0.2">
      <c r="B11" s="259" t="s">
        <v>33</v>
      </c>
      <c r="C11" s="259" t="s">
        <v>9</v>
      </c>
      <c r="D11" s="304">
        <v>2026</v>
      </c>
      <c r="E11" s="304">
        <f>$D$5+D10</f>
        <v>2027</v>
      </c>
      <c r="F11" s="304">
        <f t="shared" ref="F11:AN11" si="4">$D$5+E10</f>
        <v>2028</v>
      </c>
      <c r="G11" s="304">
        <f t="shared" si="4"/>
        <v>2029</v>
      </c>
      <c r="H11" s="304">
        <f t="shared" si="4"/>
        <v>2030</v>
      </c>
      <c r="I11" s="304">
        <f t="shared" si="4"/>
        <v>2031</v>
      </c>
      <c r="J11" s="304">
        <f t="shared" si="4"/>
        <v>2032</v>
      </c>
      <c r="K11" s="304">
        <f t="shared" si="4"/>
        <v>2033</v>
      </c>
      <c r="L11" s="304">
        <f t="shared" si="4"/>
        <v>2034</v>
      </c>
      <c r="M11" s="304">
        <f t="shared" si="4"/>
        <v>2035</v>
      </c>
      <c r="N11" s="304">
        <f t="shared" si="4"/>
        <v>2036</v>
      </c>
      <c r="O11" s="304">
        <f t="shared" si="4"/>
        <v>2037</v>
      </c>
      <c r="P11" s="304">
        <f t="shared" si="4"/>
        <v>2038</v>
      </c>
      <c r="Q11" s="304">
        <f t="shared" si="4"/>
        <v>2039</v>
      </c>
      <c r="R11" s="304">
        <f t="shared" si="4"/>
        <v>2040</v>
      </c>
      <c r="S11" s="304">
        <f t="shared" si="4"/>
        <v>2041</v>
      </c>
      <c r="T11" s="304">
        <f t="shared" si="4"/>
        <v>2042</v>
      </c>
      <c r="U11" s="304">
        <f t="shared" si="4"/>
        <v>2043</v>
      </c>
      <c r="V11" s="304">
        <f t="shared" si="4"/>
        <v>2044</v>
      </c>
      <c r="W11" s="304">
        <f t="shared" si="4"/>
        <v>2045</v>
      </c>
      <c r="X11" s="304">
        <f t="shared" si="4"/>
        <v>2046</v>
      </c>
      <c r="Y11" s="304">
        <f t="shared" si="4"/>
        <v>2047</v>
      </c>
      <c r="Z11" s="304">
        <f t="shared" si="4"/>
        <v>2048</v>
      </c>
      <c r="AA11" s="304">
        <f t="shared" si="4"/>
        <v>2049</v>
      </c>
      <c r="AB11" s="304">
        <f t="shared" si="4"/>
        <v>2050</v>
      </c>
      <c r="AC11" s="304">
        <f t="shared" si="4"/>
        <v>2051</v>
      </c>
      <c r="AD11" s="304">
        <f t="shared" si="4"/>
        <v>2052</v>
      </c>
      <c r="AE11" s="304">
        <f t="shared" si="4"/>
        <v>2053</v>
      </c>
      <c r="AF11" s="304">
        <f t="shared" si="4"/>
        <v>2054</v>
      </c>
      <c r="AG11" s="304">
        <f t="shared" si="4"/>
        <v>2055</v>
      </c>
      <c r="AH11" s="304">
        <f t="shared" si="4"/>
        <v>2056</v>
      </c>
      <c r="AI11" s="304">
        <f t="shared" si="4"/>
        <v>2057</v>
      </c>
      <c r="AJ11" s="304">
        <f t="shared" si="4"/>
        <v>2058</v>
      </c>
      <c r="AK11" s="304">
        <f t="shared" si="4"/>
        <v>2059</v>
      </c>
      <c r="AL11" s="304">
        <f t="shared" si="4"/>
        <v>2060</v>
      </c>
      <c r="AM11" s="304">
        <f t="shared" si="4"/>
        <v>2061</v>
      </c>
      <c r="AN11" s="304">
        <f t="shared" si="4"/>
        <v>2062</v>
      </c>
      <c r="AO11" s="304">
        <f t="shared" ref="AO11" si="5">$D$5+AN10</f>
        <v>2063</v>
      </c>
      <c r="AP11" s="304">
        <f t="shared" ref="AP11" si="6">$D$5+AO10</f>
        <v>2064</v>
      </c>
      <c r="AQ11" s="304">
        <f t="shared" ref="AQ11" si="7">$D$5+AP10</f>
        <v>2065</v>
      </c>
    </row>
    <row r="12" spans="2:43" x14ac:dyDescent="0.2">
      <c r="B12" s="362" t="s">
        <v>685</v>
      </c>
      <c r="C12" s="363">
        <f>SUM(D12:AQ12)</f>
        <v>9239076.0000000056</v>
      </c>
      <c r="D12" s="235">
        <f>Vstupy!$B$24*Vstupy!$F$62</f>
        <v>230976.9</v>
      </c>
      <c r="E12" s="235">
        <f>Vstupy!$B$24*Vstupy!$F$62</f>
        <v>230976.9</v>
      </c>
      <c r="F12" s="235">
        <f>Vstupy!$B$24*Vstupy!$F$62</f>
        <v>230976.9</v>
      </c>
      <c r="G12" s="235">
        <f>Vstupy!$B$24*Vstupy!$F$62</f>
        <v>230976.9</v>
      </c>
      <c r="H12" s="235">
        <f>Vstupy!$B$24*Vstupy!$F$62</f>
        <v>230976.9</v>
      </c>
      <c r="I12" s="235">
        <f>Vstupy!$B$24*Vstupy!$F$62</f>
        <v>230976.9</v>
      </c>
      <c r="J12" s="235">
        <f>Vstupy!$B$24*Vstupy!$F$62</f>
        <v>230976.9</v>
      </c>
      <c r="K12" s="235">
        <f>Vstupy!$B$24*Vstupy!$F$62</f>
        <v>230976.9</v>
      </c>
      <c r="L12" s="235">
        <f>Vstupy!$B$24*Vstupy!$F$62</f>
        <v>230976.9</v>
      </c>
      <c r="M12" s="235">
        <f>Vstupy!$B$24*Vstupy!$F$62</f>
        <v>230976.9</v>
      </c>
      <c r="N12" s="235">
        <f>Vstupy!$B$24*Vstupy!$F$62</f>
        <v>230976.9</v>
      </c>
      <c r="O12" s="235">
        <f>Vstupy!$B$24*Vstupy!$F$62</f>
        <v>230976.9</v>
      </c>
      <c r="P12" s="235">
        <f>Vstupy!$B$24*Vstupy!$F$62</f>
        <v>230976.9</v>
      </c>
      <c r="Q12" s="235">
        <f>Vstupy!$B$24*Vstupy!$F$62</f>
        <v>230976.9</v>
      </c>
      <c r="R12" s="235">
        <f>Vstupy!$B$24*Vstupy!$F$62</f>
        <v>230976.9</v>
      </c>
      <c r="S12" s="235">
        <f>Vstupy!$B$24*Vstupy!$F$62</f>
        <v>230976.9</v>
      </c>
      <c r="T12" s="235">
        <f>Vstupy!$B$24*Vstupy!$F$62</f>
        <v>230976.9</v>
      </c>
      <c r="U12" s="235">
        <f>Vstupy!$B$24*Vstupy!$F$62</f>
        <v>230976.9</v>
      </c>
      <c r="V12" s="235">
        <f>Vstupy!$B$24*Vstupy!$F$62</f>
        <v>230976.9</v>
      </c>
      <c r="W12" s="235">
        <f>Vstupy!$B$24*Vstupy!$F$62</f>
        <v>230976.9</v>
      </c>
      <c r="X12" s="235">
        <f>Vstupy!$B$24*Vstupy!$F$62</f>
        <v>230976.9</v>
      </c>
      <c r="Y12" s="235">
        <f>Vstupy!$B$24*Vstupy!$F$62</f>
        <v>230976.9</v>
      </c>
      <c r="Z12" s="235">
        <f>Vstupy!$B$24*Vstupy!$F$62</f>
        <v>230976.9</v>
      </c>
      <c r="AA12" s="235">
        <f>Vstupy!$B$24*Vstupy!$F$62</f>
        <v>230976.9</v>
      </c>
      <c r="AB12" s="235">
        <f>Vstupy!$B$24*Vstupy!$F$62</f>
        <v>230976.9</v>
      </c>
      <c r="AC12" s="235">
        <f>Vstupy!$B$24*Vstupy!$F$62</f>
        <v>230976.9</v>
      </c>
      <c r="AD12" s="235">
        <f>Vstupy!$B$24*Vstupy!$F$62</f>
        <v>230976.9</v>
      </c>
      <c r="AE12" s="235">
        <f>Vstupy!$B$24*Vstupy!$F$62</f>
        <v>230976.9</v>
      </c>
      <c r="AF12" s="235">
        <f>Vstupy!$B$24*Vstupy!$F$62</f>
        <v>230976.9</v>
      </c>
      <c r="AG12" s="235">
        <f>Vstupy!$B$24*Vstupy!$F$62</f>
        <v>230976.9</v>
      </c>
      <c r="AH12" s="235">
        <f>Vstupy!$B$24*Vstupy!$F$62</f>
        <v>230976.9</v>
      </c>
      <c r="AI12" s="235">
        <f>Vstupy!$B$24*Vstupy!$F$62</f>
        <v>230976.9</v>
      </c>
      <c r="AJ12" s="235">
        <f>Vstupy!$B$24*Vstupy!$F$62</f>
        <v>230976.9</v>
      </c>
      <c r="AK12" s="235">
        <f>Vstupy!$B$24*Vstupy!$F$62</f>
        <v>230976.9</v>
      </c>
      <c r="AL12" s="235">
        <f>Vstupy!$B$24*Vstupy!$F$62</f>
        <v>230976.9</v>
      </c>
      <c r="AM12" s="235">
        <f>Vstupy!$B$24*Vstupy!$F$62</f>
        <v>230976.9</v>
      </c>
      <c r="AN12" s="235">
        <f>Vstupy!$B$24*Vstupy!$F$62</f>
        <v>230976.9</v>
      </c>
      <c r="AO12" s="235">
        <f>Vstupy!$B$24*Vstupy!$F$62</f>
        <v>230976.9</v>
      </c>
      <c r="AP12" s="235">
        <f>Vstupy!$B$24*Vstupy!$F$62</f>
        <v>230976.9</v>
      </c>
      <c r="AQ12" s="235">
        <f>Vstupy!$B$24*Vstupy!$F$62</f>
        <v>230976.9</v>
      </c>
    </row>
    <row r="13" spans="2:43" x14ac:dyDescent="0.2">
      <c r="B13" s="305"/>
      <c r="C13" s="305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</row>
    <row r="14" spans="2:43" x14ac:dyDescent="0.2">
      <c r="B14" s="305"/>
      <c r="C14" s="306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358" t="s">
        <v>622</v>
      </c>
      <c r="C15" s="359"/>
      <c r="D15" s="256" t="s">
        <v>10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</row>
    <row r="16" spans="2:43" x14ac:dyDescent="0.2">
      <c r="B16" s="360" t="s">
        <v>289</v>
      </c>
      <c r="C16" s="361"/>
      <c r="D16" s="256">
        <v>1</v>
      </c>
      <c r="E16" s="256">
        <v>2</v>
      </c>
      <c r="F16" s="256">
        <v>3</v>
      </c>
      <c r="G16" s="256">
        <v>4</v>
      </c>
      <c r="H16" s="256">
        <v>5</v>
      </c>
      <c r="I16" s="256">
        <v>6</v>
      </c>
      <c r="J16" s="256">
        <v>7</v>
      </c>
      <c r="K16" s="256">
        <v>8</v>
      </c>
      <c r="L16" s="256">
        <v>9</v>
      </c>
      <c r="M16" s="256">
        <v>10</v>
      </c>
      <c r="N16" s="256">
        <v>11</v>
      </c>
      <c r="O16" s="256">
        <v>12</v>
      </c>
      <c r="P16" s="256">
        <v>13</v>
      </c>
      <c r="Q16" s="256">
        <v>14</v>
      </c>
      <c r="R16" s="256">
        <v>15</v>
      </c>
      <c r="S16" s="256">
        <v>16</v>
      </c>
      <c r="T16" s="256">
        <v>17</v>
      </c>
      <c r="U16" s="256">
        <v>18</v>
      </c>
      <c r="V16" s="256">
        <v>19</v>
      </c>
      <c r="W16" s="256">
        <v>20</v>
      </c>
      <c r="X16" s="256">
        <v>21</v>
      </c>
      <c r="Y16" s="256">
        <v>22</v>
      </c>
      <c r="Z16" s="256">
        <v>23</v>
      </c>
      <c r="AA16" s="256">
        <v>24</v>
      </c>
      <c r="AB16" s="256">
        <v>25</v>
      </c>
      <c r="AC16" s="256">
        <v>26</v>
      </c>
      <c r="AD16" s="256">
        <v>27</v>
      </c>
      <c r="AE16" s="256">
        <v>28</v>
      </c>
      <c r="AF16" s="256">
        <v>29</v>
      </c>
      <c r="AG16" s="256">
        <v>30</v>
      </c>
      <c r="AH16" s="256">
        <v>31</v>
      </c>
      <c r="AI16" s="256">
        <v>32</v>
      </c>
      <c r="AJ16" s="256">
        <v>33</v>
      </c>
      <c r="AK16" s="256">
        <v>34</v>
      </c>
      <c r="AL16" s="256">
        <v>35</v>
      </c>
      <c r="AM16" s="256">
        <v>36</v>
      </c>
      <c r="AN16" s="256">
        <v>37</v>
      </c>
      <c r="AO16" s="256">
        <v>38</v>
      </c>
      <c r="AP16" s="256">
        <v>39</v>
      </c>
      <c r="AQ16" s="256">
        <v>40</v>
      </c>
    </row>
    <row r="17" spans="2:43" x14ac:dyDescent="0.2">
      <c r="B17" s="259" t="s">
        <v>34</v>
      </c>
      <c r="C17" s="259" t="s">
        <v>9</v>
      </c>
      <c r="D17" s="304">
        <v>2026</v>
      </c>
      <c r="E17" s="304">
        <f>$D$5+D16</f>
        <v>2027</v>
      </c>
      <c r="F17" s="304">
        <f t="shared" ref="F17:AN17" si="8">$D$5+E16</f>
        <v>2028</v>
      </c>
      <c r="G17" s="304">
        <f t="shared" si="8"/>
        <v>2029</v>
      </c>
      <c r="H17" s="304">
        <f t="shared" si="8"/>
        <v>2030</v>
      </c>
      <c r="I17" s="304">
        <f t="shared" si="8"/>
        <v>2031</v>
      </c>
      <c r="J17" s="304">
        <f t="shared" si="8"/>
        <v>2032</v>
      </c>
      <c r="K17" s="304">
        <f t="shared" si="8"/>
        <v>2033</v>
      </c>
      <c r="L17" s="304">
        <f t="shared" si="8"/>
        <v>2034</v>
      </c>
      <c r="M17" s="304">
        <f t="shared" si="8"/>
        <v>2035</v>
      </c>
      <c r="N17" s="304">
        <f t="shared" si="8"/>
        <v>2036</v>
      </c>
      <c r="O17" s="304">
        <f t="shared" si="8"/>
        <v>2037</v>
      </c>
      <c r="P17" s="304">
        <f t="shared" si="8"/>
        <v>2038</v>
      </c>
      <c r="Q17" s="304">
        <f t="shared" si="8"/>
        <v>2039</v>
      </c>
      <c r="R17" s="304">
        <f t="shared" si="8"/>
        <v>2040</v>
      </c>
      <c r="S17" s="304">
        <f t="shared" si="8"/>
        <v>2041</v>
      </c>
      <c r="T17" s="304">
        <f t="shared" si="8"/>
        <v>2042</v>
      </c>
      <c r="U17" s="304">
        <f t="shared" si="8"/>
        <v>2043</v>
      </c>
      <c r="V17" s="304">
        <f t="shared" si="8"/>
        <v>2044</v>
      </c>
      <c r="W17" s="304">
        <f t="shared" si="8"/>
        <v>2045</v>
      </c>
      <c r="X17" s="304">
        <f t="shared" si="8"/>
        <v>2046</v>
      </c>
      <c r="Y17" s="304">
        <f t="shared" si="8"/>
        <v>2047</v>
      </c>
      <c r="Z17" s="304">
        <f t="shared" si="8"/>
        <v>2048</v>
      </c>
      <c r="AA17" s="304">
        <f t="shared" si="8"/>
        <v>2049</v>
      </c>
      <c r="AB17" s="304">
        <f t="shared" si="8"/>
        <v>2050</v>
      </c>
      <c r="AC17" s="304">
        <f t="shared" si="8"/>
        <v>2051</v>
      </c>
      <c r="AD17" s="304">
        <f t="shared" si="8"/>
        <v>2052</v>
      </c>
      <c r="AE17" s="304">
        <f t="shared" si="8"/>
        <v>2053</v>
      </c>
      <c r="AF17" s="304">
        <f t="shared" si="8"/>
        <v>2054</v>
      </c>
      <c r="AG17" s="304">
        <f t="shared" si="8"/>
        <v>2055</v>
      </c>
      <c r="AH17" s="304">
        <f t="shared" si="8"/>
        <v>2056</v>
      </c>
      <c r="AI17" s="304">
        <f t="shared" si="8"/>
        <v>2057</v>
      </c>
      <c r="AJ17" s="304">
        <f t="shared" si="8"/>
        <v>2058</v>
      </c>
      <c r="AK17" s="304">
        <f t="shared" si="8"/>
        <v>2059</v>
      </c>
      <c r="AL17" s="304">
        <f t="shared" si="8"/>
        <v>2060</v>
      </c>
      <c r="AM17" s="304">
        <f t="shared" si="8"/>
        <v>2061</v>
      </c>
      <c r="AN17" s="304">
        <f t="shared" si="8"/>
        <v>2062</v>
      </c>
      <c r="AO17" s="304">
        <f t="shared" ref="AO17" si="9">$D$5+AN16</f>
        <v>2063</v>
      </c>
      <c r="AP17" s="304">
        <f t="shared" ref="AP17" si="10">$D$5+AO16</f>
        <v>2064</v>
      </c>
      <c r="AQ17" s="304">
        <f t="shared" ref="AQ17" si="11">$D$5+AP16</f>
        <v>2065</v>
      </c>
    </row>
    <row r="18" spans="2:43" x14ac:dyDescent="0.2">
      <c r="B18" s="362" t="s">
        <v>685</v>
      </c>
      <c r="C18" s="363">
        <f>SUM(D18:AQ18)</f>
        <v>13345332.000000007</v>
      </c>
      <c r="D18" s="235">
        <f>Vstupy!$C$24*Vstupy!$D$62</f>
        <v>333633.3</v>
      </c>
      <c r="E18" s="235">
        <f>Vstupy!$C$24*Vstupy!$D$62</f>
        <v>333633.3</v>
      </c>
      <c r="F18" s="235">
        <f>Vstupy!$C$24*Vstupy!$D$62</f>
        <v>333633.3</v>
      </c>
      <c r="G18" s="235">
        <f>Vstupy!$C$24*Vstupy!$D$62</f>
        <v>333633.3</v>
      </c>
      <c r="H18" s="235">
        <f>Vstupy!$C$24*Vstupy!$D$62</f>
        <v>333633.3</v>
      </c>
      <c r="I18" s="235">
        <f>Vstupy!$C$24*Vstupy!$D$62</f>
        <v>333633.3</v>
      </c>
      <c r="J18" s="235">
        <f>Vstupy!$C$24*Vstupy!$D$62</f>
        <v>333633.3</v>
      </c>
      <c r="K18" s="235">
        <f>Vstupy!$C$24*Vstupy!$D$62</f>
        <v>333633.3</v>
      </c>
      <c r="L18" s="235">
        <f>Vstupy!$C$24*Vstupy!$D$62</f>
        <v>333633.3</v>
      </c>
      <c r="M18" s="235">
        <f>Vstupy!$C$24*Vstupy!$D$62</f>
        <v>333633.3</v>
      </c>
      <c r="N18" s="235">
        <f>Vstupy!$C$24*Vstupy!$D$62</f>
        <v>333633.3</v>
      </c>
      <c r="O18" s="235">
        <f>Vstupy!$C$24*Vstupy!$D$62</f>
        <v>333633.3</v>
      </c>
      <c r="P18" s="235">
        <f>Vstupy!$C$24*Vstupy!$D$62</f>
        <v>333633.3</v>
      </c>
      <c r="Q18" s="235">
        <f>Vstupy!$C$24*Vstupy!$D$62</f>
        <v>333633.3</v>
      </c>
      <c r="R18" s="235">
        <f>Vstupy!$C$24*Vstupy!$D$62</f>
        <v>333633.3</v>
      </c>
      <c r="S18" s="235">
        <f>Vstupy!$C$24*Vstupy!$D$62</f>
        <v>333633.3</v>
      </c>
      <c r="T18" s="235">
        <f>Vstupy!$C$24*Vstupy!$D$62</f>
        <v>333633.3</v>
      </c>
      <c r="U18" s="235">
        <f>Vstupy!$C$24*Vstupy!$D$62</f>
        <v>333633.3</v>
      </c>
      <c r="V18" s="235">
        <f>Vstupy!$C$24*Vstupy!$D$62</f>
        <v>333633.3</v>
      </c>
      <c r="W18" s="235">
        <f>Vstupy!$C$24*Vstupy!$D$62</f>
        <v>333633.3</v>
      </c>
      <c r="X18" s="235">
        <f>Vstupy!$C$24*Vstupy!$D$62</f>
        <v>333633.3</v>
      </c>
      <c r="Y18" s="235">
        <f>Vstupy!$C$24*Vstupy!$D$62</f>
        <v>333633.3</v>
      </c>
      <c r="Z18" s="235">
        <f>Vstupy!$C$24*Vstupy!$D$62</f>
        <v>333633.3</v>
      </c>
      <c r="AA18" s="235">
        <f>Vstupy!$C$24*Vstupy!$D$62</f>
        <v>333633.3</v>
      </c>
      <c r="AB18" s="235">
        <f>Vstupy!$C$24*Vstupy!$D$62</f>
        <v>333633.3</v>
      </c>
      <c r="AC18" s="235">
        <f>Vstupy!$C$24*Vstupy!$D$62</f>
        <v>333633.3</v>
      </c>
      <c r="AD18" s="235">
        <f>Vstupy!$C$24*Vstupy!$D$62</f>
        <v>333633.3</v>
      </c>
      <c r="AE18" s="235">
        <f>Vstupy!$C$24*Vstupy!$D$62</f>
        <v>333633.3</v>
      </c>
      <c r="AF18" s="235">
        <f>Vstupy!$C$24*Vstupy!$D$62</f>
        <v>333633.3</v>
      </c>
      <c r="AG18" s="235">
        <f>Vstupy!$C$24*Vstupy!$D$62</f>
        <v>333633.3</v>
      </c>
      <c r="AH18" s="235">
        <f>Vstupy!$C$24*Vstupy!$D$62</f>
        <v>333633.3</v>
      </c>
      <c r="AI18" s="235">
        <f>Vstupy!$C$24*Vstupy!$D$62</f>
        <v>333633.3</v>
      </c>
      <c r="AJ18" s="235">
        <f>Vstupy!$C$24*Vstupy!$D$62</f>
        <v>333633.3</v>
      </c>
      <c r="AK18" s="235">
        <f>Vstupy!$C$24*Vstupy!$D$62</f>
        <v>333633.3</v>
      </c>
      <c r="AL18" s="235">
        <f>Vstupy!$C$24*Vstupy!$D$62</f>
        <v>333633.3</v>
      </c>
      <c r="AM18" s="235">
        <f>Vstupy!$C$24*Vstupy!$D$62</f>
        <v>333633.3</v>
      </c>
      <c r="AN18" s="235">
        <f>Vstupy!$C$24*Vstupy!$D$62</f>
        <v>333633.3</v>
      </c>
      <c r="AO18" s="235">
        <f>Vstupy!$C$24*Vstupy!$D$62</f>
        <v>333633.3</v>
      </c>
      <c r="AP18" s="235">
        <f>Vstupy!$C$24*Vstupy!$D$62</f>
        <v>333633.3</v>
      </c>
      <c r="AQ18" s="235">
        <f>Vstupy!$C$24*Vstupy!$D$62</f>
        <v>333633.3</v>
      </c>
    </row>
    <row r="19" spans="2:43" x14ac:dyDescent="0.2"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</row>
    <row r="20" spans="2:43" x14ac:dyDescent="0.2"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</row>
    <row r="21" spans="2:43" x14ac:dyDescent="0.2">
      <c r="B21" s="358" t="s">
        <v>623</v>
      </c>
      <c r="C21" s="359"/>
      <c r="D21" s="256" t="s">
        <v>10</v>
      </c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</row>
    <row r="22" spans="2:43" x14ac:dyDescent="0.2">
      <c r="B22" s="360" t="s">
        <v>290</v>
      </c>
      <c r="C22" s="361"/>
      <c r="D22" s="256">
        <v>1</v>
      </c>
      <c r="E22" s="256">
        <v>2</v>
      </c>
      <c r="F22" s="256">
        <v>3</v>
      </c>
      <c r="G22" s="256">
        <v>4</v>
      </c>
      <c r="H22" s="256">
        <v>5</v>
      </c>
      <c r="I22" s="256">
        <v>6</v>
      </c>
      <c r="J22" s="256">
        <v>7</v>
      </c>
      <c r="K22" s="256">
        <v>8</v>
      </c>
      <c r="L22" s="256">
        <v>9</v>
      </c>
      <c r="M22" s="256">
        <v>10</v>
      </c>
      <c r="N22" s="256">
        <v>11</v>
      </c>
      <c r="O22" s="256">
        <v>12</v>
      </c>
      <c r="P22" s="256">
        <v>13</v>
      </c>
      <c r="Q22" s="256">
        <v>14</v>
      </c>
      <c r="R22" s="256">
        <v>15</v>
      </c>
      <c r="S22" s="256">
        <v>16</v>
      </c>
      <c r="T22" s="256">
        <v>17</v>
      </c>
      <c r="U22" s="256">
        <v>18</v>
      </c>
      <c r="V22" s="256">
        <v>19</v>
      </c>
      <c r="W22" s="256">
        <v>20</v>
      </c>
      <c r="X22" s="256">
        <v>21</v>
      </c>
      <c r="Y22" s="256">
        <v>22</v>
      </c>
      <c r="Z22" s="256">
        <v>23</v>
      </c>
      <c r="AA22" s="256">
        <v>24</v>
      </c>
      <c r="AB22" s="256">
        <v>25</v>
      </c>
      <c r="AC22" s="256">
        <v>26</v>
      </c>
      <c r="AD22" s="256">
        <v>27</v>
      </c>
      <c r="AE22" s="256">
        <v>28</v>
      </c>
      <c r="AF22" s="256">
        <v>29</v>
      </c>
      <c r="AG22" s="256">
        <v>30</v>
      </c>
      <c r="AH22" s="256">
        <v>31</v>
      </c>
      <c r="AI22" s="256">
        <v>32</v>
      </c>
      <c r="AJ22" s="256">
        <v>33</v>
      </c>
      <c r="AK22" s="256">
        <v>34</v>
      </c>
      <c r="AL22" s="256">
        <v>35</v>
      </c>
      <c r="AM22" s="256">
        <v>36</v>
      </c>
      <c r="AN22" s="256">
        <v>37</v>
      </c>
      <c r="AO22" s="256">
        <v>38</v>
      </c>
      <c r="AP22" s="256">
        <v>39</v>
      </c>
      <c r="AQ22" s="256">
        <v>40</v>
      </c>
    </row>
    <row r="23" spans="2:43" x14ac:dyDescent="0.2">
      <c r="B23" s="259" t="s">
        <v>34</v>
      </c>
      <c r="C23" s="259" t="s">
        <v>9</v>
      </c>
      <c r="D23" s="304">
        <v>2026</v>
      </c>
      <c r="E23" s="304">
        <f>$D$5+D22</f>
        <v>2027</v>
      </c>
      <c r="F23" s="304">
        <f t="shared" ref="F23:AN23" si="12">$D$5+E22</f>
        <v>2028</v>
      </c>
      <c r="G23" s="304">
        <f t="shared" si="12"/>
        <v>2029</v>
      </c>
      <c r="H23" s="304">
        <f t="shared" si="12"/>
        <v>2030</v>
      </c>
      <c r="I23" s="304">
        <f t="shared" si="12"/>
        <v>2031</v>
      </c>
      <c r="J23" s="304">
        <f t="shared" si="12"/>
        <v>2032</v>
      </c>
      <c r="K23" s="304">
        <f t="shared" si="12"/>
        <v>2033</v>
      </c>
      <c r="L23" s="304">
        <f t="shared" si="12"/>
        <v>2034</v>
      </c>
      <c r="M23" s="304">
        <f t="shared" si="12"/>
        <v>2035</v>
      </c>
      <c r="N23" s="304">
        <f t="shared" si="12"/>
        <v>2036</v>
      </c>
      <c r="O23" s="304">
        <f t="shared" si="12"/>
        <v>2037</v>
      </c>
      <c r="P23" s="304">
        <f t="shared" si="12"/>
        <v>2038</v>
      </c>
      <c r="Q23" s="304">
        <f t="shared" si="12"/>
        <v>2039</v>
      </c>
      <c r="R23" s="304">
        <f t="shared" si="12"/>
        <v>2040</v>
      </c>
      <c r="S23" s="304">
        <f t="shared" si="12"/>
        <v>2041</v>
      </c>
      <c r="T23" s="304">
        <f t="shared" si="12"/>
        <v>2042</v>
      </c>
      <c r="U23" s="304">
        <f t="shared" si="12"/>
        <v>2043</v>
      </c>
      <c r="V23" s="304">
        <f t="shared" si="12"/>
        <v>2044</v>
      </c>
      <c r="W23" s="304">
        <f t="shared" si="12"/>
        <v>2045</v>
      </c>
      <c r="X23" s="304">
        <f t="shared" si="12"/>
        <v>2046</v>
      </c>
      <c r="Y23" s="304">
        <f t="shared" si="12"/>
        <v>2047</v>
      </c>
      <c r="Z23" s="304">
        <f t="shared" si="12"/>
        <v>2048</v>
      </c>
      <c r="AA23" s="304">
        <f t="shared" si="12"/>
        <v>2049</v>
      </c>
      <c r="AB23" s="304">
        <f t="shared" si="12"/>
        <v>2050</v>
      </c>
      <c r="AC23" s="304">
        <f t="shared" si="12"/>
        <v>2051</v>
      </c>
      <c r="AD23" s="304">
        <f t="shared" si="12"/>
        <v>2052</v>
      </c>
      <c r="AE23" s="304">
        <f t="shared" si="12"/>
        <v>2053</v>
      </c>
      <c r="AF23" s="304">
        <f t="shared" si="12"/>
        <v>2054</v>
      </c>
      <c r="AG23" s="304">
        <f t="shared" si="12"/>
        <v>2055</v>
      </c>
      <c r="AH23" s="304">
        <f t="shared" si="12"/>
        <v>2056</v>
      </c>
      <c r="AI23" s="304">
        <f t="shared" si="12"/>
        <v>2057</v>
      </c>
      <c r="AJ23" s="304">
        <f t="shared" si="12"/>
        <v>2058</v>
      </c>
      <c r="AK23" s="304">
        <f t="shared" si="12"/>
        <v>2059</v>
      </c>
      <c r="AL23" s="304">
        <f t="shared" si="12"/>
        <v>2060</v>
      </c>
      <c r="AM23" s="304">
        <f t="shared" si="12"/>
        <v>2061</v>
      </c>
      <c r="AN23" s="304">
        <f t="shared" si="12"/>
        <v>2062</v>
      </c>
      <c r="AO23" s="304">
        <f t="shared" ref="AO23" si="13">$D$5+AN22</f>
        <v>2063</v>
      </c>
      <c r="AP23" s="304">
        <f t="shared" ref="AP23" si="14">$D$5+AO22</f>
        <v>2064</v>
      </c>
      <c r="AQ23" s="304">
        <f t="shared" ref="AQ23" si="15">$D$5+AP22</f>
        <v>2065</v>
      </c>
    </row>
    <row r="24" spans="2:43" x14ac:dyDescent="0.2">
      <c r="B24" s="362" t="s">
        <v>685</v>
      </c>
      <c r="C24" s="363">
        <f>SUM(D24:AQ24)</f>
        <v>9239076.0000000056</v>
      </c>
      <c r="D24" s="235">
        <f>Vstupy!$C$24*Vstupy!$F$62</f>
        <v>230976.9</v>
      </c>
      <c r="E24" s="235">
        <f>Vstupy!$C$24*Vstupy!$F$62</f>
        <v>230976.9</v>
      </c>
      <c r="F24" s="235">
        <f>Vstupy!$C$24*Vstupy!$F$62</f>
        <v>230976.9</v>
      </c>
      <c r="G24" s="235">
        <f>Vstupy!$C$24*Vstupy!$F$62</f>
        <v>230976.9</v>
      </c>
      <c r="H24" s="235">
        <f>Vstupy!$C$24*Vstupy!$F$62</f>
        <v>230976.9</v>
      </c>
      <c r="I24" s="235">
        <f>Vstupy!$C$24*Vstupy!$F$62</f>
        <v>230976.9</v>
      </c>
      <c r="J24" s="235">
        <f>Vstupy!$C$24*Vstupy!$F$62</f>
        <v>230976.9</v>
      </c>
      <c r="K24" s="235">
        <f>Vstupy!$C$24*Vstupy!$F$62</f>
        <v>230976.9</v>
      </c>
      <c r="L24" s="235">
        <f>Vstupy!$C$24*Vstupy!$F$62</f>
        <v>230976.9</v>
      </c>
      <c r="M24" s="235">
        <f>Vstupy!$C$24*Vstupy!$F$62</f>
        <v>230976.9</v>
      </c>
      <c r="N24" s="235">
        <f>Vstupy!$C$24*Vstupy!$F$62</f>
        <v>230976.9</v>
      </c>
      <c r="O24" s="235">
        <f>Vstupy!$C$24*Vstupy!$F$62</f>
        <v>230976.9</v>
      </c>
      <c r="P24" s="235">
        <f>Vstupy!$C$24*Vstupy!$F$62</f>
        <v>230976.9</v>
      </c>
      <c r="Q24" s="235">
        <f>Vstupy!$C$24*Vstupy!$F$62</f>
        <v>230976.9</v>
      </c>
      <c r="R24" s="235">
        <f>Vstupy!$C$24*Vstupy!$F$62</f>
        <v>230976.9</v>
      </c>
      <c r="S24" s="235">
        <f>Vstupy!$C$24*Vstupy!$F$62</f>
        <v>230976.9</v>
      </c>
      <c r="T24" s="235">
        <f>Vstupy!$C$24*Vstupy!$F$62</f>
        <v>230976.9</v>
      </c>
      <c r="U24" s="235">
        <f>Vstupy!$C$24*Vstupy!$F$62</f>
        <v>230976.9</v>
      </c>
      <c r="V24" s="235">
        <f>Vstupy!$C$24*Vstupy!$F$62</f>
        <v>230976.9</v>
      </c>
      <c r="W24" s="235">
        <f>Vstupy!$C$24*Vstupy!$F$62</f>
        <v>230976.9</v>
      </c>
      <c r="X24" s="235">
        <f>Vstupy!$C$24*Vstupy!$F$62</f>
        <v>230976.9</v>
      </c>
      <c r="Y24" s="235">
        <f>Vstupy!$C$24*Vstupy!$F$62</f>
        <v>230976.9</v>
      </c>
      <c r="Z24" s="235">
        <f>Vstupy!$C$24*Vstupy!$F$62</f>
        <v>230976.9</v>
      </c>
      <c r="AA24" s="235">
        <f>Vstupy!$C$24*Vstupy!$F$62</f>
        <v>230976.9</v>
      </c>
      <c r="AB24" s="235">
        <f>Vstupy!$C$24*Vstupy!$F$62</f>
        <v>230976.9</v>
      </c>
      <c r="AC24" s="235">
        <f>Vstupy!$C$24*Vstupy!$F$62</f>
        <v>230976.9</v>
      </c>
      <c r="AD24" s="235">
        <f>Vstupy!$C$24*Vstupy!$F$62</f>
        <v>230976.9</v>
      </c>
      <c r="AE24" s="235">
        <f>Vstupy!$C$24*Vstupy!$F$62</f>
        <v>230976.9</v>
      </c>
      <c r="AF24" s="235">
        <f>Vstupy!$C$24*Vstupy!$F$62</f>
        <v>230976.9</v>
      </c>
      <c r="AG24" s="235">
        <f>Vstupy!$C$24*Vstupy!$F$62</f>
        <v>230976.9</v>
      </c>
      <c r="AH24" s="235">
        <f>Vstupy!$C$24*Vstupy!$F$62</f>
        <v>230976.9</v>
      </c>
      <c r="AI24" s="235">
        <f>Vstupy!$C$24*Vstupy!$F$62</f>
        <v>230976.9</v>
      </c>
      <c r="AJ24" s="235">
        <f>Vstupy!$C$24*Vstupy!$F$62</f>
        <v>230976.9</v>
      </c>
      <c r="AK24" s="235">
        <f>Vstupy!$C$24*Vstupy!$F$62</f>
        <v>230976.9</v>
      </c>
      <c r="AL24" s="235">
        <f>Vstupy!$C$24*Vstupy!$F$62</f>
        <v>230976.9</v>
      </c>
      <c r="AM24" s="235">
        <f>Vstupy!$C$24*Vstupy!$F$62</f>
        <v>230976.9</v>
      </c>
      <c r="AN24" s="235">
        <f>Vstupy!$C$24*Vstupy!$F$62</f>
        <v>230976.9</v>
      </c>
      <c r="AO24" s="235">
        <f>Vstupy!$C$24*Vstupy!$F$62</f>
        <v>230976.9</v>
      </c>
      <c r="AP24" s="235">
        <f>Vstupy!$C$24*Vstupy!$F$62</f>
        <v>230976.9</v>
      </c>
      <c r="AQ24" s="235">
        <f>Vstupy!$C$24*Vstupy!$F$62</f>
        <v>230976.9</v>
      </c>
    </row>
    <row r="26" spans="2:43" x14ac:dyDescent="0.2">
      <c r="B26" s="305"/>
      <c r="C26" s="305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99"/>
  </sheetPr>
  <dimension ref="B2:AQ47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46.42578125" style="255" bestFit="1" customWidth="1"/>
    <col min="3" max="3" width="12.5703125" style="255" bestFit="1" customWidth="1"/>
    <col min="4" max="36" width="10.140625" style="255" bestFit="1" customWidth="1"/>
    <col min="37" max="43" width="11.140625" style="255" bestFit="1" customWidth="1"/>
    <col min="44" max="16384" width="9.140625" style="255"/>
  </cols>
  <sheetData>
    <row r="2" spans="2:43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</row>
    <row r="3" spans="2:43" x14ac:dyDescent="0.2">
      <c r="B3" s="257" t="s">
        <v>468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  <c r="AQ3" s="258">
        <v>40</v>
      </c>
    </row>
    <row r="4" spans="2:43" x14ac:dyDescent="0.2">
      <c r="B4" s="259" t="s">
        <v>33</v>
      </c>
      <c r="C4" s="260" t="s">
        <v>9</v>
      </c>
      <c r="D4" s="261">
        <v>2026</v>
      </c>
      <c r="E4" s="261">
        <f>D4+$D$3</f>
        <v>2027</v>
      </c>
      <c r="F4" s="261">
        <f t="shared" ref="F4:AG4" si="0">E4+$D$3</f>
        <v>2028</v>
      </c>
      <c r="G4" s="261">
        <f t="shared" si="0"/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ref="AH4" si="1">AG4+$D$3</f>
        <v>2056</v>
      </c>
      <c r="AI4" s="261">
        <f t="shared" ref="AI4" si="2">AH4+$D$3</f>
        <v>2057</v>
      </c>
      <c r="AJ4" s="261">
        <f t="shared" ref="AJ4" si="3">AI4+$D$3</f>
        <v>2058</v>
      </c>
      <c r="AK4" s="261">
        <f t="shared" ref="AK4" si="4">AJ4+$D$3</f>
        <v>2059</v>
      </c>
      <c r="AL4" s="261">
        <f t="shared" ref="AL4" si="5">AK4+$D$3</f>
        <v>2060</v>
      </c>
      <c r="AM4" s="261">
        <f t="shared" ref="AM4" si="6">AL4+$D$3</f>
        <v>2061</v>
      </c>
      <c r="AN4" s="261">
        <f t="shared" ref="AN4" si="7">AM4+$D$3</f>
        <v>2062</v>
      </c>
      <c r="AO4" s="261">
        <f t="shared" ref="AO4" si="8">AN4+$D$3</f>
        <v>2063</v>
      </c>
      <c r="AP4" s="261">
        <f t="shared" ref="AP4" si="9">AO4+$D$3</f>
        <v>2064</v>
      </c>
      <c r="AQ4" s="261">
        <f t="shared" ref="AQ4" si="10">AP4+$D$3</f>
        <v>2065</v>
      </c>
    </row>
    <row r="5" spans="2:43" x14ac:dyDescent="0.2">
      <c r="B5" s="256" t="s">
        <v>413</v>
      </c>
      <c r="C5" s="262">
        <f>SUM(D5:AQ5)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  <c r="AQ5" s="263">
        <v>0</v>
      </c>
    </row>
    <row r="6" spans="2:43" x14ac:dyDescent="0.2">
      <c r="B6" s="256" t="s">
        <v>414</v>
      </c>
      <c r="C6" s="262">
        <f t="shared" ref="C6:C11" si="11">SUM(D6:AQ6)</f>
        <v>1842643765.4138126</v>
      </c>
      <c r="D6" s="263">
        <f>'13b_A Hluk (cesty)NOV200'!D7</f>
        <v>32541049.518163871</v>
      </c>
      <c r="E6" s="263">
        <f>'13b_A Hluk (cesty)NOV200'!E7</f>
        <v>33094247.359972652</v>
      </c>
      <c r="F6" s="263">
        <f>'13b_A Hluk (cesty)NOV200'!F7</f>
        <v>33656849.565092184</v>
      </c>
      <c r="G6" s="263">
        <f>'13b_A Hluk (cesty)NOV200'!G7</f>
        <v>34229016.007698752</v>
      </c>
      <c r="H6" s="263">
        <f>'13b_A Hluk (cesty)NOV200'!H7</f>
        <v>34810909.279829629</v>
      </c>
      <c r="I6" s="263">
        <f>'13b_A Hluk (cesty)NOV200'!I7</f>
        <v>35402694.737586729</v>
      </c>
      <c r="J6" s="263">
        <f>'13b_A Hluk (cesty)NOV200'!J7</f>
        <v>36004540.548125699</v>
      </c>
      <c r="K6" s="263">
        <f>'13b_A Hluk (cesty)NOV200'!K7</f>
        <v>36616617.737443827</v>
      </c>
      <c r="L6" s="263">
        <f>'13b_A Hluk (cesty)NOV200'!L7</f>
        <v>37239100.238980368</v>
      </c>
      <c r="M6" s="263">
        <f>'13b_A Hluk (cesty)NOV200'!M7</f>
        <v>37872164.943043038</v>
      </c>
      <c r="N6" s="263">
        <f>'13b_A Hluk (cesty)NOV200'!N7</f>
        <v>38515991.74707476</v>
      </c>
      <c r="O6" s="263">
        <f>'13b_A Hluk (cesty)NOV200'!O7</f>
        <v>39170763.60677503</v>
      </c>
      <c r="P6" s="263">
        <f>'13b_A Hluk (cesty)NOV200'!P7</f>
        <v>39836666.588090196</v>
      </c>
      <c r="Q6" s="263">
        <f>'13b_A Hluk (cesty)NOV200'!Q7</f>
        <v>40513889.920087725</v>
      </c>
      <c r="R6" s="263">
        <f>'13b_A Hluk (cesty)NOV200'!R7</f>
        <v>41202626.048729219</v>
      </c>
      <c r="S6" s="263">
        <f>'13b_A Hluk (cesty)NOV200'!S7</f>
        <v>41903070.691557609</v>
      </c>
      <c r="T6" s="263">
        <f>'13b_A Hluk (cesty)NOV200'!T7</f>
        <v>42615422.893314078</v>
      </c>
      <c r="U6" s="263">
        <f>'13b_A Hluk (cesty)NOV200'!U7</f>
        <v>43339885.082500421</v>
      </c>
      <c r="V6" s="263">
        <f>'13b_A Hluk (cesty)NOV200'!V7</f>
        <v>44076663.12890292</v>
      </c>
      <c r="W6" s="263">
        <f>'13b_A Hluk (cesty)NOV200'!W7</f>
        <v>44825966.402094267</v>
      </c>
      <c r="X6" s="263">
        <f>'13b_A Hluk (cesty)NOV200'!X7</f>
        <v>45588007.830929868</v>
      </c>
      <c r="Y6" s="263">
        <f>'13b_A Hluk (cesty)NOV200'!Y7</f>
        <v>46363003.96405568</v>
      </c>
      <c r="Z6" s="263">
        <f>'13b_A Hluk (cesty)NOV200'!Z7</f>
        <v>47151175.031444609</v>
      </c>
      <c r="AA6" s="263">
        <f>'13b_A Hluk (cesty)NOV200'!AA7</f>
        <v>47952745.006979175</v>
      </c>
      <c r="AB6" s="263">
        <f>'13b_A Hluk (cesty)NOV200'!AB7</f>
        <v>48767941.672097817</v>
      </c>
      <c r="AC6" s="263">
        <f>'13b_A Hluk (cesty)NOV200'!AC7</f>
        <v>49596996.680523477</v>
      </c>
      <c r="AD6" s="263">
        <f>'13b_A Hluk (cesty)NOV200'!AD7</f>
        <v>50440145.62409237</v>
      </c>
      <c r="AE6" s="263">
        <f>'13b_A Hluk (cesty)NOV200'!AE7</f>
        <v>51297628.099701934</v>
      </c>
      <c r="AF6" s="263">
        <f>'13b_A Hluk (cesty)NOV200'!AF7</f>
        <v>52169687.777396865</v>
      </c>
      <c r="AG6" s="263">
        <f>'13b_A Hluk (cesty)NOV200'!AG7</f>
        <v>53056572.469612598</v>
      </c>
      <c r="AH6" s="263">
        <f>'13b_A Hluk (cesty)NOV200'!AH7</f>
        <v>53958534.201596014</v>
      </c>
      <c r="AI6" s="263">
        <f>'13b_A Hluk (cesty)NOV200'!AI7</f>
        <v>54875829.283023134</v>
      </c>
      <c r="AJ6" s="263">
        <f>'13b_A Hluk (cesty)NOV200'!AJ7</f>
        <v>55808718.380834527</v>
      </c>
      <c r="AK6" s="263">
        <f>'13b_A Hluk (cesty)NOV200'!AK7</f>
        <v>56757466.593308702</v>
      </c>
      <c r="AL6" s="263">
        <f>'13b_A Hluk (cesty)NOV200'!AL7</f>
        <v>57722343.525394946</v>
      </c>
      <c r="AM6" s="263">
        <f>'13b_A Hluk (cesty)NOV200'!AM7</f>
        <v>58703623.365326665</v>
      </c>
      <c r="AN6" s="263">
        <f>'13b_A Hluk (cesty)NOV200'!AN7</f>
        <v>59701584.962537207</v>
      </c>
      <c r="AO6" s="263">
        <f>'13b_A Hluk (cesty)NOV200'!AO7</f>
        <v>60716511.906900331</v>
      </c>
      <c r="AP6" s="263">
        <f>'13b_A Hluk (cesty)NOV200'!AP7</f>
        <v>61748692.609317638</v>
      </c>
      <c r="AQ6" s="263">
        <f>'13b_A Hluk (cesty)NOV200'!AQ7</f>
        <v>62798420.38367603</v>
      </c>
    </row>
    <row r="7" spans="2:43" x14ac:dyDescent="0.2">
      <c r="B7" s="256" t="s">
        <v>415</v>
      </c>
      <c r="C7" s="262">
        <f t="shared" si="11"/>
        <v>1433167373.0996318</v>
      </c>
      <c r="D7" s="263">
        <f>'13b_A Hluk (cesty)NOV200'!D13</f>
        <v>25309705.180794127</v>
      </c>
      <c r="E7" s="263">
        <f>'13b_A Hluk (cesty)NOV200'!E13</f>
        <v>25739970.168867622</v>
      </c>
      <c r="F7" s="263">
        <f>'13b_A Hluk (cesty)NOV200'!F13</f>
        <v>26177549.66173837</v>
      </c>
      <c r="G7" s="263">
        <f>'13b_A Hluk (cesty)NOV200'!G13</f>
        <v>26622568.00598792</v>
      </c>
      <c r="H7" s="263">
        <f>'13b_A Hluk (cesty)NOV200'!H13</f>
        <v>27075151.662089717</v>
      </c>
      <c r="I7" s="263">
        <f>'13b_A Hluk (cesty)NOV200'!I13</f>
        <v>27535429.24034524</v>
      </c>
      <c r="J7" s="263">
        <f>'13b_A Hluk (cesty)NOV200'!J13</f>
        <v>28003531.537431102</v>
      </c>
      <c r="K7" s="263">
        <f>'13b_A Hluk (cesty)NOV200'!K13</f>
        <v>28479591.573567428</v>
      </c>
      <c r="L7" s="263">
        <f>'13b_A Hluk (cesty)NOV200'!L13</f>
        <v>28963744.630318068</v>
      </c>
      <c r="M7" s="263">
        <f>'13b_A Hluk (cesty)NOV200'!M13</f>
        <v>29456128.289033476</v>
      </c>
      <c r="N7" s="263">
        <f>'13b_A Hluk (cesty)NOV200'!N13</f>
        <v>29956882.46994704</v>
      </c>
      <c r="O7" s="263">
        <f>'13b_A Hluk (cesty)NOV200'!O13</f>
        <v>30466149.471936136</v>
      </c>
      <c r="P7" s="263">
        <f>'13b_A Hluk (cesty)NOV200'!P13</f>
        <v>30984074.012959048</v>
      </c>
      <c r="Q7" s="263">
        <f>'13b_A Hluk (cesty)NOV200'!Q13</f>
        <v>31510803.271179348</v>
      </c>
      <c r="R7" s="263">
        <f>'13b_A Hluk (cesty)NOV200'!R13</f>
        <v>32046486.926789396</v>
      </c>
      <c r="S7" s="263">
        <f>'13b_A Hluk (cesty)NOV200'!S13</f>
        <v>32591277.204544812</v>
      </c>
      <c r="T7" s="263">
        <f>'13b_A Hluk (cesty)NOV200'!T13</f>
        <v>33145328.917022064</v>
      </c>
      <c r="U7" s="263">
        <f>'13b_A Hluk (cesty)NOV200'!U13</f>
        <v>33708799.508611441</v>
      </c>
      <c r="V7" s="263">
        <f>'13b_A Hluk (cesty)NOV200'!V13</f>
        <v>34281849.100257829</v>
      </c>
      <c r="W7" s="263">
        <f>'13b_A Hluk (cesty)NOV200'!W13</f>
        <v>34864640.534962215</v>
      </c>
      <c r="X7" s="263">
        <f>'13b_A Hluk (cesty)NOV200'!X13</f>
        <v>35457339.424056567</v>
      </c>
      <c r="Y7" s="263">
        <f>'13b_A Hluk (cesty)NOV200'!Y13</f>
        <v>36060114.19426553</v>
      </c>
      <c r="Z7" s="263">
        <f>'13b_A Hluk (cesty)NOV200'!Z13</f>
        <v>36673136.135568038</v>
      </c>
      <c r="AA7" s="263">
        <f>'13b_A Hluk (cesty)NOV200'!AA13</f>
        <v>37296579.449872695</v>
      </c>
      <c r="AB7" s="263">
        <f>'13b_A Hluk (cesty)NOV200'!AB13</f>
        <v>37930621.300520532</v>
      </c>
      <c r="AC7" s="263">
        <f>'13b_A Hluk (cesty)NOV200'!AC13</f>
        <v>38575441.862629376</v>
      </c>
      <c r="AD7" s="263">
        <f>'13b_A Hluk (cesty)NOV200'!AD13</f>
        <v>39231224.374294072</v>
      </c>
      <c r="AE7" s="263">
        <f>'13b_A Hluk (cesty)NOV200'!AE13</f>
        <v>39898155.18865706</v>
      </c>
      <c r="AF7" s="263">
        <f>'13b_A Hluk (cesty)NOV200'!AF13</f>
        <v>40576423.826864235</v>
      </c>
      <c r="AG7" s="263">
        <f>'13b_A Hluk (cesty)NOV200'!AG13</f>
        <v>41266223.031920917</v>
      </c>
      <c r="AH7" s="263">
        <f>'13b_A Hluk (cesty)NOV200'!AH13</f>
        <v>41967748.823463574</v>
      </c>
      <c r="AI7" s="263">
        <f>'13b_A Hluk (cesty)NOV200'!AI13</f>
        <v>42681200.553462446</v>
      </c>
      <c r="AJ7" s="263">
        <f>'13b_A Hluk (cesty)NOV200'!AJ13</f>
        <v>43406780.962871306</v>
      </c>
      <c r="AK7" s="263">
        <f>'13b_A Hluk (cesty)NOV200'!AK13</f>
        <v>44144696.23924011</v>
      </c>
      <c r="AL7" s="263">
        <f>'13b_A Hluk (cesty)NOV200'!AL13</f>
        <v>44895156.07530719</v>
      </c>
      <c r="AM7" s="263">
        <f>'13b_A Hluk (cesty)NOV200'!AM13</f>
        <v>45658373.728587411</v>
      </c>
      <c r="AN7" s="263">
        <f>'13b_A Hluk (cesty)NOV200'!AN13</f>
        <v>46434566.081973389</v>
      </c>
      <c r="AO7" s="263">
        <f>'13b_A Hluk (cesty)NOV200'!AO13</f>
        <v>47223953.705366932</v>
      </c>
      <c r="AP7" s="263">
        <f>'13b_A Hluk (cesty)NOV200'!AP13</f>
        <v>48026760.918358169</v>
      </c>
      <c r="AQ7" s="263">
        <f>'13b_A Hluk (cesty)NOV200'!AQ13</f>
        <v>48843215.853970252</v>
      </c>
    </row>
    <row r="8" spans="2:43" x14ac:dyDescent="0.2">
      <c r="B8" s="256" t="s">
        <v>416</v>
      </c>
      <c r="C8" s="262">
        <f t="shared" si="11"/>
        <v>0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</row>
    <row r="9" spans="2:43" x14ac:dyDescent="0.2">
      <c r="B9" s="256" t="s">
        <v>417</v>
      </c>
      <c r="C9" s="262">
        <f t="shared" si="11"/>
        <v>0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</row>
    <row r="10" spans="2:43" x14ac:dyDescent="0.2">
      <c r="B10" s="256" t="s">
        <v>418</v>
      </c>
      <c r="C10" s="262">
        <f t="shared" si="11"/>
        <v>0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</row>
    <row r="11" spans="2:43" x14ac:dyDescent="0.2">
      <c r="B11" s="257" t="s">
        <v>9</v>
      </c>
      <c r="C11" s="264">
        <f t="shared" si="11"/>
        <v>3275811138.5134439</v>
      </c>
      <c r="D11" s="264">
        <f>SUM(D5:D10)</f>
        <v>57850754.698957995</v>
      </c>
      <c r="E11" s="264">
        <f t="shared" ref="E11:AG11" si="12">SUM(E5:E10)</f>
        <v>58834217.528840274</v>
      </c>
      <c r="F11" s="264">
        <f t="shared" si="12"/>
        <v>59834399.226830557</v>
      </c>
      <c r="G11" s="264">
        <f t="shared" si="12"/>
        <v>60851584.013686672</v>
      </c>
      <c r="H11" s="264">
        <f t="shared" si="12"/>
        <v>61886060.941919342</v>
      </c>
      <c r="I11" s="264">
        <f t="shared" si="12"/>
        <v>62938123.977931969</v>
      </c>
      <c r="J11" s="264">
        <f t="shared" si="12"/>
        <v>64008072.085556805</v>
      </c>
      <c r="K11" s="264">
        <f t="shared" si="12"/>
        <v>65096209.311011255</v>
      </c>
      <c r="L11" s="264">
        <f t="shared" si="12"/>
        <v>66202844.869298436</v>
      </c>
      <c r="M11" s="264">
        <f t="shared" si="12"/>
        <v>67328293.232076511</v>
      </c>
      <c r="N11" s="264">
        <f t="shared" si="12"/>
        <v>68472874.217021793</v>
      </c>
      <c r="O11" s="264">
        <f t="shared" si="12"/>
        <v>69636913.078711167</v>
      </c>
      <c r="P11" s="264">
        <f t="shared" si="12"/>
        <v>70820740.601049244</v>
      </c>
      <c r="Q11" s="264">
        <f t="shared" si="12"/>
        <v>72024693.191267073</v>
      </c>
      <c r="R11" s="264">
        <f t="shared" si="12"/>
        <v>73249112.975518614</v>
      </c>
      <c r="S11" s="264">
        <f t="shared" si="12"/>
        <v>74494347.896102428</v>
      </c>
      <c r="T11" s="264">
        <f t="shared" si="12"/>
        <v>75760751.810336143</v>
      </c>
      <c r="U11" s="264">
        <f t="shared" si="12"/>
        <v>77048684.591111869</v>
      </c>
      <c r="V11" s="264">
        <f t="shared" si="12"/>
        <v>78358512.229160756</v>
      </c>
      <c r="W11" s="264">
        <f t="shared" si="12"/>
        <v>79690606.937056482</v>
      </c>
      <c r="X11" s="264">
        <f t="shared" si="12"/>
        <v>81045347.254986435</v>
      </c>
      <c r="Y11" s="264">
        <f t="shared" si="12"/>
        <v>82423118.158321202</v>
      </c>
      <c r="Z11" s="264">
        <f t="shared" si="12"/>
        <v>83824311.167012647</v>
      </c>
      <c r="AA11" s="264">
        <f t="shared" si="12"/>
        <v>85249324.45685187</v>
      </c>
      <c r="AB11" s="264">
        <f t="shared" si="12"/>
        <v>86698562.972618341</v>
      </c>
      <c r="AC11" s="264">
        <f t="shared" si="12"/>
        <v>88172438.543152854</v>
      </c>
      <c r="AD11" s="264">
        <f t="shared" si="12"/>
        <v>89671369.998386443</v>
      </c>
      <c r="AE11" s="264">
        <f t="shared" si="12"/>
        <v>91195783.288358986</v>
      </c>
      <c r="AF11" s="264">
        <f t="shared" si="12"/>
        <v>92746111.6042611</v>
      </c>
      <c r="AG11" s="264">
        <f t="shared" si="12"/>
        <v>94322795.501533508</v>
      </c>
      <c r="AH11" s="264">
        <f t="shared" ref="AH11:AN11" si="13">SUM(AH5:AH10)</f>
        <v>95926283.025059581</v>
      </c>
      <c r="AI11" s="264">
        <f t="shared" si="13"/>
        <v>97557029.83648558</v>
      </c>
      <c r="AJ11" s="264">
        <f t="shared" si="13"/>
        <v>99215499.343705833</v>
      </c>
      <c r="AK11" s="264">
        <f t="shared" si="13"/>
        <v>100902162.83254881</v>
      </c>
      <c r="AL11" s="264">
        <f t="shared" si="13"/>
        <v>102617499.60070214</v>
      </c>
      <c r="AM11" s="264">
        <f t="shared" si="13"/>
        <v>104361997.09391408</v>
      </c>
      <c r="AN11" s="264">
        <f t="shared" si="13"/>
        <v>106136151.0445106</v>
      </c>
      <c r="AO11" s="264">
        <f t="shared" ref="AO11:AQ11" si="14">SUM(AO5:AO10)</f>
        <v>107940465.61226726</v>
      </c>
      <c r="AP11" s="264">
        <f t="shared" si="14"/>
        <v>109775453.52767581</v>
      </c>
      <c r="AQ11" s="264">
        <f t="shared" si="14"/>
        <v>111641636.23764628</v>
      </c>
    </row>
    <row r="14" spans="2:43" x14ac:dyDescent="0.2">
      <c r="B14" s="256"/>
      <c r="C14" s="256"/>
      <c r="D14" s="256" t="s">
        <v>10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</row>
    <row r="15" spans="2:43" x14ac:dyDescent="0.2">
      <c r="B15" s="257" t="s">
        <v>469</v>
      </c>
      <c r="C15" s="257"/>
      <c r="D15" s="258">
        <v>1</v>
      </c>
      <c r="E15" s="258">
        <v>2</v>
      </c>
      <c r="F15" s="258">
        <v>3</v>
      </c>
      <c r="G15" s="258">
        <v>4</v>
      </c>
      <c r="H15" s="258">
        <v>5</v>
      </c>
      <c r="I15" s="258">
        <v>6</v>
      </c>
      <c r="J15" s="258">
        <v>7</v>
      </c>
      <c r="K15" s="258">
        <v>8</v>
      </c>
      <c r="L15" s="258">
        <v>9</v>
      </c>
      <c r="M15" s="258">
        <v>10</v>
      </c>
      <c r="N15" s="258">
        <v>11</v>
      </c>
      <c r="O15" s="258">
        <v>12</v>
      </c>
      <c r="P15" s="258">
        <v>13</v>
      </c>
      <c r="Q15" s="258">
        <v>14</v>
      </c>
      <c r="R15" s="258">
        <v>15</v>
      </c>
      <c r="S15" s="258">
        <v>16</v>
      </c>
      <c r="T15" s="258">
        <v>17</v>
      </c>
      <c r="U15" s="258">
        <v>18</v>
      </c>
      <c r="V15" s="258">
        <v>19</v>
      </c>
      <c r="W15" s="258">
        <v>20</v>
      </c>
      <c r="X15" s="258">
        <v>21</v>
      </c>
      <c r="Y15" s="258">
        <v>22</v>
      </c>
      <c r="Z15" s="258">
        <v>23</v>
      </c>
      <c r="AA15" s="258">
        <v>24</v>
      </c>
      <c r="AB15" s="258">
        <v>25</v>
      </c>
      <c r="AC15" s="258">
        <v>26</v>
      </c>
      <c r="AD15" s="258">
        <v>27</v>
      </c>
      <c r="AE15" s="258">
        <v>28</v>
      </c>
      <c r="AF15" s="258">
        <v>29</v>
      </c>
      <c r="AG15" s="258">
        <v>30</v>
      </c>
      <c r="AH15" s="258">
        <v>31</v>
      </c>
      <c r="AI15" s="258">
        <v>32</v>
      </c>
      <c r="AJ15" s="258">
        <v>33</v>
      </c>
      <c r="AK15" s="258">
        <v>34</v>
      </c>
      <c r="AL15" s="258">
        <v>35</v>
      </c>
      <c r="AM15" s="258">
        <v>36</v>
      </c>
      <c r="AN15" s="258">
        <v>37</v>
      </c>
      <c r="AO15" s="258">
        <v>38</v>
      </c>
      <c r="AP15" s="258">
        <v>39</v>
      </c>
      <c r="AQ15" s="258">
        <v>40</v>
      </c>
    </row>
    <row r="16" spans="2:43" x14ac:dyDescent="0.2">
      <c r="B16" s="259" t="s">
        <v>34</v>
      </c>
      <c r="C16" s="260" t="s">
        <v>9</v>
      </c>
      <c r="D16" s="261">
        <f t="shared" ref="D16:AG16" si="15">D4</f>
        <v>2026</v>
      </c>
      <c r="E16" s="261">
        <f t="shared" si="15"/>
        <v>2027</v>
      </c>
      <c r="F16" s="261">
        <f t="shared" si="15"/>
        <v>2028</v>
      </c>
      <c r="G16" s="261">
        <f t="shared" si="15"/>
        <v>2029</v>
      </c>
      <c r="H16" s="261">
        <f t="shared" si="15"/>
        <v>2030</v>
      </c>
      <c r="I16" s="261">
        <f t="shared" si="15"/>
        <v>2031</v>
      </c>
      <c r="J16" s="261">
        <f t="shared" si="15"/>
        <v>2032</v>
      </c>
      <c r="K16" s="261">
        <f t="shared" si="15"/>
        <v>2033</v>
      </c>
      <c r="L16" s="261">
        <f t="shared" si="15"/>
        <v>2034</v>
      </c>
      <c r="M16" s="261">
        <f t="shared" si="15"/>
        <v>2035</v>
      </c>
      <c r="N16" s="261">
        <f t="shared" si="15"/>
        <v>2036</v>
      </c>
      <c r="O16" s="261">
        <f t="shared" si="15"/>
        <v>2037</v>
      </c>
      <c r="P16" s="261">
        <f t="shared" si="15"/>
        <v>2038</v>
      </c>
      <c r="Q16" s="261">
        <f t="shared" si="15"/>
        <v>2039</v>
      </c>
      <c r="R16" s="261">
        <f t="shared" si="15"/>
        <v>2040</v>
      </c>
      <c r="S16" s="261">
        <f t="shared" si="15"/>
        <v>2041</v>
      </c>
      <c r="T16" s="261">
        <f t="shared" si="15"/>
        <v>2042</v>
      </c>
      <c r="U16" s="261">
        <f t="shared" si="15"/>
        <v>2043</v>
      </c>
      <c r="V16" s="261">
        <f t="shared" si="15"/>
        <v>2044</v>
      </c>
      <c r="W16" s="261">
        <f t="shared" si="15"/>
        <v>2045</v>
      </c>
      <c r="X16" s="261">
        <f t="shared" si="15"/>
        <v>2046</v>
      </c>
      <c r="Y16" s="261">
        <f t="shared" si="15"/>
        <v>2047</v>
      </c>
      <c r="Z16" s="261">
        <f t="shared" si="15"/>
        <v>2048</v>
      </c>
      <c r="AA16" s="261">
        <f t="shared" si="15"/>
        <v>2049</v>
      </c>
      <c r="AB16" s="261">
        <f t="shared" si="15"/>
        <v>2050</v>
      </c>
      <c r="AC16" s="261">
        <f t="shared" si="15"/>
        <v>2051</v>
      </c>
      <c r="AD16" s="261">
        <f t="shared" si="15"/>
        <v>2052</v>
      </c>
      <c r="AE16" s="261">
        <f t="shared" si="15"/>
        <v>2053</v>
      </c>
      <c r="AF16" s="261">
        <f t="shared" si="15"/>
        <v>2054</v>
      </c>
      <c r="AG16" s="261">
        <f t="shared" si="15"/>
        <v>2055</v>
      </c>
      <c r="AH16" s="261">
        <f t="shared" ref="AH16:AN16" si="16">AH4</f>
        <v>2056</v>
      </c>
      <c r="AI16" s="261">
        <f t="shared" si="16"/>
        <v>2057</v>
      </c>
      <c r="AJ16" s="261">
        <f t="shared" si="16"/>
        <v>2058</v>
      </c>
      <c r="AK16" s="261">
        <f t="shared" si="16"/>
        <v>2059</v>
      </c>
      <c r="AL16" s="261">
        <f t="shared" si="16"/>
        <v>2060</v>
      </c>
      <c r="AM16" s="261">
        <f t="shared" si="16"/>
        <v>2061</v>
      </c>
      <c r="AN16" s="261">
        <f t="shared" si="16"/>
        <v>2062</v>
      </c>
      <c r="AO16" s="261">
        <f t="shared" ref="AO16:AQ16" si="17">AO4</f>
        <v>2063</v>
      </c>
      <c r="AP16" s="261">
        <f t="shared" si="17"/>
        <v>2064</v>
      </c>
      <c r="AQ16" s="261">
        <f t="shared" si="17"/>
        <v>2065</v>
      </c>
    </row>
    <row r="17" spans="2:43" x14ac:dyDescent="0.2">
      <c r="B17" s="256" t="s">
        <v>413</v>
      </c>
      <c r="C17" s="262">
        <f t="shared" ref="C17:C23" si="18">SUM(D17:AQ17)</f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</row>
    <row r="18" spans="2:43" x14ac:dyDescent="0.2">
      <c r="B18" s="256" t="s">
        <v>414</v>
      </c>
      <c r="C18" s="262">
        <f t="shared" si="18"/>
        <v>1837468357.2946875</v>
      </c>
      <c r="D18" s="263">
        <f>'13b_A Hluk (cesty)NOV200'!D19</f>
        <v>32541049.518163871</v>
      </c>
      <c r="E18" s="263">
        <f>'13b_A Hluk (cesty)NOV200'!E19</f>
        <v>33094247.359972652</v>
      </c>
      <c r="F18" s="263">
        <f>'13b_A Hluk (cesty)NOV200'!F19</f>
        <v>33656849.565092184</v>
      </c>
      <c r="G18" s="263">
        <f>'13b_A Hluk (cesty)NOV200'!G19</f>
        <v>34169542.227053791</v>
      </c>
      <c r="H18" s="263">
        <f>'13b_A Hluk (cesty)NOV200'!H19</f>
        <v>34697446.522754736</v>
      </c>
      <c r="I18" s="263">
        <f>'13b_A Hluk (cesty)NOV200'!I19</f>
        <v>35267874.285062447</v>
      </c>
      <c r="J18" s="263">
        <f>'13b_A Hluk (cesty)NOV200'!J19</f>
        <v>35868371.891076177</v>
      </c>
      <c r="K18" s="263">
        <f>'13b_A Hluk (cesty)NOV200'!K19</f>
        <v>36479087.39382381</v>
      </c>
      <c r="L18" s="263">
        <f>'13b_A Hluk (cesty)NOV200'!L19</f>
        <v>37100194.591924146</v>
      </c>
      <c r="M18" s="263">
        <f>'13b_A Hluk (cesty)NOV200'!M19</f>
        <v>37731870.239516251</v>
      </c>
      <c r="N18" s="263">
        <f>'13b_A Hluk (cesty)NOV200'!N19</f>
        <v>38374294.096512713</v>
      </c>
      <c r="O18" s="263">
        <f>'13b_A Hluk (cesty)NOV200'!O19</f>
        <v>39027648.97970736</v>
      </c>
      <c r="P18" s="263">
        <f>'13b_A Hluk (cesty)NOV200'!P19</f>
        <v>39692120.814751849</v>
      </c>
      <c r="Q18" s="263">
        <f>'13b_A Hluk (cesty)NOV200'!Q19</f>
        <v>40367898.689015992</v>
      </c>
      <c r="R18" s="263">
        <f>'13b_A Hluk (cesty)NOV200'!R19</f>
        <v>41055174.905346759</v>
      </c>
      <c r="S18" s="263">
        <f>'13b_A Hluk (cesty)NOV200'!S19</f>
        <v>41755914.450461924</v>
      </c>
      <c r="T18" s="263">
        <f>'13b_A Hluk (cesty)NOV200'!T19</f>
        <v>42468560.964700587</v>
      </c>
      <c r="U18" s="263">
        <f>'13b_A Hluk (cesty)NOV200'!U19</f>
        <v>43193316.877744153</v>
      </c>
      <c r="V18" s="263">
        <f>'13b_A Hluk (cesty)NOV200'!V19</f>
        <v>43930388.060556166</v>
      </c>
      <c r="W18" s="263">
        <f>'13b_A Hluk (cesty)NOV200'!W19</f>
        <v>44679983.883884214</v>
      </c>
      <c r="X18" s="263">
        <f>'13b_A Hluk (cesty)NOV200'!X19</f>
        <v>45442317.277756229</v>
      </c>
      <c r="Y18" s="263">
        <f>'13b_A Hluk (cesty)NOV200'!Y19</f>
        <v>46217604.79198838</v>
      </c>
      <c r="Z18" s="263">
        <f>'13b_A Hluk (cesty)NOV200'!Z19</f>
        <v>47006066.657721467</v>
      </c>
      <c r="AA18" s="263">
        <f>'13b_A Hluk (cesty)NOV200'!AA19</f>
        <v>47807926.850003466</v>
      </c>
      <c r="AB18" s="263">
        <f>'13b_A Hluk (cesty)NOV200'!AB19</f>
        <v>48623413.151436061</v>
      </c>
      <c r="AC18" s="263">
        <f>'13b_A Hluk (cesty)NOV200'!AC19</f>
        <v>49452757.216903031</v>
      </c>
      <c r="AD18" s="263">
        <f>'13b_A Hluk (cesty)NOV200'!AD19</f>
        <v>50296194.639399178</v>
      </c>
      <c r="AE18" s="263">
        <f>'13b_A Hluk (cesty)NOV200'!AE19</f>
        <v>51153965.016978122</v>
      </c>
      <c r="AF18" s="263">
        <f>'13b_A Hluk (cesty)NOV200'!AF19</f>
        <v>52026312.020838492</v>
      </c>
      <c r="AG18" s="263">
        <f>'13b_A Hluk (cesty)NOV200'!AG19</f>
        <v>52913483.464567363</v>
      </c>
      <c r="AH18" s="263">
        <f>'13b_A Hluk (cesty)NOV200'!AH19</f>
        <v>53815731.374560863</v>
      </c>
      <c r="AI18" s="263">
        <f>'13b_A Hluk (cesty)NOV200'!AI19</f>
        <v>54733312.061642051</v>
      </c>
      <c r="AJ18" s="263">
        <f>'13b_A Hluk (cesty)NOV200'!AJ19</f>
        <v>55666486.193896204</v>
      </c>
      <c r="AK18" s="263">
        <f>'13b_A Hluk (cesty)NOV200'!AK19</f>
        <v>56615518.870744258</v>
      </c>
      <c r="AL18" s="263">
        <f>'13b_A Hluk (cesty)NOV200'!AL19</f>
        <v>57580679.698275641</v>
      </c>
      <c r="AM18" s="263">
        <f>'13b_A Hluk (cesty)NOV200'!AM19</f>
        <v>58562242.86586158</v>
      </c>
      <c r="AN18" s="263">
        <f>'13b_A Hluk (cesty)NOV200'!AN19</f>
        <v>59560487.224071071</v>
      </c>
      <c r="AO18" s="263">
        <f>'13b_A Hluk (cesty)NOV200'!AO19</f>
        <v>60575696.363911115</v>
      </c>
      <c r="AP18" s="263">
        <f>'13b_A Hluk (cesty)NOV200'!AP19</f>
        <v>61608158.697414398</v>
      </c>
      <c r="AQ18" s="263">
        <f>'13b_A Hluk (cesty)NOV200'!AQ19</f>
        <v>62658167.539596595</v>
      </c>
    </row>
    <row r="19" spans="2:43" x14ac:dyDescent="0.2">
      <c r="B19" s="256" t="s">
        <v>415</v>
      </c>
      <c r="C19" s="262">
        <f t="shared" si="18"/>
        <v>1429142055.6736457</v>
      </c>
      <c r="D19" s="263">
        <f>'13b_A Hluk (cesty)NOV200'!D25</f>
        <v>25309705.180794127</v>
      </c>
      <c r="E19" s="263">
        <f>'13b_A Hluk (cesty)NOV200'!E25</f>
        <v>25739970.168867622</v>
      </c>
      <c r="F19" s="263">
        <f>'13b_A Hluk (cesty)NOV200'!F25</f>
        <v>26177549.66173837</v>
      </c>
      <c r="G19" s="263">
        <f>'13b_A Hluk (cesty)NOV200'!G25</f>
        <v>26576310.621041838</v>
      </c>
      <c r="H19" s="263">
        <f>'13b_A Hluk (cesty)NOV200'!H25</f>
        <v>26986902.851031467</v>
      </c>
      <c r="I19" s="263">
        <f>'13b_A Hluk (cesty)NOV200'!I25</f>
        <v>27430568.888381906</v>
      </c>
      <c r="J19" s="263">
        <f>'13b_A Hluk (cesty)NOV200'!J25</f>
        <v>27897622.581948139</v>
      </c>
      <c r="K19" s="263">
        <f>'13b_A Hluk (cesty)NOV200'!K25</f>
        <v>28372623.528529633</v>
      </c>
      <c r="L19" s="263">
        <f>'13b_A Hluk (cesty)NOV200'!L25</f>
        <v>28855706.904829897</v>
      </c>
      <c r="M19" s="263">
        <f>'13b_A Hluk (cesty)NOV200'!M25</f>
        <v>29347010.186290424</v>
      </c>
      <c r="N19" s="263">
        <f>'13b_A Hluk (cesty)NOV200'!N25</f>
        <v>29846673.186176557</v>
      </c>
      <c r="O19" s="263">
        <f>'13b_A Hluk (cesty)NOV200'!O25</f>
        <v>30354838.095327947</v>
      </c>
      <c r="P19" s="263">
        <f>'13b_A Hluk (cesty)NOV200'!P25</f>
        <v>30871649.522584774</v>
      </c>
      <c r="Q19" s="263">
        <f>'13b_A Hluk (cesty)NOV200'!Q25</f>
        <v>31397254.535901334</v>
      </c>
      <c r="R19" s="263">
        <f>'13b_A Hluk (cesty)NOV200'!R25</f>
        <v>31931802.704158597</v>
      </c>
      <c r="S19" s="263">
        <f>'13b_A Hluk (cesty)NOV200'!S25</f>
        <v>32476822.35035928</v>
      </c>
      <c r="T19" s="263">
        <f>'13b_A Hluk (cesty)NOV200'!T25</f>
        <v>33031102.972544905</v>
      </c>
      <c r="U19" s="263">
        <f>'13b_A Hluk (cesty)NOV200'!U25</f>
        <v>33594802.016023234</v>
      </c>
      <c r="V19" s="263">
        <f>'13b_A Hluk (cesty)NOV200'!V25</f>
        <v>34168079.6026548</v>
      </c>
      <c r="W19" s="263">
        <f>'13b_A Hluk (cesty)NOV200'!W25</f>
        <v>34751098.576354392</v>
      </c>
      <c r="X19" s="263">
        <f>'13b_A Hluk (cesty)NOV200'!X25</f>
        <v>35344024.54936596</v>
      </c>
      <c r="Y19" s="263">
        <f>'13b_A Hluk (cesty)NOV200'!Y25</f>
        <v>35947025.949324302</v>
      </c>
      <c r="Z19" s="263">
        <f>'13b_A Hluk (cesty)NOV200'!Z25</f>
        <v>36560274.0671167</v>
      </c>
      <c r="AA19" s="263">
        <f>'13b_A Hluk (cesty)NOV200'!AA25</f>
        <v>37183943.105558254</v>
      </c>
      <c r="AB19" s="263">
        <f>'13b_A Hluk (cesty)NOV200'!AB25</f>
        <v>37818210.228894718</v>
      </c>
      <c r="AC19" s="263">
        <f>'13b_A Hluk (cesty)NOV200'!AC25</f>
        <v>38463255.613146812</v>
      </c>
      <c r="AD19" s="263">
        <f>'13b_A Hluk (cesty)NOV200'!AD25</f>
        <v>39119262.497310475</v>
      </c>
      <c r="AE19" s="263">
        <f>'13b_A Hluk (cesty)NOV200'!AE25</f>
        <v>39786417.235427432</v>
      </c>
      <c r="AF19" s="263">
        <f>'13b_A Hluk (cesty)NOV200'!AF25</f>
        <v>40464909.349541053</v>
      </c>
      <c r="AG19" s="263">
        <f>'13b_A Hluk (cesty)NOV200'!AG25</f>
        <v>41154931.583552398</v>
      </c>
      <c r="AH19" s="263">
        <f>'13b_A Hluk (cesty)NOV200'!AH25</f>
        <v>41856679.957991786</v>
      </c>
      <c r="AI19" s="263">
        <f>'13b_A Hluk (cesty)NOV200'!AI25</f>
        <v>42570353.825721599</v>
      </c>
      <c r="AJ19" s="263">
        <f>'13b_A Hluk (cesty)NOV200'!AJ25</f>
        <v>43296155.928585947</v>
      </c>
      <c r="AK19" s="263">
        <f>'13b_A Hluk (cesty)NOV200'!AK25</f>
        <v>44034292.455023319</v>
      </c>
      <c r="AL19" s="263">
        <f>'13b_A Hluk (cesty)NOV200'!AL25</f>
        <v>44784973.098658837</v>
      </c>
      <c r="AM19" s="263">
        <f>'13b_A Hluk (cesty)NOV200'!AM25</f>
        <v>45548411.117892347</v>
      </c>
      <c r="AN19" s="263">
        <f>'13b_A Hluk (cesty)NOV200'!AN25</f>
        <v>46324823.396499723</v>
      </c>
      <c r="AO19" s="263">
        <f>'13b_A Hluk (cesty)NOV200'!AO25</f>
        <v>47114430.505264208</v>
      </c>
      <c r="AP19" s="263">
        <f>'13b_A Hluk (cesty)NOV200'!AP25</f>
        <v>47917456.76465565</v>
      </c>
      <c r="AQ19" s="263">
        <f>'13b_A Hluk (cesty)NOV200'!AQ25</f>
        <v>48734130.308575138</v>
      </c>
    </row>
    <row r="20" spans="2:43" x14ac:dyDescent="0.2">
      <c r="B20" s="256" t="s">
        <v>416</v>
      </c>
      <c r="C20" s="262">
        <f t="shared" si="18"/>
        <v>0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</row>
    <row r="21" spans="2:43" x14ac:dyDescent="0.2">
      <c r="B21" s="256" t="s">
        <v>417</v>
      </c>
      <c r="C21" s="262">
        <f t="shared" si="18"/>
        <v>0</v>
      </c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</row>
    <row r="22" spans="2:43" x14ac:dyDescent="0.2">
      <c r="B22" s="256" t="s">
        <v>418</v>
      </c>
      <c r="C22" s="262">
        <f t="shared" si="18"/>
        <v>0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</row>
    <row r="23" spans="2:43" x14ac:dyDescent="0.2">
      <c r="B23" s="257" t="s">
        <v>35</v>
      </c>
      <c r="C23" s="264">
        <f t="shared" si="18"/>
        <v>3266610412.9683332</v>
      </c>
      <c r="D23" s="264">
        <f t="shared" ref="D23:AG23" si="19">SUM(D17:D22)</f>
        <v>57850754.698957995</v>
      </c>
      <c r="E23" s="264">
        <f t="shared" si="19"/>
        <v>58834217.528840274</v>
      </c>
      <c r="F23" s="264">
        <f t="shared" si="19"/>
        <v>59834399.226830557</v>
      </c>
      <c r="G23" s="264">
        <f t="shared" si="19"/>
        <v>60745852.848095626</v>
      </c>
      <c r="H23" s="264">
        <f t="shared" si="19"/>
        <v>61684349.373786204</v>
      </c>
      <c r="I23" s="264">
        <f t="shared" si="19"/>
        <v>62698443.173444353</v>
      </c>
      <c r="J23" s="264">
        <f t="shared" si="19"/>
        <v>63765994.473024316</v>
      </c>
      <c r="K23" s="264">
        <f t="shared" si="19"/>
        <v>64851710.922353446</v>
      </c>
      <c r="L23" s="264">
        <f t="shared" si="19"/>
        <v>65955901.496754043</v>
      </c>
      <c r="M23" s="264">
        <f t="shared" si="19"/>
        <v>67078880.425806671</v>
      </c>
      <c r="N23" s="264">
        <f t="shared" si="19"/>
        <v>68220967.282689273</v>
      </c>
      <c r="O23" s="264">
        <f t="shared" si="19"/>
        <v>69382487.075035304</v>
      </c>
      <c r="P23" s="264">
        <f t="shared" si="19"/>
        <v>70563770.33733663</v>
      </c>
      <c r="Q23" s="264">
        <f t="shared" si="19"/>
        <v>71765153.224917322</v>
      </c>
      <c r="R23" s="264">
        <f t="shared" si="19"/>
        <v>72986977.609505355</v>
      </c>
      <c r="S23" s="264">
        <f t="shared" si="19"/>
        <v>74232736.8008212</v>
      </c>
      <c r="T23" s="264">
        <f t="shared" si="19"/>
        <v>75499663.937245488</v>
      </c>
      <c r="U23" s="264">
        <f t="shared" si="19"/>
        <v>76788118.893767387</v>
      </c>
      <c r="V23" s="264">
        <f t="shared" si="19"/>
        <v>78098467.663210958</v>
      </c>
      <c r="W23" s="264">
        <f t="shared" si="19"/>
        <v>79431082.460238606</v>
      </c>
      <c r="X23" s="264">
        <f t="shared" si="19"/>
        <v>80786341.827122182</v>
      </c>
      <c r="Y23" s="264">
        <f t="shared" si="19"/>
        <v>82164630.741312683</v>
      </c>
      <c r="Z23" s="264">
        <f t="shared" si="19"/>
        <v>83566340.724838167</v>
      </c>
      <c r="AA23" s="264">
        <f t="shared" si="19"/>
        <v>84991869.955561727</v>
      </c>
      <c r="AB23" s="264">
        <f t="shared" si="19"/>
        <v>86441623.380330771</v>
      </c>
      <c r="AC23" s="264">
        <f t="shared" si="19"/>
        <v>87916012.830049843</v>
      </c>
      <c r="AD23" s="264">
        <f t="shared" si="19"/>
        <v>89415457.13670966</v>
      </c>
      <c r="AE23" s="264">
        <f t="shared" si="19"/>
        <v>90940382.252405554</v>
      </c>
      <c r="AF23" s="264">
        <f t="shared" si="19"/>
        <v>92491221.370379537</v>
      </c>
      <c r="AG23" s="264">
        <f t="shared" si="19"/>
        <v>94068415.048119754</v>
      </c>
      <c r="AH23" s="264">
        <f t="shared" ref="AH23:AN23" si="20">SUM(AH17:AH22)</f>
        <v>95672411.332552642</v>
      </c>
      <c r="AI23" s="264">
        <f t="shared" si="20"/>
        <v>97303665.887363642</v>
      </c>
      <c r="AJ23" s="264">
        <f t="shared" si="20"/>
        <v>98962642.122482151</v>
      </c>
      <c r="AK23" s="264">
        <f t="shared" si="20"/>
        <v>100649811.32576758</v>
      </c>
      <c r="AL23" s="264">
        <f t="shared" si="20"/>
        <v>102365652.79693449</v>
      </c>
      <c r="AM23" s="264">
        <f t="shared" si="20"/>
        <v>104110653.98375392</v>
      </c>
      <c r="AN23" s="264">
        <f t="shared" si="20"/>
        <v>105885310.62057079</v>
      </c>
      <c r="AO23" s="264">
        <f t="shared" ref="AO23:AQ23" si="21">SUM(AO17:AO22)</f>
        <v>107690126.86917531</v>
      </c>
      <c r="AP23" s="264">
        <f t="shared" si="21"/>
        <v>109525615.46207005</v>
      </c>
      <c r="AQ23" s="264">
        <f t="shared" si="21"/>
        <v>111392297.84817174</v>
      </c>
    </row>
    <row r="26" spans="2:43" x14ac:dyDescent="0.2">
      <c r="B26" s="256"/>
      <c r="C26" s="256"/>
      <c r="D26" s="256" t="s">
        <v>10</v>
      </c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</row>
    <row r="27" spans="2:43" x14ac:dyDescent="0.2">
      <c r="B27" s="257" t="s">
        <v>470</v>
      </c>
      <c r="C27" s="257"/>
      <c r="D27" s="258">
        <v>1</v>
      </c>
      <c r="E27" s="258">
        <v>2</v>
      </c>
      <c r="F27" s="258">
        <v>3</v>
      </c>
      <c r="G27" s="258">
        <v>4</v>
      </c>
      <c r="H27" s="258">
        <v>5</v>
      </c>
      <c r="I27" s="258">
        <v>6</v>
      </c>
      <c r="J27" s="258">
        <v>7</v>
      </c>
      <c r="K27" s="258">
        <v>8</v>
      </c>
      <c r="L27" s="258">
        <v>9</v>
      </c>
      <c r="M27" s="258">
        <v>10</v>
      </c>
      <c r="N27" s="258">
        <v>11</v>
      </c>
      <c r="O27" s="258">
        <v>12</v>
      </c>
      <c r="P27" s="258">
        <v>13</v>
      </c>
      <c r="Q27" s="258">
        <v>14</v>
      </c>
      <c r="R27" s="258">
        <v>15</v>
      </c>
      <c r="S27" s="258">
        <v>16</v>
      </c>
      <c r="T27" s="258">
        <v>17</v>
      </c>
      <c r="U27" s="258">
        <v>18</v>
      </c>
      <c r="V27" s="258">
        <v>19</v>
      </c>
      <c r="W27" s="258">
        <v>20</v>
      </c>
      <c r="X27" s="258">
        <v>21</v>
      </c>
      <c r="Y27" s="258">
        <v>22</v>
      </c>
      <c r="Z27" s="258">
        <v>23</v>
      </c>
      <c r="AA27" s="258">
        <v>24</v>
      </c>
      <c r="AB27" s="258">
        <v>25</v>
      </c>
      <c r="AC27" s="258">
        <v>26</v>
      </c>
      <c r="AD27" s="258">
        <v>27</v>
      </c>
      <c r="AE27" s="258">
        <v>28</v>
      </c>
      <c r="AF27" s="258">
        <v>29</v>
      </c>
      <c r="AG27" s="258">
        <v>30</v>
      </c>
      <c r="AH27" s="258">
        <v>31</v>
      </c>
      <c r="AI27" s="258">
        <v>32</v>
      </c>
      <c r="AJ27" s="258">
        <v>33</v>
      </c>
      <c r="AK27" s="258">
        <v>34</v>
      </c>
      <c r="AL27" s="258">
        <v>35</v>
      </c>
      <c r="AM27" s="258">
        <v>36</v>
      </c>
      <c r="AN27" s="258">
        <v>37</v>
      </c>
      <c r="AO27" s="258">
        <v>38</v>
      </c>
      <c r="AP27" s="258">
        <v>39</v>
      </c>
      <c r="AQ27" s="258">
        <v>40</v>
      </c>
    </row>
    <row r="28" spans="2:43" x14ac:dyDescent="0.2">
      <c r="B28" s="259" t="s">
        <v>63</v>
      </c>
      <c r="C28" s="260" t="s">
        <v>9</v>
      </c>
      <c r="D28" s="261">
        <f t="shared" ref="D28:AG28" si="22">D4</f>
        <v>2026</v>
      </c>
      <c r="E28" s="261">
        <f t="shared" si="22"/>
        <v>2027</v>
      </c>
      <c r="F28" s="261">
        <f t="shared" si="22"/>
        <v>2028</v>
      </c>
      <c r="G28" s="261">
        <f t="shared" si="22"/>
        <v>2029</v>
      </c>
      <c r="H28" s="261">
        <f t="shared" si="22"/>
        <v>2030</v>
      </c>
      <c r="I28" s="261">
        <f t="shared" si="22"/>
        <v>2031</v>
      </c>
      <c r="J28" s="261">
        <f t="shared" si="22"/>
        <v>2032</v>
      </c>
      <c r="K28" s="261">
        <f t="shared" si="22"/>
        <v>2033</v>
      </c>
      <c r="L28" s="261">
        <f t="shared" si="22"/>
        <v>2034</v>
      </c>
      <c r="M28" s="261">
        <f t="shared" si="22"/>
        <v>2035</v>
      </c>
      <c r="N28" s="261">
        <f t="shared" si="22"/>
        <v>2036</v>
      </c>
      <c r="O28" s="261">
        <f t="shared" si="22"/>
        <v>2037</v>
      </c>
      <c r="P28" s="261">
        <f t="shared" si="22"/>
        <v>2038</v>
      </c>
      <c r="Q28" s="261">
        <f t="shared" si="22"/>
        <v>2039</v>
      </c>
      <c r="R28" s="261">
        <f t="shared" si="22"/>
        <v>2040</v>
      </c>
      <c r="S28" s="261">
        <f t="shared" si="22"/>
        <v>2041</v>
      </c>
      <c r="T28" s="261">
        <f t="shared" si="22"/>
        <v>2042</v>
      </c>
      <c r="U28" s="261">
        <f t="shared" si="22"/>
        <v>2043</v>
      </c>
      <c r="V28" s="261">
        <f t="shared" si="22"/>
        <v>2044</v>
      </c>
      <c r="W28" s="261">
        <f t="shared" si="22"/>
        <v>2045</v>
      </c>
      <c r="X28" s="261">
        <f t="shared" si="22"/>
        <v>2046</v>
      </c>
      <c r="Y28" s="261">
        <f t="shared" si="22"/>
        <v>2047</v>
      </c>
      <c r="Z28" s="261">
        <f t="shared" si="22"/>
        <v>2048</v>
      </c>
      <c r="AA28" s="261">
        <f t="shared" si="22"/>
        <v>2049</v>
      </c>
      <c r="AB28" s="261">
        <f t="shared" si="22"/>
        <v>2050</v>
      </c>
      <c r="AC28" s="261">
        <f t="shared" si="22"/>
        <v>2051</v>
      </c>
      <c r="AD28" s="261">
        <f t="shared" si="22"/>
        <v>2052</v>
      </c>
      <c r="AE28" s="261">
        <f t="shared" si="22"/>
        <v>2053</v>
      </c>
      <c r="AF28" s="261">
        <f t="shared" si="22"/>
        <v>2054</v>
      </c>
      <c r="AG28" s="261">
        <f t="shared" si="22"/>
        <v>2055</v>
      </c>
      <c r="AH28" s="261">
        <f t="shared" ref="AH28:AN28" si="23">AH4</f>
        <v>2056</v>
      </c>
      <c r="AI28" s="261">
        <f t="shared" si="23"/>
        <v>2057</v>
      </c>
      <c r="AJ28" s="261">
        <f t="shared" si="23"/>
        <v>2058</v>
      </c>
      <c r="AK28" s="261">
        <f t="shared" si="23"/>
        <v>2059</v>
      </c>
      <c r="AL28" s="261">
        <f t="shared" si="23"/>
        <v>2060</v>
      </c>
      <c r="AM28" s="261">
        <f t="shared" si="23"/>
        <v>2061</v>
      </c>
      <c r="AN28" s="261">
        <f t="shared" si="23"/>
        <v>2062</v>
      </c>
      <c r="AO28" s="261">
        <f t="shared" ref="AO28:AQ28" si="24">AO4</f>
        <v>2063</v>
      </c>
      <c r="AP28" s="261">
        <f t="shared" si="24"/>
        <v>2064</v>
      </c>
      <c r="AQ28" s="261">
        <f t="shared" si="24"/>
        <v>2065</v>
      </c>
    </row>
    <row r="29" spans="2:43" x14ac:dyDescent="0.2">
      <c r="B29" s="256" t="s">
        <v>413</v>
      </c>
      <c r="C29" s="262">
        <f t="shared" ref="C29:C35" si="25">SUM(D29:AQ29)</f>
        <v>0</v>
      </c>
      <c r="D29" s="262">
        <f t="shared" ref="D29:AG29" si="26">D5-D17</f>
        <v>0</v>
      </c>
      <c r="E29" s="262">
        <f t="shared" si="26"/>
        <v>0</v>
      </c>
      <c r="F29" s="262">
        <f t="shared" si="26"/>
        <v>0</v>
      </c>
      <c r="G29" s="262">
        <f t="shared" si="26"/>
        <v>0</v>
      </c>
      <c r="H29" s="262">
        <f t="shared" si="26"/>
        <v>0</v>
      </c>
      <c r="I29" s="262">
        <f t="shared" si="26"/>
        <v>0</v>
      </c>
      <c r="J29" s="262">
        <f t="shared" si="26"/>
        <v>0</v>
      </c>
      <c r="K29" s="262">
        <f t="shared" si="26"/>
        <v>0</v>
      </c>
      <c r="L29" s="262">
        <f t="shared" si="26"/>
        <v>0</v>
      </c>
      <c r="M29" s="262">
        <f t="shared" si="26"/>
        <v>0</v>
      </c>
      <c r="N29" s="262">
        <f t="shared" si="26"/>
        <v>0</v>
      </c>
      <c r="O29" s="262">
        <f t="shared" si="26"/>
        <v>0</v>
      </c>
      <c r="P29" s="262">
        <f t="shared" si="26"/>
        <v>0</v>
      </c>
      <c r="Q29" s="262">
        <f t="shared" si="26"/>
        <v>0</v>
      </c>
      <c r="R29" s="262">
        <f t="shared" si="26"/>
        <v>0</v>
      </c>
      <c r="S29" s="262">
        <f t="shared" si="26"/>
        <v>0</v>
      </c>
      <c r="T29" s="262">
        <f t="shared" si="26"/>
        <v>0</v>
      </c>
      <c r="U29" s="262">
        <f t="shared" si="26"/>
        <v>0</v>
      </c>
      <c r="V29" s="262">
        <f t="shared" si="26"/>
        <v>0</v>
      </c>
      <c r="W29" s="262">
        <f t="shared" si="26"/>
        <v>0</v>
      </c>
      <c r="X29" s="262">
        <f t="shared" si="26"/>
        <v>0</v>
      </c>
      <c r="Y29" s="262">
        <f t="shared" si="26"/>
        <v>0</v>
      </c>
      <c r="Z29" s="262">
        <f t="shared" si="26"/>
        <v>0</v>
      </c>
      <c r="AA29" s="262">
        <f t="shared" si="26"/>
        <v>0</v>
      </c>
      <c r="AB29" s="262">
        <f t="shared" si="26"/>
        <v>0</v>
      </c>
      <c r="AC29" s="262">
        <f t="shared" si="26"/>
        <v>0</v>
      </c>
      <c r="AD29" s="262">
        <f t="shared" si="26"/>
        <v>0</v>
      </c>
      <c r="AE29" s="262">
        <f t="shared" si="26"/>
        <v>0</v>
      </c>
      <c r="AF29" s="262">
        <f t="shared" si="26"/>
        <v>0</v>
      </c>
      <c r="AG29" s="262">
        <f t="shared" si="26"/>
        <v>0</v>
      </c>
      <c r="AH29" s="262">
        <f t="shared" ref="AH29:AN29" si="27">AH5-AH17</f>
        <v>0</v>
      </c>
      <c r="AI29" s="262">
        <f t="shared" si="27"/>
        <v>0</v>
      </c>
      <c r="AJ29" s="262">
        <f t="shared" si="27"/>
        <v>0</v>
      </c>
      <c r="AK29" s="262">
        <f t="shared" si="27"/>
        <v>0</v>
      </c>
      <c r="AL29" s="262">
        <f t="shared" si="27"/>
        <v>0</v>
      </c>
      <c r="AM29" s="262">
        <f t="shared" si="27"/>
        <v>0</v>
      </c>
      <c r="AN29" s="262">
        <f t="shared" si="27"/>
        <v>0</v>
      </c>
      <c r="AO29" s="262">
        <f t="shared" ref="AO29:AQ29" si="28">AO5-AO17</f>
        <v>0</v>
      </c>
      <c r="AP29" s="262">
        <f t="shared" si="28"/>
        <v>0</v>
      </c>
      <c r="AQ29" s="262">
        <f t="shared" si="28"/>
        <v>0</v>
      </c>
    </row>
    <row r="30" spans="2:43" x14ac:dyDescent="0.2">
      <c r="B30" s="256" t="s">
        <v>414</v>
      </c>
      <c r="C30" s="262">
        <f t="shared" si="25"/>
        <v>5175408.1191252172</v>
      </c>
      <c r="D30" s="262">
        <f t="shared" ref="D30:AG30" si="29">D6-D18</f>
        <v>0</v>
      </c>
      <c r="E30" s="262">
        <f t="shared" si="29"/>
        <v>0</v>
      </c>
      <c r="F30" s="262">
        <f t="shared" si="29"/>
        <v>0</v>
      </c>
      <c r="G30" s="262">
        <f t="shared" si="29"/>
        <v>59473.780644960701</v>
      </c>
      <c r="H30" s="262">
        <f t="shared" si="29"/>
        <v>113462.75707489252</v>
      </c>
      <c r="I30" s="262">
        <f t="shared" si="29"/>
        <v>134820.45252428204</v>
      </c>
      <c r="J30" s="262">
        <f t="shared" si="29"/>
        <v>136168.6570495218</v>
      </c>
      <c r="K30" s="262">
        <f t="shared" si="29"/>
        <v>137530.34362001717</v>
      </c>
      <c r="L30" s="262">
        <f t="shared" si="29"/>
        <v>138905.64705622196</v>
      </c>
      <c r="M30" s="262">
        <f t="shared" si="29"/>
        <v>140294.70352678746</v>
      </c>
      <c r="N30" s="262">
        <f t="shared" si="29"/>
        <v>141697.65056204796</v>
      </c>
      <c r="O30" s="262">
        <f t="shared" si="29"/>
        <v>143114.62706767023</v>
      </c>
      <c r="P30" s="262">
        <f t="shared" si="29"/>
        <v>144545.77333834767</v>
      </c>
      <c r="Q30" s="262">
        <f t="shared" si="29"/>
        <v>145991.23107173294</v>
      </c>
      <c r="R30" s="262">
        <f t="shared" si="29"/>
        <v>147451.14338245988</v>
      </c>
      <c r="S30" s="262">
        <f t="shared" si="29"/>
        <v>147156.24109568447</v>
      </c>
      <c r="T30" s="262">
        <f t="shared" si="29"/>
        <v>146861.92861349136</v>
      </c>
      <c r="U30" s="262">
        <f t="shared" si="29"/>
        <v>146568.20475626737</v>
      </c>
      <c r="V30" s="262">
        <f t="shared" si="29"/>
        <v>146275.06834675372</v>
      </c>
      <c r="W30" s="262">
        <f t="shared" si="29"/>
        <v>145982.51821005344</v>
      </c>
      <c r="X30" s="262">
        <f t="shared" si="29"/>
        <v>145690.55317363888</v>
      </c>
      <c r="Y30" s="262">
        <f t="shared" si="29"/>
        <v>145399.17206729949</v>
      </c>
      <c r="Z30" s="262">
        <f t="shared" si="29"/>
        <v>145108.37372314185</v>
      </c>
      <c r="AA30" s="262">
        <f t="shared" si="29"/>
        <v>144818.1569757089</v>
      </c>
      <c r="AB30" s="262">
        <f t="shared" si="29"/>
        <v>144528.5206617564</v>
      </c>
      <c r="AC30" s="262">
        <f t="shared" si="29"/>
        <v>144239.46362044662</v>
      </c>
      <c r="AD30" s="262">
        <f t="shared" si="29"/>
        <v>143950.98469319195</v>
      </c>
      <c r="AE30" s="262">
        <f t="shared" si="29"/>
        <v>143663.08272381127</v>
      </c>
      <c r="AF30" s="262">
        <f t="shared" si="29"/>
        <v>143375.75655837357</v>
      </c>
      <c r="AG30" s="262">
        <f t="shared" si="29"/>
        <v>143089.00504523516</v>
      </c>
      <c r="AH30" s="262">
        <f t="shared" ref="AH30:AN30" si="30">AH6-AH18</f>
        <v>142802.82703515142</v>
      </c>
      <c r="AI30" s="262">
        <f t="shared" si="30"/>
        <v>142517.22138108313</v>
      </c>
      <c r="AJ30" s="262">
        <f t="shared" si="30"/>
        <v>142232.18693832308</v>
      </c>
      <c r="AK30" s="262">
        <f t="shared" si="30"/>
        <v>141947.72256444395</v>
      </c>
      <c r="AL30" s="262">
        <f t="shared" si="30"/>
        <v>141663.82711930573</v>
      </c>
      <c r="AM30" s="262">
        <f t="shared" si="30"/>
        <v>141380.49946508557</v>
      </c>
      <c r="AN30" s="262">
        <f t="shared" si="30"/>
        <v>141097.73846613616</v>
      </c>
      <c r="AO30" s="262">
        <f t="shared" ref="AO30:AQ30" si="31">AO6-AO18</f>
        <v>140815.54298921674</v>
      </c>
      <c r="AP30" s="262">
        <f t="shared" si="31"/>
        <v>140533.91190323979</v>
      </c>
      <c r="AQ30" s="262">
        <f t="shared" si="31"/>
        <v>140252.84407943487</v>
      </c>
    </row>
    <row r="31" spans="2:43" x14ac:dyDescent="0.2">
      <c r="B31" s="256" t="s">
        <v>415</v>
      </c>
      <c r="C31" s="262">
        <f t="shared" si="25"/>
        <v>4025317.4259863012</v>
      </c>
      <c r="D31" s="262">
        <f t="shared" ref="D31:AG31" si="32">D7-D19</f>
        <v>0</v>
      </c>
      <c r="E31" s="262">
        <f t="shared" si="32"/>
        <v>0</v>
      </c>
      <c r="F31" s="262">
        <f t="shared" si="32"/>
        <v>0</v>
      </c>
      <c r="G31" s="262">
        <f t="shared" si="32"/>
        <v>46257.384946081787</v>
      </c>
      <c r="H31" s="262">
        <f t="shared" si="32"/>
        <v>88248.811058249325</v>
      </c>
      <c r="I31" s="262">
        <f t="shared" si="32"/>
        <v>104860.35196333379</v>
      </c>
      <c r="J31" s="262">
        <f t="shared" si="32"/>
        <v>105908.95548296347</v>
      </c>
      <c r="K31" s="262">
        <f t="shared" si="32"/>
        <v>106968.04503779486</v>
      </c>
      <c r="L31" s="262">
        <f t="shared" si="32"/>
        <v>108037.72548817098</v>
      </c>
      <c r="M31" s="262">
        <f t="shared" si="32"/>
        <v>109118.10274305195</v>
      </c>
      <c r="N31" s="262">
        <f t="shared" si="32"/>
        <v>110209.28377048299</v>
      </c>
      <c r="O31" s="262">
        <f t="shared" si="32"/>
        <v>111311.3766081892</v>
      </c>
      <c r="P31" s="262">
        <f t="shared" si="32"/>
        <v>112424.49037427455</v>
      </c>
      <c r="Q31" s="262">
        <f t="shared" si="32"/>
        <v>113548.73527801409</v>
      </c>
      <c r="R31" s="262">
        <f t="shared" si="32"/>
        <v>114684.22263079882</v>
      </c>
      <c r="S31" s="262">
        <f t="shared" si="32"/>
        <v>114454.85418553278</v>
      </c>
      <c r="T31" s="262">
        <f t="shared" si="32"/>
        <v>114225.94447715953</v>
      </c>
      <c r="U31" s="262">
        <f t="shared" si="32"/>
        <v>113997.49258820713</v>
      </c>
      <c r="V31" s="262">
        <f t="shared" si="32"/>
        <v>113769.49760302901</v>
      </c>
      <c r="W31" s="262">
        <f t="shared" si="32"/>
        <v>113541.95860782266</v>
      </c>
      <c r="X31" s="262">
        <f t="shared" si="32"/>
        <v>113314.87469060719</v>
      </c>
      <c r="Y31" s="262">
        <f t="shared" si="32"/>
        <v>113088.24494122714</v>
      </c>
      <c r="Z31" s="262">
        <f t="shared" si="32"/>
        <v>112862.06845133752</v>
      </c>
      <c r="AA31" s="262">
        <f t="shared" si="32"/>
        <v>112636.34431444108</v>
      </c>
      <c r="AB31" s="262">
        <f t="shared" si="32"/>
        <v>112411.07162581384</v>
      </c>
      <c r="AC31" s="262">
        <f t="shared" si="32"/>
        <v>112186.24948256463</v>
      </c>
      <c r="AD31" s="262">
        <f t="shared" si="32"/>
        <v>111961.87698359787</v>
      </c>
      <c r="AE31" s="262">
        <f t="shared" si="32"/>
        <v>111737.9532296285</v>
      </c>
      <c r="AF31" s="262">
        <f t="shared" si="32"/>
        <v>111514.47732318193</v>
      </c>
      <c r="AG31" s="262">
        <f t="shared" si="32"/>
        <v>111291.44836851954</v>
      </c>
      <c r="AH31" s="262">
        <f t="shared" ref="AH31:AN31" si="33">AH7-AH19</f>
        <v>111068.86547178775</v>
      </c>
      <c r="AI31" s="262">
        <f t="shared" si="33"/>
        <v>110846.72774084657</v>
      </c>
      <c r="AJ31" s="262">
        <f t="shared" si="33"/>
        <v>110625.03428535908</v>
      </c>
      <c r="AK31" s="262">
        <f t="shared" si="33"/>
        <v>110403.78421679139</v>
      </c>
      <c r="AL31" s="262">
        <f t="shared" si="33"/>
        <v>110182.97664835304</v>
      </c>
      <c r="AM31" s="262">
        <f t="shared" si="33"/>
        <v>109962.61069506407</v>
      </c>
      <c r="AN31" s="262">
        <f t="shared" si="33"/>
        <v>109742.6854736656</v>
      </c>
      <c r="AO31" s="262">
        <f t="shared" ref="AO31:AQ31" si="34">AO7-AO19</f>
        <v>109523.20010272413</v>
      </c>
      <c r="AP31" s="262">
        <f t="shared" si="34"/>
        <v>109304.15370251983</v>
      </c>
      <c r="AQ31" s="262">
        <f t="shared" si="34"/>
        <v>109085.54539511353</v>
      </c>
    </row>
    <row r="32" spans="2:43" x14ac:dyDescent="0.2">
      <c r="B32" s="256" t="s">
        <v>416</v>
      </c>
      <c r="C32" s="262">
        <f t="shared" si="25"/>
        <v>0</v>
      </c>
      <c r="D32" s="262">
        <f t="shared" ref="D32:AG32" si="35">D8-D20</f>
        <v>0</v>
      </c>
      <c r="E32" s="262">
        <f t="shared" si="35"/>
        <v>0</v>
      </c>
      <c r="F32" s="262">
        <f t="shared" si="35"/>
        <v>0</v>
      </c>
      <c r="G32" s="262">
        <f t="shared" si="35"/>
        <v>0</v>
      </c>
      <c r="H32" s="262">
        <f t="shared" si="35"/>
        <v>0</v>
      </c>
      <c r="I32" s="262">
        <f t="shared" si="35"/>
        <v>0</v>
      </c>
      <c r="J32" s="262">
        <f t="shared" si="35"/>
        <v>0</v>
      </c>
      <c r="K32" s="262">
        <f t="shared" si="35"/>
        <v>0</v>
      </c>
      <c r="L32" s="262">
        <f t="shared" si="35"/>
        <v>0</v>
      </c>
      <c r="M32" s="262">
        <f t="shared" si="35"/>
        <v>0</v>
      </c>
      <c r="N32" s="262">
        <f t="shared" si="35"/>
        <v>0</v>
      </c>
      <c r="O32" s="262">
        <f t="shared" si="35"/>
        <v>0</v>
      </c>
      <c r="P32" s="262">
        <f t="shared" si="35"/>
        <v>0</v>
      </c>
      <c r="Q32" s="262">
        <f t="shared" si="35"/>
        <v>0</v>
      </c>
      <c r="R32" s="262">
        <f t="shared" si="35"/>
        <v>0</v>
      </c>
      <c r="S32" s="262">
        <f t="shared" si="35"/>
        <v>0</v>
      </c>
      <c r="T32" s="262">
        <f t="shared" si="35"/>
        <v>0</v>
      </c>
      <c r="U32" s="262">
        <f t="shared" si="35"/>
        <v>0</v>
      </c>
      <c r="V32" s="262">
        <f t="shared" si="35"/>
        <v>0</v>
      </c>
      <c r="W32" s="262">
        <f t="shared" si="35"/>
        <v>0</v>
      </c>
      <c r="X32" s="262">
        <f t="shared" si="35"/>
        <v>0</v>
      </c>
      <c r="Y32" s="262">
        <f t="shared" si="35"/>
        <v>0</v>
      </c>
      <c r="Z32" s="262">
        <f t="shared" si="35"/>
        <v>0</v>
      </c>
      <c r="AA32" s="262">
        <f t="shared" si="35"/>
        <v>0</v>
      </c>
      <c r="AB32" s="262">
        <f t="shared" si="35"/>
        <v>0</v>
      </c>
      <c r="AC32" s="262">
        <f t="shared" si="35"/>
        <v>0</v>
      </c>
      <c r="AD32" s="262">
        <f t="shared" si="35"/>
        <v>0</v>
      </c>
      <c r="AE32" s="262">
        <f t="shared" si="35"/>
        <v>0</v>
      </c>
      <c r="AF32" s="262">
        <f t="shared" si="35"/>
        <v>0</v>
      </c>
      <c r="AG32" s="262">
        <f t="shared" si="35"/>
        <v>0</v>
      </c>
      <c r="AH32" s="262">
        <f t="shared" ref="AH32:AN32" si="36">AH8-AH20</f>
        <v>0</v>
      </c>
      <c r="AI32" s="262">
        <f t="shared" si="36"/>
        <v>0</v>
      </c>
      <c r="AJ32" s="262">
        <f t="shared" si="36"/>
        <v>0</v>
      </c>
      <c r="AK32" s="262">
        <f t="shared" si="36"/>
        <v>0</v>
      </c>
      <c r="AL32" s="262">
        <f t="shared" si="36"/>
        <v>0</v>
      </c>
      <c r="AM32" s="262">
        <f t="shared" si="36"/>
        <v>0</v>
      </c>
      <c r="AN32" s="262">
        <f t="shared" si="36"/>
        <v>0</v>
      </c>
      <c r="AO32" s="262">
        <f t="shared" ref="AO32:AQ32" si="37">AO8-AO20</f>
        <v>0</v>
      </c>
      <c r="AP32" s="262">
        <f t="shared" si="37"/>
        <v>0</v>
      </c>
      <c r="AQ32" s="262">
        <f t="shared" si="37"/>
        <v>0</v>
      </c>
    </row>
    <row r="33" spans="2:43" x14ac:dyDescent="0.2">
      <c r="B33" s="256" t="s">
        <v>417</v>
      </c>
      <c r="C33" s="262">
        <f t="shared" si="25"/>
        <v>0</v>
      </c>
      <c r="D33" s="262">
        <f t="shared" ref="D33:AG33" si="38">D9-D21</f>
        <v>0</v>
      </c>
      <c r="E33" s="262">
        <f t="shared" si="38"/>
        <v>0</v>
      </c>
      <c r="F33" s="262">
        <f t="shared" si="38"/>
        <v>0</v>
      </c>
      <c r="G33" s="262">
        <f t="shared" si="38"/>
        <v>0</v>
      </c>
      <c r="H33" s="262">
        <f t="shared" si="38"/>
        <v>0</v>
      </c>
      <c r="I33" s="262">
        <f t="shared" si="38"/>
        <v>0</v>
      </c>
      <c r="J33" s="262">
        <f t="shared" si="38"/>
        <v>0</v>
      </c>
      <c r="K33" s="262">
        <f t="shared" si="38"/>
        <v>0</v>
      </c>
      <c r="L33" s="262">
        <f t="shared" si="38"/>
        <v>0</v>
      </c>
      <c r="M33" s="262">
        <f t="shared" si="38"/>
        <v>0</v>
      </c>
      <c r="N33" s="262">
        <f t="shared" si="38"/>
        <v>0</v>
      </c>
      <c r="O33" s="262">
        <f t="shared" si="38"/>
        <v>0</v>
      </c>
      <c r="P33" s="262">
        <f t="shared" si="38"/>
        <v>0</v>
      </c>
      <c r="Q33" s="262">
        <f t="shared" si="38"/>
        <v>0</v>
      </c>
      <c r="R33" s="262">
        <f t="shared" si="38"/>
        <v>0</v>
      </c>
      <c r="S33" s="262">
        <f t="shared" si="38"/>
        <v>0</v>
      </c>
      <c r="T33" s="262">
        <f t="shared" si="38"/>
        <v>0</v>
      </c>
      <c r="U33" s="262">
        <f t="shared" si="38"/>
        <v>0</v>
      </c>
      <c r="V33" s="262">
        <f t="shared" si="38"/>
        <v>0</v>
      </c>
      <c r="W33" s="262">
        <f t="shared" si="38"/>
        <v>0</v>
      </c>
      <c r="X33" s="262">
        <f t="shared" si="38"/>
        <v>0</v>
      </c>
      <c r="Y33" s="262">
        <f t="shared" si="38"/>
        <v>0</v>
      </c>
      <c r="Z33" s="262">
        <f t="shared" si="38"/>
        <v>0</v>
      </c>
      <c r="AA33" s="262">
        <f t="shared" si="38"/>
        <v>0</v>
      </c>
      <c r="AB33" s="262">
        <f t="shared" si="38"/>
        <v>0</v>
      </c>
      <c r="AC33" s="262">
        <f t="shared" si="38"/>
        <v>0</v>
      </c>
      <c r="AD33" s="262">
        <f t="shared" si="38"/>
        <v>0</v>
      </c>
      <c r="AE33" s="262">
        <f t="shared" si="38"/>
        <v>0</v>
      </c>
      <c r="AF33" s="262">
        <f t="shared" si="38"/>
        <v>0</v>
      </c>
      <c r="AG33" s="262">
        <f t="shared" si="38"/>
        <v>0</v>
      </c>
      <c r="AH33" s="262">
        <f t="shared" ref="AH33:AN33" si="39">AH9-AH21</f>
        <v>0</v>
      </c>
      <c r="AI33" s="262">
        <f t="shared" si="39"/>
        <v>0</v>
      </c>
      <c r="AJ33" s="262">
        <f t="shared" si="39"/>
        <v>0</v>
      </c>
      <c r="AK33" s="262">
        <f t="shared" si="39"/>
        <v>0</v>
      </c>
      <c r="AL33" s="262">
        <f t="shared" si="39"/>
        <v>0</v>
      </c>
      <c r="AM33" s="262">
        <f t="shared" si="39"/>
        <v>0</v>
      </c>
      <c r="AN33" s="262">
        <f t="shared" si="39"/>
        <v>0</v>
      </c>
      <c r="AO33" s="262">
        <f t="shared" ref="AO33:AQ33" si="40">AO9-AO21</f>
        <v>0</v>
      </c>
      <c r="AP33" s="262">
        <f t="shared" si="40"/>
        <v>0</v>
      </c>
      <c r="AQ33" s="262">
        <f t="shared" si="40"/>
        <v>0</v>
      </c>
    </row>
    <row r="34" spans="2:43" x14ac:dyDescent="0.2">
      <c r="B34" s="256" t="s">
        <v>418</v>
      </c>
      <c r="C34" s="262">
        <f t="shared" si="25"/>
        <v>0</v>
      </c>
      <c r="D34" s="262">
        <f t="shared" ref="D34:AG34" si="41">D10-D22</f>
        <v>0</v>
      </c>
      <c r="E34" s="262">
        <f t="shared" si="41"/>
        <v>0</v>
      </c>
      <c r="F34" s="262">
        <f t="shared" si="41"/>
        <v>0</v>
      </c>
      <c r="G34" s="262">
        <f t="shared" si="41"/>
        <v>0</v>
      </c>
      <c r="H34" s="262">
        <f t="shared" si="41"/>
        <v>0</v>
      </c>
      <c r="I34" s="262">
        <f t="shared" si="41"/>
        <v>0</v>
      </c>
      <c r="J34" s="262">
        <f t="shared" si="41"/>
        <v>0</v>
      </c>
      <c r="K34" s="262">
        <f t="shared" si="41"/>
        <v>0</v>
      </c>
      <c r="L34" s="262">
        <f t="shared" si="41"/>
        <v>0</v>
      </c>
      <c r="M34" s="262">
        <f t="shared" si="41"/>
        <v>0</v>
      </c>
      <c r="N34" s="262">
        <f t="shared" si="41"/>
        <v>0</v>
      </c>
      <c r="O34" s="262">
        <f t="shared" si="41"/>
        <v>0</v>
      </c>
      <c r="P34" s="262">
        <f t="shared" si="41"/>
        <v>0</v>
      </c>
      <c r="Q34" s="262">
        <f t="shared" si="41"/>
        <v>0</v>
      </c>
      <c r="R34" s="262">
        <f t="shared" si="41"/>
        <v>0</v>
      </c>
      <c r="S34" s="262">
        <f t="shared" si="41"/>
        <v>0</v>
      </c>
      <c r="T34" s="262">
        <f t="shared" si="41"/>
        <v>0</v>
      </c>
      <c r="U34" s="262">
        <f t="shared" si="41"/>
        <v>0</v>
      </c>
      <c r="V34" s="262">
        <f t="shared" si="41"/>
        <v>0</v>
      </c>
      <c r="W34" s="262">
        <f t="shared" si="41"/>
        <v>0</v>
      </c>
      <c r="X34" s="262">
        <f t="shared" si="41"/>
        <v>0</v>
      </c>
      <c r="Y34" s="262">
        <f t="shared" si="41"/>
        <v>0</v>
      </c>
      <c r="Z34" s="262">
        <f t="shared" si="41"/>
        <v>0</v>
      </c>
      <c r="AA34" s="262">
        <f t="shared" si="41"/>
        <v>0</v>
      </c>
      <c r="AB34" s="262">
        <f t="shared" si="41"/>
        <v>0</v>
      </c>
      <c r="AC34" s="262">
        <f t="shared" si="41"/>
        <v>0</v>
      </c>
      <c r="AD34" s="262">
        <f t="shared" si="41"/>
        <v>0</v>
      </c>
      <c r="AE34" s="262">
        <f t="shared" si="41"/>
        <v>0</v>
      </c>
      <c r="AF34" s="262">
        <f t="shared" si="41"/>
        <v>0</v>
      </c>
      <c r="AG34" s="262">
        <f t="shared" si="41"/>
        <v>0</v>
      </c>
      <c r="AH34" s="262">
        <f t="shared" ref="AH34:AN34" si="42">AH10-AH22</f>
        <v>0</v>
      </c>
      <c r="AI34" s="262">
        <f t="shared" si="42"/>
        <v>0</v>
      </c>
      <c r="AJ34" s="262">
        <f t="shared" si="42"/>
        <v>0</v>
      </c>
      <c r="AK34" s="262">
        <f t="shared" si="42"/>
        <v>0</v>
      </c>
      <c r="AL34" s="262">
        <f t="shared" si="42"/>
        <v>0</v>
      </c>
      <c r="AM34" s="262">
        <f t="shared" si="42"/>
        <v>0</v>
      </c>
      <c r="AN34" s="262">
        <f t="shared" si="42"/>
        <v>0</v>
      </c>
      <c r="AO34" s="262">
        <f t="shared" ref="AO34:AQ34" si="43">AO10-AO22</f>
        <v>0</v>
      </c>
      <c r="AP34" s="262">
        <f t="shared" si="43"/>
        <v>0</v>
      </c>
      <c r="AQ34" s="262">
        <f t="shared" si="43"/>
        <v>0</v>
      </c>
    </row>
    <row r="35" spans="2:43" x14ac:dyDescent="0.2">
      <c r="B35" s="266" t="s">
        <v>59</v>
      </c>
      <c r="C35" s="267">
        <f t="shared" si="25"/>
        <v>9200725.5451115184</v>
      </c>
      <c r="D35" s="271">
        <f t="shared" ref="D35:AG35" si="44">SUM(D29:D34)</f>
        <v>0</v>
      </c>
      <c r="E35" s="267">
        <f t="shared" si="44"/>
        <v>0</v>
      </c>
      <c r="F35" s="267">
        <f t="shared" si="44"/>
        <v>0</v>
      </c>
      <c r="G35" s="267">
        <f t="shared" si="44"/>
        <v>105731.16559104249</v>
      </c>
      <c r="H35" s="267">
        <f t="shared" si="44"/>
        <v>201711.56813314185</v>
      </c>
      <c r="I35" s="267">
        <f t="shared" si="44"/>
        <v>239680.80448761582</v>
      </c>
      <c r="J35" s="267">
        <f t="shared" si="44"/>
        <v>242077.61253248528</v>
      </c>
      <c r="K35" s="267">
        <f t="shared" si="44"/>
        <v>244498.38865781203</v>
      </c>
      <c r="L35" s="267">
        <f t="shared" si="44"/>
        <v>246943.37254439294</v>
      </c>
      <c r="M35" s="267">
        <f t="shared" si="44"/>
        <v>249412.80626983941</v>
      </c>
      <c r="N35" s="267">
        <f t="shared" si="44"/>
        <v>251906.93433253095</v>
      </c>
      <c r="O35" s="267">
        <f t="shared" si="44"/>
        <v>254426.00367585942</v>
      </c>
      <c r="P35" s="267">
        <f t="shared" si="44"/>
        <v>256970.26371262223</v>
      </c>
      <c r="Q35" s="267">
        <f t="shared" si="44"/>
        <v>259539.96634974703</v>
      </c>
      <c r="R35" s="267">
        <f t="shared" si="44"/>
        <v>262135.3660132587</v>
      </c>
      <c r="S35" s="267">
        <f t="shared" si="44"/>
        <v>261611.09528121725</v>
      </c>
      <c r="T35" s="267">
        <f t="shared" si="44"/>
        <v>261087.87309065089</v>
      </c>
      <c r="U35" s="267">
        <f t="shared" si="44"/>
        <v>260565.69734447449</v>
      </c>
      <c r="V35" s="267">
        <f t="shared" si="44"/>
        <v>260044.56594978273</v>
      </c>
      <c r="W35" s="267">
        <f t="shared" si="44"/>
        <v>259524.4768178761</v>
      </c>
      <c r="X35" s="267">
        <f t="shared" si="44"/>
        <v>259005.42786424607</v>
      </c>
      <c r="Y35" s="267">
        <f t="shared" si="44"/>
        <v>258487.41700852662</v>
      </c>
      <c r="Z35" s="267">
        <f t="shared" si="44"/>
        <v>257970.44217447937</v>
      </c>
      <c r="AA35" s="267">
        <f t="shared" si="44"/>
        <v>257454.50129014999</v>
      </c>
      <c r="AB35" s="267">
        <f t="shared" si="44"/>
        <v>256939.59228757024</v>
      </c>
      <c r="AC35" s="267">
        <f t="shared" si="44"/>
        <v>256425.71310301125</v>
      </c>
      <c r="AD35" s="267">
        <f t="shared" si="44"/>
        <v>255912.86167678982</v>
      </c>
      <c r="AE35" s="267">
        <f t="shared" si="44"/>
        <v>255401.03595343977</v>
      </c>
      <c r="AF35" s="267">
        <f t="shared" si="44"/>
        <v>254890.2338815555</v>
      </c>
      <c r="AG35" s="267">
        <f t="shared" si="44"/>
        <v>254380.4534137547</v>
      </c>
      <c r="AH35" s="267">
        <f t="shared" ref="AH35:AN35" si="45">SUM(AH29:AH34)</f>
        <v>253871.69250693917</v>
      </c>
      <c r="AI35" s="267">
        <f t="shared" si="45"/>
        <v>253363.94912192971</v>
      </c>
      <c r="AJ35" s="267">
        <f t="shared" si="45"/>
        <v>252857.22122368217</v>
      </c>
      <c r="AK35" s="267">
        <f t="shared" si="45"/>
        <v>252351.50678123534</v>
      </c>
      <c r="AL35" s="267">
        <f t="shared" si="45"/>
        <v>251846.80376765877</v>
      </c>
      <c r="AM35" s="267">
        <f t="shared" si="45"/>
        <v>251343.11016014963</v>
      </c>
      <c r="AN35" s="267">
        <f t="shared" si="45"/>
        <v>250840.42393980175</v>
      </c>
      <c r="AO35" s="267">
        <f t="shared" ref="AO35:AQ35" si="46">SUM(AO29:AO34)</f>
        <v>250338.74309194088</v>
      </c>
      <c r="AP35" s="267">
        <f t="shared" si="46"/>
        <v>249838.06560575962</v>
      </c>
      <c r="AQ35" s="267">
        <f t="shared" si="46"/>
        <v>249338.3894745484</v>
      </c>
    </row>
    <row r="38" spans="2:43" x14ac:dyDescent="0.2">
      <c r="B38" s="272"/>
      <c r="C38" s="256"/>
      <c r="D38" s="256" t="s">
        <v>10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</row>
    <row r="39" spans="2:43" x14ac:dyDescent="0.2">
      <c r="B39" s="735" t="s">
        <v>467</v>
      </c>
      <c r="C39" s="257"/>
      <c r="D39" s="258">
        <v>1</v>
      </c>
      <c r="E39" s="258">
        <v>2</v>
      </c>
      <c r="F39" s="258">
        <v>3</v>
      </c>
      <c r="G39" s="258">
        <v>4</v>
      </c>
      <c r="H39" s="258">
        <v>5</v>
      </c>
      <c r="I39" s="258">
        <v>6</v>
      </c>
      <c r="J39" s="258">
        <v>7</v>
      </c>
      <c r="K39" s="258">
        <v>8</v>
      </c>
      <c r="L39" s="258">
        <v>9</v>
      </c>
      <c r="M39" s="258">
        <v>10</v>
      </c>
      <c r="N39" s="258">
        <v>11</v>
      </c>
      <c r="O39" s="258">
        <v>12</v>
      </c>
      <c r="P39" s="258">
        <v>13</v>
      </c>
      <c r="Q39" s="258">
        <v>14</v>
      </c>
      <c r="R39" s="258">
        <v>15</v>
      </c>
      <c r="S39" s="258">
        <v>16</v>
      </c>
      <c r="T39" s="258">
        <v>17</v>
      </c>
      <c r="U39" s="258">
        <v>18</v>
      </c>
      <c r="V39" s="258">
        <v>19</v>
      </c>
      <c r="W39" s="258">
        <v>20</v>
      </c>
      <c r="X39" s="258">
        <v>21</v>
      </c>
      <c r="Y39" s="258">
        <v>22</v>
      </c>
      <c r="Z39" s="258">
        <v>23</v>
      </c>
      <c r="AA39" s="258">
        <v>24</v>
      </c>
      <c r="AB39" s="258">
        <v>25</v>
      </c>
      <c r="AC39" s="258">
        <v>26</v>
      </c>
      <c r="AD39" s="258">
        <v>27</v>
      </c>
      <c r="AE39" s="258">
        <v>28</v>
      </c>
      <c r="AF39" s="258">
        <v>29</v>
      </c>
      <c r="AG39" s="258">
        <v>30</v>
      </c>
      <c r="AH39" s="258">
        <v>31</v>
      </c>
      <c r="AI39" s="258">
        <v>32</v>
      </c>
      <c r="AJ39" s="258">
        <v>33</v>
      </c>
      <c r="AK39" s="258">
        <v>34</v>
      </c>
      <c r="AL39" s="258">
        <v>35</v>
      </c>
      <c r="AM39" s="258">
        <v>36</v>
      </c>
      <c r="AN39" s="258">
        <v>37</v>
      </c>
      <c r="AO39" s="258">
        <v>38</v>
      </c>
      <c r="AP39" s="258">
        <v>39</v>
      </c>
      <c r="AQ39" s="258">
        <v>40</v>
      </c>
    </row>
    <row r="40" spans="2:43" x14ac:dyDescent="0.2">
      <c r="B40" s="736"/>
      <c r="C40" s="260" t="s">
        <v>9</v>
      </c>
      <c r="D40" s="261">
        <f t="shared" ref="D40:AG40" si="47">D4</f>
        <v>2026</v>
      </c>
      <c r="E40" s="261">
        <f t="shared" si="47"/>
        <v>2027</v>
      </c>
      <c r="F40" s="261">
        <f t="shared" si="47"/>
        <v>2028</v>
      </c>
      <c r="G40" s="261">
        <f t="shared" si="47"/>
        <v>2029</v>
      </c>
      <c r="H40" s="261">
        <f t="shared" si="47"/>
        <v>2030</v>
      </c>
      <c r="I40" s="261">
        <f t="shared" si="47"/>
        <v>2031</v>
      </c>
      <c r="J40" s="261">
        <f t="shared" si="47"/>
        <v>2032</v>
      </c>
      <c r="K40" s="261">
        <f t="shared" si="47"/>
        <v>2033</v>
      </c>
      <c r="L40" s="261">
        <f t="shared" si="47"/>
        <v>2034</v>
      </c>
      <c r="M40" s="261">
        <f t="shared" si="47"/>
        <v>2035</v>
      </c>
      <c r="N40" s="261">
        <f t="shared" si="47"/>
        <v>2036</v>
      </c>
      <c r="O40" s="261">
        <f t="shared" si="47"/>
        <v>2037</v>
      </c>
      <c r="P40" s="261">
        <f t="shared" si="47"/>
        <v>2038</v>
      </c>
      <c r="Q40" s="261">
        <f t="shared" si="47"/>
        <v>2039</v>
      </c>
      <c r="R40" s="261">
        <f t="shared" si="47"/>
        <v>2040</v>
      </c>
      <c r="S40" s="261">
        <f t="shared" si="47"/>
        <v>2041</v>
      </c>
      <c r="T40" s="261">
        <f t="shared" si="47"/>
        <v>2042</v>
      </c>
      <c r="U40" s="261">
        <f t="shared" si="47"/>
        <v>2043</v>
      </c>
      <c r="V40" s="261">
        <f t="shared" si="47"/>
        <v>2044</v>
      </c>
      <c r="W40" s="261">
        <f t="shared" si="47"/>
        <v>2045</v>
      </c>
      <c r="X40" s="261">
        <f t="shared" si="47"/>
        <v>2046</v>
      </c>
      <c r="Y40" s="261">
        <f t="shared" si="47"/>
        <v>2047</v>
      </c>
      <c r="Z40" s="261">
        <f t="shared" si="47"/>
        <v>2048</v>
      </c>
      <c r="AA40" s="261">
        <f t="shared" si="47"/>
        <v>2049</v>
      </c>
      <c r="AB40" s="261">
        <f t="shared" si="47"/>
        <v>2050</v>
      </c>
      <c r="AC40" s="261">
        <f t="shared" si="47"/>
        <v>2051</v>
      </c>
      <c r="AD40" s="261">
        <f t="shared" si="47"/>
        <v>2052</v>
      </c>
      <c r="AE40" s="261">
        <f t="shared" si="47"/>
        <v>2053</v>
      </c>
      <c r="AF40" s="261">
        <f t="shared" si="47"/>
        <v>2054</v>
      </c>
      <c r="AG40" s="261">
        <f t="shared" si="47"/>
        <v>2055</v>
      </c>
      <c r="AH40" s="261">
        <f t="shared" ref="AH40:AN40" si="48">AH4</f>
        <v>2056</v>
      </c>
      <c r="AI40" s="261">
        <f t="shared" si="48"/>
        <v>2057</v>
      </c>
      <c r="AJ40" s="261">
        <f t="shared" si="48"/>
        <v>2058</v>
      </c>
      <c r="AK40" s="261">
        <f t="shared" si="48"/>
        <v>2059</v>
      </c>
      <c r="AL40" s="261">
        <f t="shared" si="48"/>
        <v>2060</v>
      </c>
      <c r="AM40" s="261">
        <f t="shared" si="48"/>
        <v>2061</v>
      </c>
      <c r="AN40" s="261">
        <f t="shared" si="48"/>
        <v>2062</v>
      </c>
      <c r="AO40" s="261">
        <f t="shared" ref="AO40:AQ40" si="49">AO4</f>
        <v>2063</v>
      </c>
      <c r="AP40" s="261">
        <f t="shared" si="49"/>
        <v>2064</v>
      </c>
      <c r="AQ40" s="261">
        <f t="shared" si="49"/>
        <v>2065</v>
      </c>
    </row>
    <row r="41" spans="2:43" x14ac:dyDescent="0.2">
      <c r="B41" s="256" t="s">
        <v>413</v>
      </c>
      <c r="C41" s="262">
        <f t="shared" ref="C41:C47" si="50">SUM(D41:AQ41)</f>
        <v>0</v>
      </c>
      <c r="D41" s="262">
        <f>D29*Parametre!C235</f>
        <v>0</v>
      </c>
      <c r="E41" s="262">
        <f>E29*Parametre!D235</f>
        <v>0</v>
      </c>
      <c r="F41" s="262">
        <f>F29*Parametre!E235</f>
        <v>0</v>
      </c>
      <c r="G41" s="262">
        <f>G29*Parametre!F235</f>
        <v>0</v>
      </c>
      <c r="H41" s="262">
        <f>H29*Parametre!G235</f>
        <v>0</v>
      </c>
      <c r="I41" s="262">
        <f>I29*Parametre!H235</f>
        <v>0</v>
      </c>
      <c r="J41" s="262">
        <f>J29*Parametre!I235</f>
        <v>0</v>
      </c>
      <c r="K41" s="262">
        <f>K29*Parametre!J235</f>
        <v>0</v>
      </c>
      <c r="L41" s="262">
        <f>L29*Parametre!K235</f>
        <v>0</v>
      </c>
      <c r="M41" s="262">
        <f>M29*Parametre!L235</f>
        <v>0</v>
      </c>
      <c r="N41" s="262">
        <f>N29*Parametre!M235</f>
        <v>0</v>
      </c>
      <c r="O41" s="262">
        <f>O29*Parametre!N235</f>
        <v>0</v>
      </c>
      <c r="P41" s="262">
        <f>P29*Parametre!O235</f>
        <v>0</v>
      </c>
      <c r="Q41" s="262">
        <f>Q29*Parametre!P235</f>
        <v>0</v>
      </c>
      <c r="R41" s="262">
        <f>R29*Parametre!Q235</f>
        <v>0</v>
      </c>
      <c r="S41" s="262">
        <f>S29*Parametre!R235</f>
        <v>0</v>
      </c>
      <c r="T41" s="262">
        <f>T29*Parametre!S235</f>
        <v>0</v>
      </c>
      <c r="U41" s="262">
        <f>U29*Parametre!T235</f>
        <v>0</v>
      </c>
      <c r="V41" s="262">
        <f>V29*Parametre!U235</f>
        <v>0</v>
      </c>
      <c r="W41" s="262">
        <f>W29*Parametre!V235</f>
        <v>0</v>
      </c>
      <c r="X41" s="262">
        <f>X29*Parametre!W235</f>
        <v>0</v>
      </c>
      <c r="Y41" s="262">
        <f>Y29*Parametre!X235</f>
        <v>0</v>
      </c>
      <c r="Z41" s="262">
        <f>Z29*Parametre!Y235</f>
        <v>0</v>
      </c>
      <c r="AA41" s="262">
        <f>AA29*Parametre!Z235</f>
        <v>0</v>
      </c>
      <c r="AB41" s="262">
        <f>AB29*Parametre!AA235</f>
        <v>0</v>
      </c>
      <c r="AC41" s="262">
        <f>AC29*Parametre!AB235</f>
        <v>0</v>
      </c>
      <c r="AD41" s="262">
        <f>AD29*Parametre!AC235</f>
        <v>0</v>
      </c>
      <c r="AE41" s="262">
        <f>AE29*Parametre!AD235</f>
        <v>0</v>
      </c>
      <c r="AF41" s="262">
        <f>AF29*Parametre!AE235</f>
        <v>0</v>
      </c>
      <c r="AG41" s="262">
        <f>AG29*Parametre!AF235</f>
        <v>0</v>
      </c>
      <c r="AH41" s="262">
        <f>AH29*Parametre!AG235</f>
        <v>0</v>
      </c>
      <c r="AI41" s="262">
        <f>AI29*Parametre!AH235</f>
        <v>0</v>
      </c>
      <c r="AJ41" s="262">
        <f>AJ29*Parametre!AI235</f>
        <v>0</v>
      </c>
      <c r="AK41" s="262">
        <f>AK29*Parametre!AJ235</f>
        <v>0</v>
      </c>
      <c r="AL41" s="262">
        <f>AL29*Parametre!AK235</f>
        <v>0</v>
      </c>
      <c r="AM41" s="262">
        <f>AM29*Parametre!AL235</f>
        <v>0</v>
      </c>
      <c r="AN41" s="262">
        <f>AN29*Parametre!AM235</f>
        <v>0</v>
      </c>
      <c r="AO41" s="262">
        <f>AO29*Parametre!AN235</f>
        <v>0</v>
      </c>
      <c r="AP41" s="262">
        <f>AP29*Parametre!AO235</f>
        <v>0</v>
      </c>
      <c r="AQ41" s="262">
        <f>AQ29*Parametre!AP235</f>
        <v>0</v>
      </c>
    </row>
    <row r="42" spans="2:43" x14ac:dyDescent="0.2">
      <c r="B42" s="256" t="s">
        <v>414</v>
      </c>
      <c r="C42" s="262">
        <f t="shared" si="50"/>
        <v>7959.8380187597259</v>
      </c>
      <c r="D42" s="262">
        <f>D30*Parametre!C236</f>
        <v>0</v>
      </c>
      <c r="E42" s="262">
        <f>E30*Parametre!D236</f>
        <v>0</v>
      </c>
      <c r="F42" s="262">
        <f>F30*Parametre!E236</f>
        <v>0</v>
      </c>
      <c r="G42" s="262">
        <f>G30*Parametre!F236</f>
        <v>69.584323354604024</v>
      </c>
      <c r="H42" s="262">
        <f>H30*Parametre!G236</f>
        <v>135.0206809191221</v>
      </c>
      <c r="I42" s="262">
        <f>I30*Parametre!H236</f>
        <v>163.13274755438127</v>
      </c>
      <c r="J42" s="262">
        <f>J30*Parametre!I236</f>
        <v>167.48744817091182</v>
      </c>
      <c r="K42" s="262">
        <f>K30*Parametre!J236</f>
        <v>171.91292952502147</v>
      </c>
      <c r="L42" s="262">
        <f>L30*Parametre!K236</f>
        <v>176.4101717614019</v>
      </c>
      <c r="M42" s="262">
        <f>M30*Parametre!L236</f>
        <v>180.9801675495558</v>
      </c>
      <c r="N42" s="262">
        <f>N30*Parametre!M236</f>
        <v>185.62392223628282</v>
      </c>
      <c r="O42" s="262">
        <f>O30*Parametre!N236</f>
        <v>190.3424540000014</v>
      </c>
      <c r="P42" s="262">
        <f>P30*Parametre!O236</f>
        <v>195.13679400676938</v>
      </c>
      <c r="Q42" s="262">
        <f>Q30*Parametre!P236</f>
        <v>200.00798656827411</v>
      </c>
      <c r="R42" s="262">
        <f>R30*Parametre!Q236</f>
        <v>204.95708930161922</v>
      </c>
      <c r="S42" s="262">
        <f>S30*Parametre!R236</f>
        <v>207.49029994491511</v>
      </c>
      <c r="T42" s="262">
        <f>T30*Parametre!S236</f>
        <v>210.01255791729264</v>
      </c>
      <c r="U42" s="262">
        <f>U30*Parametre!T236</f>
        <v>212.52389689658767</v>
      </c>
      <c r="V42" s="262">
        <f>V30*Parametre!U236</f>
        <v>215.02435046972795</v>
      </c>
      <c r="W42" s="262">
        <f>W30*Parametre!V236</f>
        <v>217.51395213297963</v>
      </c>
      <c r="X42" s="262">
        <f>X30*Parametre!W236</f>
        <v>219.99273529219471</v>
      </c>
      <c r="Y42" s="262">
        <f>Y30*Parametre!X236</f>
        <v>222.4607332629682</v>
      </c>
      <c r="Z42" s="262">
        <f>Z30*Parametre!Y236</f>
        <v>224.91797927086986</v>
      </c>
      <c r="AA42" s="262">
        <f>AA30*Parametre!Z236</f>
        <v>227.36450645186298</v>
      </c>
      <c r="AB42" s="262">
        <f>AB30*Parametre!AA236</f>
        <v>229.80034785219269</v>
      </c>
      <c r="AC42" s="262">
        <f>AC30*Parametre!AB236</f>
        <v>232.22553642891907</v>
      </c>
      <c r="AD42" s="262">
        <f>AD30*Parametre!AC236</f>
        <v>234.64010504990287</v>
      </c>
      <c r="AE42" s="262">
        <f>AE30*Parametre!AD236</f>
        <v>237.04408649428859</v>
      </c>
      <c r="AF42" s="262">
        <f>AF30*Parametre!AE236</f>
        <v>239.43751345248387</v>
      </c>
      <c r="AG42" s="262">
        <f>AG30*Parametre!AF236</f>
        <v>241.82041852644744</v>
      </c>
      <c r="AH42" s="262">
        <f>AH30*Parametre!AG236</f>
        <v>244.19283423010893</v>
      </c>
      <c r="AI42" s="262">
        <f>AI30*Parametre!AH236</f>
        <v>246.55479298927381</v>
      </c>
      <c r="AJ42" s="262">
        <f>AJ30*Parametre!AI236</f>
        <v>248.90632714206541</v>
      </c>
      <c r="AK42" s="262">
        <f>AK30*Parametre!AJ236</f>
        <v>251.24746893906578</v>
      </c>
      <c r="AL42" s="262">
        <f>AL30*Parametre!AK236</f>
        <v>253.57825054355723</v>
      </c>
      <c r="AM42" s="262">
        <f>AM30*Parametre!AL236</f>
        <v>255.89870403180487</v>
      </c>
      <c r="AN42" s="262">
        <f>AN30*Parametre!AM236</f>
        <v>258.20886139302917</v>
      </c>
      <c r="AO42" s="262">
        <f>AO30*Parametre!AN236</f>
        <v>260.50875453005096</v>
      </c>
      <c r="AP42" s="262">
        <f>AP30*Parametre!AO236</f>
        <v>262.7984152590584</v>
      </c>
      <c r="AQ42" s="262">
        <f>AQ30*Parametre!AP236</f>
        <v>265.0778753101319</v>
      </c>
    </row>
    <row r="43" spans="2:43" x14ac:dyDescent="0.2">
      <c r="B43" s="256" t="s">
        <v>415</v>
      </c>
      <c r="C43" s="262">
        <f t="shared" si="50"/>
        <v>402.5317425986301</v>
      </c>
      <c r="D43" s="262">
        <f>D31*Parametre!C237</f>
        <v>0</v>
      </c>
      <c r="E43" s="262">
        <f>E31*Parametre!D237</f>
        <v>0</v>
      </c>
      <c r="F43" s="262">
        <f>F31*Parametre!E237</f>
        <v>0</v>
      </c>
      <c r="G43" s="262">
        <f>G31*Parametre!F237</f>
        <v>4.6257384946081785</v>
      </c>
      <c r="H43" s="262">
        <f>H31*Parametre!G237</f>
        <v>8.8248811058249323</v>
      </c>
      <c r="I43" s="262">
        <f>I31*Parametre!H237</f>
        <v>10.486035196333379</v>
      </c>
      <c r="J43" s="262">
        <f>J31*Parametre!I237</f>
        <v>10.590895548296348</v>
      </c>
      <c r="K43" s="262">
        <f>K31*Parametre!J237</f>
        <v>10.696804503779486</v>
      </c>
      <c r="L43" s="262">
        <f>L31*Parametre!K237</f>
        <v>10.803772548817099</v>
      </c>
      <c r="M43" s="262">
        <f>M31*Parametre!L237</f>
        <v>10.911810274305195</v>
      </c>
      <c r="N43" s="262">
        <f>N31*Parametre!M237</f>
        <v>11.0209283770483</v>
      </c>
      <c r="O43" s="262">
        <f>O31*Parametre!N237</f>
        <v>11.13113766081892</v>
      </c>
      <c r="P43" s="262">
        <f>P31*Parametre!O237</f>
        <v>11.242449037427455</v>
      </c>
      <c r="Q43" s="262">
        <f>Q31*Parametre!P237</f>
        <v>11.354873527801409</v>
      </c>
      <c r="R43" s="262">
        <f>R31*Parametre!Q237</f>
        <v>11.468422263079882</v>
      </c>
      <c r="S43" s="262">
        <f>S31*Parametre!R237</f>
        <v>11.445485418553279</v>
      </c>
      <c r="T43" s="262">
        <f>T31*Parametre!S237</f>
        <v>11.422594447715953</v>
      </c>
      <c r="U43" s="262">
        <f>U31*Parametre!T237</f>
        <v>11.399749258820712</v>
      </c>
      <c r="V43" s="262">
        <f>V31*Parametre!U237</f>
        <v>11.376949760302901</v>
      </c>
      <c r="W43" s="262">
        <f>W31*Parametre!V237</f>
        <v>11.354195860782266</v>
      </c>
      <c r="X43" s="262">
        <f>X31*Parametre!W237</f>
        <v>11.33148746906072</v>
      </c>
      <c r="Y43" s="262">
        <f>Y31*Parametre!X237</f>
        <v>11.308824494122714</v>
      </c>
      <c r="Z43" s="262">
        <f>Z31*Parametre!Y237</f>
        <v>11.286206845133751</v>
      </c>
      <c r="AA43" s="262">
        <f>AA31*Parametre!Z237</f>
        <v>11.263634431444109</v>
      </c>
      <c r="AB43" s="262">
        <f>AB31*Parametre!AA237</f>
        <v>11.241107162581384</v>
      </c>
      <c r="AC43" s="262">
        <f>AC31*Parametre!AB237</f>
        <v>11.218624948256464</v>
      </c>
      <c r="AD43" s="262">
        <f>AD31*Parametre!AC237</f>
        <v>11.196187698359788</v>
      </c>
      <c r="AE43" s="262">
        <f>AE31*Parametre!AD237</f>
        <v>11.173795322962851</v>
      </c>
      <c r="AF43" s="262">
        <f>AF31*Parametre!AE237</f>
        <v>11.151447732318193</v>
      </c>
      <c r="AG43" s="262">
        <f>AG31*Parametre!AF237</f>
        <v>11.129144836851955</v>
      </c>
      <c r="AH43" s="262">
        <f>AH31*Parametre!AG237</f>
        <v>11.106886547178776</v>
      </c>
      <c r="AI43" s="262">
        <f>AI31*Parametre!AH237</f>
        <v>11.084672774084657</v>
      </c>
      <c r="AJ43" s="262">
        <f>AJ31*Parametre!AI237</f>
        <v>11.062503428535909</v>
      </c>
      <c r="AK43" s="262">
        <f>AK31*Parametre!AJ237</f>
        <v>11.04037842167914</v>
      </c>
      <c r="AL43" s="262">
        <f>AL31*Parametre!AK237</f>
        <v>11.018297664835304</v>
      </c>
      <c r="AM43" s="262">
        <f>AM31*Parametre!AL237</f>
        <v>10.996261069506406</v>
      </c>
      <c r="AN43" s="262">
        <f>AN31*Parametre!AM237</f>
        <v>10.97426854736656</v>
      </c>
      <c r="AO43" s="262">
        <f>AO31*Parametre!AN237</f>
        <v>10.952320010272414</v>
      </c>
      <c r="AP43" s="262">
        <f>AP31*Parametre!AO237</f>
        <v>10.930415370251984</v>
      </c>
      <c r="AQ43" s="262">
        <f>AQ31*Parametre!AP237</f>
        <v>10.908554539511353</v>
      </c>
    </row>
    <row r="44" spans="2:43" x14ac:dyDescent="0.2">
      <c r="B44" s="256" t="s">
        <v>416</v>
      </c>
      <c r="C44" s="262">
        <f t="shared" si="50"/>
        <v>0</v>
      </c>
      <c r="D44" s="262">
        <f>D32*Parametre!C238</f>
        <v>0</v>
      </c>
      <c r="E44" s="262">
        <f>E32*Parametre!D238</f>
        <v>0</v>
      </c>
      <c r="F44" s="262">
        <f>F32*Parametre!E238</f>
        <v>0</v>
      </c>
      <c r="G44" s="262">
        <f>G32*Parametre!F238</f>
        <v>0</v>
      </c>
      <c r="H44" s="262">
        <f>H32*Parametre!G238</f>
        <v>0</v>
      </c>
      <c r="I44" s="262">
        <f>I32*Parametre!H238</f>
        <v>0</v>
      </c>
      <c r="J44" s="262">
        <f>J32*Parametre!I238</f>
        <v>0</v>
      </c>
      <c r="K44" s="262">
        <f>K32*Parametre!J238</f>
        <v>0</v>
      </c>
      <c r="L44" s="262">
        <f>L32*Parametre!K238</f>
        <v>0</v>
      </c>
      <c r="M44" s="262">
        <f>M32*Parametre!L238</f>
        <v>0</v>
      </c>
      <c r="N44" s="262">
        <f>N32*Parametre!M238</f>
        <v>0</v>
      </c>
      <c r="O44" s="262">
        <f>O32*Parametre!N238</f>
        <v>0</v>
      </c>
      <c r="P44" s="262">
        <f>P32*Parametre!O238</f>
        <v>0</v>
      </c>
      <c r="Q44" s="262">
        <f>Q32*Parametre!P238</f>
        <v>0</v>
      </c>
      <c r="R44" s="262">
        <f>R32*Parametre!Q238</f>
        <v>0</v>
      </c>
      <c r="S44" s="262">
        <f>S32*Parametre!R238</f>
        <v>0</v>
      </c>
      <c r="T44" s="262">
        <f>T32*Parametre!S238</f>
        <v>0</v>
      </c>
      <c r="U44" s="262">
        <f>U32*Parametre!T238</f>
        <v>0</v>
      </c>
      <c r="V44" s="262">
        <f>V32*Parametre!U238</f>
        <v>0</v>
      </c>
      <c r="W44" s="262">
        <f>W32*Parametre!V238</f>
        <v>0</v>
      </c>
      <c r="X44" s="262">
        <f>X32*Parametre!W238</f>
        <v>0</v>
      </c>
      <c r="Y44" s="262">
        <f>Y32*Parametre!X238</f>
        <v>0</v>
      </c>
      <c r="Z44" s="262">
        <f>Z32*Parametre!Y238</f>
        <v>0</v>
      </c>
      <c r="AA44" s="262">
        <f>AA32*Parametre!Z238</f>
        <v>0</v>
      </c>
      <c r="AB44" s="262">
        <f>AB32*Parametre!AA238</f>
        <v>0</v>
      </c>
      <c r="AC44" s="262">
        <f>AC32*Parametre!AB238</f>
        <v>0</v>
      </c>
      <c r="AD44" s="262">
        <f>AD32*Parametre!AC238</f>
        <v>0</v>
      </c>
      <c r="AE44" s="262">
        <f>AE32*Parametre!AD238</f>
        <v>0</v>
      </c>
      <c r="AF44" s="262">
        <f>AF32*Parametre!AE238</f>
        <v>0</v>
      </c>
      <c r="AG44" s="262">
        <f>AG32*Parametre!AF238</f>
        <v>0</v>
      </c>
      <c r="AH44" s="262">
        <f>AH32*Parametre!AG238</f>
        <v>0</v>
      </c>
      <c r="AI44" s="262">
        <f>AI32*Parametre!AH238</f>
        <v>0</v>
      </c>
      <c r="AJ44" s="262">
        <f>AJ32*Parametre!AI238</f>
        <v>0</v>
      </c>
      <c r="AK44" s="262">
        <f>AK32*Parametre!AJ238</f>
        <v>0</v>
      </c>
      <c r="AL44" s="262">
        <f>AL32*Parametre!AK238</f>
        <v>0</v>
      </c>
      <c r="AM44" s="262">
        <f>AM32*Parametre!AL238</f>
        <v>0</v>
      </c>
      <c r="AN44" s="262">
        <f>AN32*Parametre!AM238</f>
        <v>0</v>
      </c>
      <c r="AO44" s="262">
        <f>AO32*Parametre!AN238</f>
        <v>0</v>
      </c>
      <c r="AP44" s="262">
        <f>AP32*Parametre!AO238</f>
        <v>0</v>
      </c>
      <c r="AQ44" s="262">
        <f>AQ32*Parametre!AP238</f>
        <v>0</v>
      </c>
    </row>
    <row r="45" spans="2:43" x14ac:dyDescent="0.2">
      <c r="B45" s="256" t="s">
        <v>417</v>
      </c>
      <c r="C45" s="262">
        <f t="shared" si="50"/>
        <v>0</v>
      </c>
      <c r="D45" s="262">
        <f>D33*Parametre!C239</f>
        <v>0</v>
      </c>
      <c r="E45" s="262">
        <f>E33*Parametre!D239</f>
        <v>0</v>
      </c>
      <c r="F45" s="262">
        <f>F33*Parametre!E239</f>
        <v>0</v>
      </c>
      <c r="G45" s="262">
        <f>G33*Parametre!F239</f>
        <v>0</v>
      </c>
      <c r="H45" s="262">
        <f>H33*Parametre!G239</f>
        <v>0</v>
      </c>
      <c r="I45" s="262">
        <f>I33*Parametre!H239</f>
        <v>0</v>
      </c>
      <c r="J45" s="262">
        <f>J33*Parametre!I239</f>
        <v>0</v>
      </c>
      <c r="K45" s="262">
        <f>K33*Parametre!J239</f>
        <v>0</v>
      </c>
      <c r="L45" s="262">
        <f>L33*Parametre!K239</f>
        <v>0</v>
      </c>
      <c r="M45" s="262">
        <f>M33*Parametre!L239</f>
        <v>0</v>
      </c>
      <c r="N45" s="262">
        <f>N33*Parametre!M239</f>
        <v>0</v>
      </c>
      <c r="O45" s="262">
        <f>O33*Parametre!N239</f>
        <v>0</v>
      </c>
      <c r="P45" s="262">
        <f>P33*Parametre!O239</f>
        <v>0</v>
      </c>
      <c r="Q45" s="262">
        <f>Q33*Parametre!P239</f>
        <v>0</v>
      </c>
      <c r="R45" s="262">
        <f>R33*Parametre!Q239</f>
        <v>0</v>
      </c>
      <c r="S45" s="262">
        <f>S33*Parametre!R239</f>
        <v>0</v>
      </c>
      <c r="T45" s="262">
        <f>T33*Parametre!S239</f>
        <v>0</v>
      </c>
      <c r="U45" s="262">
        <f>U33*Parametre!T239</f>
        <v>0</v>
      </c>
      <c r="V45" s="262">
        <f>V33*Parametre!U239</f>
        <v>0</v>
      </c>
      <c r="W45" s="262">
        <f>W33*Parametre!V239</f>
        <v>0</v>
      </c>
      <c r="X45" s="262">
        <f>X33*Parametre!W239</f>
        <v>0</v>
      </c>
      <c r="Y45" s="262">
        <f>Y33*Parametre!X239</f>
        <v>0</v>
      </c>
      <c r="Z45" s="262">
        <f>Z33*Parametre!Y239</f>
        <v>0</v>
      </c>
      <c r="AA45" s="262">
        <f>AA33*Parametre!Z239</f>
        <v>0</v>
      </c>
      <c r="AB45" s="262">
        <f>AB33*Parametre!AA239</f>
        <v>0</v>
      </c>
      <c r="AC45" s="262">
        <f>AC33*Parametre!AB239</f>
        <v>0</v>
      </c>
      <c r="AD45" s="262">
        <f>AD33*Parametre!AC239</f>
        <v>0</v>
      </c>
      <c r="AE45" s="262">
        <f>AE33*Parametre!AD239</f>
        <v>0</v>
      </c>
      <c r="AF45" s="262">
        <f>AF33*Parametre!AE239</f>
        <v>0</v>
      </c>
      <c r="AG45" s="262">
        <f>AG33*Parametre!AF239</f>
        <v>0</v>
      </c>
      <c r="AH45" s="262">
        <f>AH33*Parametre!AG239</f>
        <v>0</v>
      </c>
      <c r="AI45" s="262">
        <f>AI33*Parametre!AH239</f>
        <v>0</v>
      </c>
      <c r="AJ45" s="262">
        <f>AJ33*Parametre!AI239</f>
        <v>0</v>
      </c>
      <c r="AK45" s="262">
        <f>AK33*Parametre!AJ239</f>
        <v>0</v>
      </c>
      <c r="AL45" s="262">
        <f>AL33*Parametre!AK239</f>
        <v>0</v>
      </c>
      <c r="AM45" s="262">
        <f>AM33*Parametre!AL239</f>
        <v>0</v>
      </c>
      <c r="AN45" s="262">
        <f>AN33*Parametre!AM239</f>
        <v>0</v>
      </c>
      <c r="AO45" s="262">
        <f>AO33*Parametre!AN239</f>
        <v>0</v>
      </c>
      <c r="AP45" s="262">
        <f>AP33*Parametre!AO239</f>
        <v>0</v>
      </c>
      <c r="AQ45" s="262">
        <f>AQ33*Parametre!AP239</f>
        <v>0</v>
      </c>
    </row>
    <row r="46" spans="2:43" x14ac:dyDescent="0.2">
      <c r="B46" s="256" t="s">
        <v>418</v>
      </c>
      <c r="C46" s="262">
        <f t="shared" si="50"/>
        <v>0</v>
      </c>
      <c r="D46" s="262">
        <f>D34*Parametre!C240</f>
        <v>0</v>
      </c>
      <c r="E46" s="262">
        <f>E34*Parametre!D240</f>
        <v>0</v>
      </c>
      <c r="F46" s="262">
        <f>F34*Parametre!E240</f>
        <v>0</v>
      </c>
      <c r="G46" s="262">
        <f>G34*Parametre!F240</f>
        <v>0</v>
      </c>
      <c r="H46" s="262">
        <f>H34*Parametre!G240</f>
        <v>0</v>
      </c>
      <c r="I46" s="262">
        <f>I34*Parametre!H240</f>
        <v>0</v>
      </c>
      <c r="J46" s="262">
        <f>J34*Parametre!I240</f>
        <v>0</v>
      </c>
      <c r="K46" s="262">
        <f>K34*Parametre!J240</f>
        <v>0</v>
      </c>
      <c r="L46" s="262">
        <f>L34*Parametre!K240</f>
        <v>0</v>
      </c>
      <c r="M46" s="262">
        <f>M34*Parametre!L240</f>
        <v>0</v>
      </c>
      <c r="N46" s="262">
        <f>N34*Parametre!M240</f>
        <v>0</v>
      </c>
      <c r="O46" s="262">
        <f>O34*Parametre!N240</f>
        <v>0</v>
      </c>
      <c r="P46" s="262">
        <f>P34*Parametre!O240</f>
        <v>0</v>
      </c>
      <c r="Q46" s="262">
        <f>Q34*Parametre!P240</f>
        <v>0</v>
      </c>
      <c r="R46" s="262">
        <f>R34*Parametre!Q240</f>
        <v>0</v>
      </c>
      <c r="S46" s="262">
        <f>S34*Parametre!R240</f>
        <v>0</v>
      </c>
      <c r="T46" s="262">
        <f>T34*Parametre!S240</f>
        <v>0</v>
      </c>
      <c r="U46" s="262">
        <f>U34*Parametre!T240</f>
        <v>0</v>
      </c>
      <c r="V46" s="262">
        <f>V34*Parametre!U240</f>
        <v>0</v>
      </c>
      <c r="W46" s="262">
        <f>W34*Parametre!V240</f>
        <v>0</v>
      </c>
      <c r="X46" s="262">
        <f>X34*Parametre!W240</f>
        <v>0</v>
      </c>
      <c r="Y46" s="262">
        <f>Y34*Parametre!X240</f>
        <v>0</v>
      </c>
      <c r="Z46" s="262">
        <f>Z34*Parametre!Y240</f>
        <v>0</v>
      </c>
      <c r="AA46" s="262">
        <f>AA34*Parametre!Z240</f>
        <v>0</v>
      </c>
      <c r="AB46" s="262">
        <f>AB34*Parametre!AA240</f>
        <v>0</v>
      </c>
      <c r="AC46" s="262">
        <f>AC34*Parametre!AB240</f>
        <v>0</v>
      </c>
      <c r="AD46" s="262">
        <f>AD34*Parametre!AC240</f>
        <v>0</v>
      </c>
      <c r="AE46" s="262">
        <f>AE34*Parametre!AD240</f>
        <v>0</v>
      </c>
      <c r="AF46" s="262">
        <f>AF34*Parametre!AE240</f>
        <v>0</v>
      </c>
      <c r="AG46" s="262">
        <f>AG34*Parametre!AF240</f>
        <v>0</v>
      </c>
      <c r="AH46" s="262">
        <f>AH34*Parametre!AG240</f>
        <v>0</v>
      </c>
      <c r="AI46" s="262">
        <f>AI34*Parametre!AH240</f>
        <v>0</v>
      </c>
      <c r="AJ46" s="262">
        <f>AJ34*Parametre!AI240</f>
        <v>0</v>
      </c>
      <c r="AK46" s="262">
        <f>AK34*Parametre!AJ240</f>
        <v>0</v>
      </c>
      <c r="AL46" s="262">
        <f>AL34*Parametre!AK240</f>
        <v>0</v>
      </c>
      <c r="AM46" s="262">
        <f>AM34*Parametre!AL240</f>
        <v>0</v>
      </c>
      <c r="AN46" s="262">
        <f>AN34*Parametre!AM240</f>
        <v>0</v>
      </c>
      <c r="AO46" s="262">
        <f>AO34*Parametre!AN240</f>
        <v>0</v>
      </c>
      <c r="AP46" s="262">
        <f>AP34*Parametre!AO240</f>
        <v>0</v>
      </c>
      <c r="AQ46" s="262">
        <f>AQ34*Parametre!AP240</f>
        <v>0</v>
      </c>
    </row>
    <row r="47" spans="2:43" x14ac:dyDescent="0.2">
      <c r="B47" s="273" t="s">
        <v>59</v>
      </c>
      <c r="C47" s="274">
        <f t="shared" si="50"/>
        <v>8362.3697613583554</v>
      </c>
      <c r="D47" s="275">
        <f t="shared" ref="D47:AG47" si="51">SUM(D41:D46)</f>
        <v>0</v>
      </c>
      <c r="E47" s="274">
        <f t="shared" si="51"/>
        <v>0</v>
      </c>
      <c r="F47" s="274">
        <f t="shared" si="51"/>
        <v>0</v>
      </c>
      <c r="G47" s="274">
        <f t="shared" si="51"/>
        <v>74.210061849212195</v>
      </c>
      <c r="H47" s="274">
        <f t="shared" si="51"/>
        <v>143.84556202494704</v>
      </c>
      <c r="I47" s="274">
        <f t="shared" si="51"/>
        <v>173.61878275071464</v>
      </c>
      <c r="J47" s="274">
        <f t="shared" si="51"/>
        <v>178.07834371920816</v>
      </c>
      <c r="K47" s="274">
        <f t="shared" si="51"/>
        <v>182.60973402880094</v>
      </c>
      <c r="L47" s="274">
        <f t="shared" si="51"/>
        <v>187.21394431021901</v>
      </c>
      <c r="M47" s="274">
        <f t="shared" si="51"/>
        <v>191.891977823861</v>
      </c>
      <c r="N47" s="274">
        <f t="shared" si="51"/>
        <v>196.64485061333113</v>
      </c>
      <c r="O47" s="274">
        <f t="shared" si="51"/>
        <v>201.47359166082032</v>
      </c>
      <c r="P47" s="274">
        <f t="shared" si="51"/>
        <v>206.37924304419684</v>
      </c>
      <c r="Q47" s="274">
        <f t="shared" si="51"/>
        <v>211.36286009607551</v>
      </c>
      <c r="R47" s="274">
        <f t="shared" si="51"/>
        <v>216.42551156469909</v>
      </c>
      <c r="S47" s="274">
        <f t="shared" si="51"/>
        <v>218.9357853634684</v>
      </c>
      <c r="T47" s="274">
        <f t="shared" si="51"/>
        <v>221.43515236500861</v>
      </c>
      <c r="U47" s="274">
        <f t="shared" si="51"/>
        <v>223.92364615540839</v>
      </c>
      <c r="V47" s="274">
        <f t="shared" si="51"/>
        <v>226.40130023003084</v>
      </c>
      <c r="W47" s="274">
        <f t="shared" si="51"/>
        <v>228.86814799376188</v>
      </c>
      <c r="X47" s="274">
        <f t="shared" si="51"/>
        <v>231.32422276125544</v>
      </c>
      <c r="Y47" s="274">
        <f t="shared" si="51"/>
        <v>233.76955775709092</v>
      </c>
      <c r="Z47" s="274">
        <f t="shared" si="51"/>
        <v>236.20418611600363</v>
      </c>
      <c r="AA47" s="274">
        <f t="shared" si="51"/>
        <v>238.62814088330708</v>
      </c>
      <c r="AB47" s="274">
        <f t="shared" si="51"/>
        <v>241.04145501477407</v>
      </c>
      <c r="AC47" s="274">
        <f t="shared" si="51"/>
        <v>243.44416137717553</v>
      </c>
      <c r="AD47" s="274">
        <f t="shared" si="51"/>
        <v>245.83629274826265</v>
      </c>
      <c r="AE47" s="274">
        <f t="shared" si="51"/>
        <v>248.21788181725145</v>
      </c>
      <c r="AF47" s="274">
        <f t="shared" si="51"/>
        <v>250.58896118480206</v>
      </c>
      <c r="AG47" s="274">
        <f t="shared" si="51"/>
        <v>252.9495633632994</v>
      </c>
      <c r="AH47" s="274">
        <f t="shared" ref="AH47:AN47" si="52">SUM(AH41:AH46)</f>
        <v>255.29972077728772</v>
      </c>
      <c r="AI47" s="274">
        <f t="shared" si="52"/>
        <v>257.63946576335849</v>
      </c>
      <c r="AJ47" s="274">
        <f t="shared" si="52"/>
        <v>259.96883057060131</v>
      </c>
      <c r="AK47" s="274">
        <f t="shared" si="52"/>
        <v>262.28784736074493</v>
      </c>
      <c r="AL47" s="274">
        <f t="shared" si="52"/>
        <v>264.59654820839256</v>
      </c>
      <c r="AM47" s="274">
        <f t="shared" si="52"/>
        <v>266.8949651013113</v>
      </c>
      <c r="AN47" s="274">
        <f t="shared" si="52"/>
        <v>269.1831299403957</v>
      </c>
      <c r="AO47" s="274">
        <f t="shared" ref="AO47:AQ47" si="53">SUM(AO41:AO46)</f>
        <v>271.46107454032335</v>
      </c>
      <c r="AP47" s="274">
        <f t="shared" si="53"/>
        <v>273.72883062931038</v>
      </c>
      <c r="AQ47" s="274">
        <f t="shared" si="53"/>
        <v>275.98642984964323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23E4-7044-436B-BE18-42294DD44AE4}">
  <sheetPr>
    <tabColor theme="7" tint="0.59999389629810485"/>
  </sheetPr>
  <dimension ref="B2:AQ27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32" style="231" bestFit="1" customWidth="1"/>
    <col min="3" max="3" width="11.42578125" style="231" bestFit="1" customWidth="1"/>
    <col min="4" max="43" width="9.140625" style="231" bestFit="1" customWidth="1"/>
    <col min="44" max="16384" width="9.140625" style="231"/>
  </cols>
  <sheetData>
    <row r="2" spans="2:43" ht="17.45" customHeight="1" x14ac:dyDescent="0.2">
      <c r="B2" s="723" t="s">
        <v>628</v>
      </c>
      <c r="C2" s="723"/>
      <c r="D2" s="723"/>
      <c r="E2" s="723"/>
      <c r="F2" s="723"/>
      <c r="G2" s="723"/>
      <c r="H2" s="723"/>
      <c r="I2" s="723"/>
      <c r="J2" s="723"/>
      <c r="K2" s="723"/>
    </row>
    <row r="4" spans="2:43" x14ac:dyDescent="0.2">
      <c r="B4" s="358" t="s">
        <v>624</v>
      </c>
      <c r="C4" s="359"/>
      <c r="D4" s="256" t="s">
        <v>10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</row>
    <row r="5" spans="2:43" x14ac:dyDescent="0.2">
      <c r="B5" s="360" t="s">
        <v>289</v>
      </c>
      <c r="C5" s="361"/>
      <c r="D5" s="256">
        <v>1</v>
      </c>
      <c r="E5" s="256">
        <v>2</v>
      </c>
      <c r="F5" s="256">
        <v>3</v>
      </c>
      <c r="G5" s="256">
        <v>4</v>
      </c>
      <c r="H5" s="256">
        <v>5</v>
      </c>
      <c r="I5" s="256">
        <v>6</v>
      </c>
      <c r="J5" s="256">
        <v>7</v>
      </c>
      <c r="K5" s="256">
        <v>8</v>
      </c>
      <c r="L5" s="256">
        <v>9</v>
      </c>
      <c r="M5" s="256">
        <v>10</v>
      </c>
      <c r="N5" s="256">
        <v>11</v>
      </c>
      <c r="O5" s="256">
        <v>12</v>
      </c>
      <c r="P5" s="256">
        <v>13</v>
      </c>
      <c r="Q5" s="256">
        <v>14</v>
      </c>
      <c r="R5" s="256">
        <v>15</v>
      </c>
      <c r="S5" s="256">
        <v>16</v>
      </c>
      <c r="T5" s="256">
        <v>17</v>
      </c>
      <c r="U5" s="256">
        <v>18</v>
      </c>
      <c r="V5" s="256">
        <v>19</v>
      </c>
      <c r="W5" s="256">
        <v>20</v>
      </c>
      <c r="X5" s="256">
        <v>21</v>
      </c>
      <c r="Y5" s="256">
        <v>22</v>
      </c>
      <c r="Z5" s="256">
        <v>23</v>
      </c>
      <c r="AA5" s="256">
        <v>24</v>
      </c>
      <c r="AB5" s="256">
        <v>25</v>
      </c>
      <c r="AC5" s="256">
        <v>26</v>
      </c>
      <c r="AD5" s="256">
        <v>27</v>
      </c>
      <c r="AE5" s="256">
        <v>28</v>
      </c>
      <c r="AF5" s="256">
        <v>29</v>
      </c>
      <c r="AG5" s="256">
        <v>30</v>
      </c>
      <c r="AH5" s="256">
        <v>31</v>
      </c>
      <c r="AI5" s="256">
        <v>32</v>
      </c>
      <c r="AJ5" s="256">
        <v>33</v>
      </c>
      <c r="AK5" s="256">
        <v>34</v>
      </c>
      <c r="AL5" s="256">
        <v>35</v>
      </c>
      <c r="AM5" s="256">
        <v>36</v>
      </c>
      <c r="AN5" s="256">
        <v>37</v>
      </c>
      <c r="AO5" s="256">
        <v>38</v>
      </c>
      <c r="AP5" s="256">
        <v>39</v>
      </c>
      <c r="AQ5" s="256">
        <v>40</v>
      </c>
    </row>
    <row r="6" spans="2:43" x14ac:dyDescent="0.2">
      <c r="B6" s="259" t="s">
        <v>33</v>
      </c>
      <c r="C6" s="259" t="s">
        <v>9</v>
      </c>
      <c r="D6" s="304">
        <v>2026</v>
      </c>
      <c r="E6" s="304">
        <f>$D$6+D5</f>
        <v>2027</v>
      </c>
      <c r="F6" s="304">
        <f t="shared" ref="F6:AN6" si="0">$D$6+E5</f>
        <v>2028</v>
      </c>
      <c r="G6" s="304">
        <f t="shared" si="0"/>
        <v>2029</v>
      </c>
      <c r="H6" s="304">
        <f t="shared" si="0"/>
        <v>2030</v>
      </c>
      <c r="I6" s="304">
        <f t="shared" si="0"/>
        <v>2031</v>
      </c>
      <c r="J6" s="304">
        <f t="shared" si="0"/>
        <v>2032</v>
      </c>
      <c r="K6" s="304">
        <f t="shared" si="0"/>
        <v>2033</v>
      </c>
      <c r="L6" s="304">
        <f t="shared" si="0"/>
        <v>2034</v>
      </c>
      <c r="M6" s="304">
        <f t="shared" si="0"/>
        <v>2035</v>
      </c>
      <c r="N6" s="304">
        <f t="shared" si="0"/>
        <v>2036</v>
      </c>
      <c r="O6" s="304">
        <f t="shared" si="0"/>
        <v>2037</v>
      </c>
      <c r="P6" s="304">
        <f t="shared" si="0"/>
        <v>2038</v>
      </c>
      <c r="Q6" s="304">
        <f t="shared" si="0"/>
        <v>2039</v>
      </c>
      <c r="R6" s="304">
        <f t="shared" si="0"/>
        <v>2040</v>
      </c>
      <c r="S6" s="304">
        <f t="shared" si="0"/>
        <v>2041</v>
      </c>
      <c r="T6" s="304">
        <f t="shared" si="0"/>
        <v>2042</v>
      </c>
      <c r="U6" s="304">
        <f t="shared" si="0"/>
        <v>2043</v>
      </c>
      <c r="V6" s="304">
        <f t="shared" si="0"/>
        <v>2044</v>
      </c>
      <c r="W6" s="304">
        <f t="shared" si="0"/>
        <v>2045</v>
      </c>
      <c r="X6" s="304">
        <f t="shared" si="0"/>
        <v>2046</v>
      </c>
      <c r="Y6" s="304">
        <f t="shared" si="0"/>
        <v>2047</v>
      </c>
      <c r="Z6" s="304">
        <f t="shared" si="0"/>
        <v>2048</v>
      </c>
      <c r="AA6" s="304">
        <f t="shared" si="0"/>
        <v>2049</v>
      </c>
      <c r="AB6" s="304">
        <f t="shared" si="0"/>
        <v>2050</v>
      </c>
      <c r="AC6" s="304">
        <f t="shared" si="0"/>
        <v>2051</v>
      </c>
      <c r="AD6" s="304">
        <f t="shared" si="0"/>
        <v>2052</v>
      </c>
      <c r="AE6" s="304">
        <f t="shared" si="0"/>
        <v>2053</v>
      </c>
      <c r="AF6" s="304">
        <f t="shared" si="0"/>
        <v>2054</v>
      </c>
      <c r="AG6" s="304">
        <f t="shared" si="0"/>
        <v>2055</v>
      </c>
      <c r="AH6" s="304">
        <f t="shared" si="0"/>
        <v>2056</v>
      </c>
      <c r="AI6" s="304">
        <f t="shared" si="0"/>
        <v>2057</v>
      </c>
      <c r="AJ6" s="304">
        <f t="shared" si="0"/>
        <v>2058</v>
      </c>
      <c r="AK6" s="304">
        <f t="shared" si="0"/>
        <v>2059</v>
      </c>
      <c r="AL6" s="304">
        <f t="shared" si="0"/>
        <v>2060</v>
      </c>
      <c r="AM6" s="304">
        <f t="shared" si="0"/>
        <v>2061</v>
      </c>
      <c r="AN6" s="304">
        <f t="shared" si="0"/>
        <v>2062</v>
      </c>
      <c r="AO6" s="304">
        <f t="shared" ref="AO6" si="1">$D$6+AN5</f>
        <v>2063</v>
      </c>
      <c r="AP6" s="304">
        <f t="shared" ref="AP6" si="2">$D$6+AO5</f>
        <v>2064</v>
      </c>
      <c r="AQ6" s="304">
        <f t="shared" ref="AQ6" si="3">$D$6+AP5</f>
        <v>2065</v>
      </c>
    </row>
    <row r="7" spans="2:43" x14ac:dyDescent="0.2">
      <c r="B7" s="362" t="s">
        <v>685</v>
      </c>
      <c r="C7" s="363">
        <f>SUM(D7:AN7)</f>
        <v>1657380140.5139186</v>
      </c>
      <c r="D7" s="235">
        <f>'10_A Bezpečnosť (cesty) NOV200'!D34*Vstupy!$E$62</f>
        <v>32541049.518163871</v>
      </c>
      <c r="E7" s="235">
        <f>'10_A Bezpečnosť (cesty) NOV200'!E34*Vstupy!$E$62</f>
        <v>33094247.359972652</v>
      </c>
      <c r="F7" s="235">
        <f>'10_A Bezpečnosť (cesty) NOV200'!F34*Vstupy!$E$62</f>
        <v>33656849.565092184</v>
      </c>
      <c r="G7" s="235">
        <f>'10_A Bezpečnosť (cesty) NOV200'!G34*Vstupy!$E$62</f>
        <v>34229016.007698752</v>
      </c>
      <c r="H7" s="235">
        <f>'10_A Bezpečnosť (cesty) NOV200'!H34*Vstupy!$E$62</f>
        <v>34810909.279829629</v>
      </c>
      <c r="I7" s="235">
        <f>'10_A Bezpečnosť (cesty) NOV200'!I34*Vstupy!$E$62</f>
        <v>35402694.737586729</v>
      </c>
      <c r="J7" s="235">
        <f>'10_A Bezpečnosť (cesty) NOV200'!J34*Vstupy!$E$62</f>
        <v>36004540.548125699</v>
      </c>
      <c r="K7" s="235">
        <f>'10_A Bezpečnosť (cesty) NOV200'!K34*Vstupy!$E$62</f>
        <v>36616617.737443827</v>
      </c>
      <c r="L7" s="235">
        <f>'10_A Bezpečnosť (cesty) NOV200'!L34*Vstupy!$E$62</f>
        <v>37239100.238980368</v>
      </c>
      <c r="M7" s="235">
        <f>'10_A Bezpečnosť (cesty) NOV200'!M34*Vstupy!$E$62</f>
        <v>37872164.943043038</v>
      </c>
      <c r="N7" s="235">
        <f>'10_A Bezpečnosť (cesty) NOV200'!N34*Vstupy!$E$62</f>
        <v>38515991.74707476</v>
      </c>
      <c r="O7" s="235">
        <f>'10_A Bezpečnosť (cesty) NOV200'!O34*Vstupy!$E$62</f>
        <v>39170763.60677503</v>
      </c>
      <c r="P7" s="235">
        <f>'10_A Bezpečnosť (cesty) NOV200'!P34*Vstupy!$E$62</f>
        <v>39836666.588090196</v>
      </c>
      <c r="Q7" s="235">
        <f>'10_A Bezpečnosť (cesty) NOV200'!Q34*Vstupy!$E$62</f>
        <v>40513889.920087725</v>
      </c>
      <c r="R7" s="235">
        <f>'10_A Bezpečnosť (cesty) NOV200'!R34*Vstupy!$E$62</f>
        <v>41202626.048729219</v>
      </c>
      <c r="S7" s="235">
        <f>'10_A Bezpečnosť (cesty) NOV200'!S34*Vstupy!$E$62</f>
        <v>41903070.691557609</v>
      </c>
      <c r="T7" s="235">
        <f>'10_A Bezpečnosť (cesty) NOV200'!T34*Vstupy!$E$62</f>
        <v>42615422.893314078</v>
      </c>
      <c r="U7" s="235">
        <f>'10_A Bezpečnosť (cesty) NOV200'!U34*Vstupy!$E$62</f>
        <v>43339885.082500421</v>
      </c>
      <c r="V7" s="235">
        <f>'10_A Bezpečnosť (cesty) NOV200'!V34*Vstupy!$E$62</f>
        <v>44076663.12890292</v>
      </c>
      <c r="W7" s="235">
        <f>'10_A Bezpečnosť (cesty) NOV200'!W34*Vstupy!$E$62</f>
        <v>44825966.402094267</v>
      </c>
      <c r="X7" s="235">
        <f>'10_A Bezpečnosť (cesty) NOV200'!X34*Vstupy!$E$62</f>
        <v>45588007.830929868</v>
      </c>
      <c r="Y7" s="235">
        <f>'10_A Bezpečnosť (cesty) NOV200'!Y34*Vstupy!$E$62</f>
        <v>46363003.96405568</v>
      </c>
      <c r="Z7" s="235">
        <f>'10_A Bezpečnosť (cesty) NOV200'!Z34*Vstupy!$E$62</f>
        <v>47151175.031444609</v>
      </c>
      <c r="AA7" s="235">
        <f>'10_A Bezpečnosť (cesty) NOV200'!AA34*Vstupy!$E$62</f>
        <v>47952745.006979175</v>
      </c>
      <c r="AB7" s="235">
        <f>'10_A Bezpečnosť (cesty) NOV200'!AB34*Vstupy!$E$62</f>
        <v>48767941.672097817</v>
      </c>
      <c r="AC7" s="235">
        <f>'10_A Bezpečnosť (cesty) NOV200'!AC34*Vstupy!$E$62</f>
        <v>49596996.680523477</v>
      </c>
      <c r="AD7" s="235">
        <f>'10_A Bezpečnosť (cesty) NOV200'!AD34*Vstupy!$E$62</f>
        <v>50440145.62409237</v>
      </c>
      <c r="AE7" s="235">
        <f>'10_A Bezpečnosť (cesty) NOV200'!AE34*Vstupy!$E$62</f>
        <v>51297628.099701934</v>
      </c>
      <c r="AF7" s="235">
        <f>'10_A Bezpečnosť (cesty) NOV200'!AF34*Vstupy!$E$62</f>
        <v>52169687.777396865</v>
      </c>
      <c r="AG7" s="235">
        <f>'10_A Bezpečnosť (cesty) NOV200'!AG34*Vstupy!$E$62</f>
        <v>53056572.469612598</v>
      </c>
      <c r="AH7" s="235">
        <f>'10_A Bezpečnosť (cesty) NOV200'!AH34*Vstupy!$E$62</f>
        <v>53958534.201596014</v>
      </c>
      <c r="AI7" s="235">
        <f>'10_A Bezpečnosť (cesty) NOV200'!AI34*Vstupy!$E$62</f>
        <v>54875829.283023134</v>
      </c>
      <c r="AJ7" s="235">
        <f>'10_A Bezpečnosť (cesty) NOV200'!AJ34*Vstupy!$E$62</f>
        <v>55808718.380834527</v>
      </c>
      <c r="AK7" s="235">
        <f>'10_A Bezpečnosť (cesty) NOV200'!AK34*Vstupy!$E$62</f>
        <v>56757466.593308702</v>
      </c>
      <c r="AL7" s="235">
        <f>'10_A Bezpečnosť (cesty) NOV200'!AL34*Vstupy!$E$62</f>
        <v>57722343.525394946</v>
      </c>
      <c r="AM7" s="235">
        <f>'10_A Bezpečnosť (cesty) NOV200'!AM34*Vstupy!$E$62</f>
        <v>58703623.365326665</v>
      </c>
      <c r="AN7" s="235">
        <f>'10_A Bezpečnosť (cesty) NOV200'!AN34*Vstupy!$E$62</f>
        <v>59701584.962537207</v>
      </c>
      <c r="AO7" s="235">
        <f>'10_A Bezpečnosť (cesty) NOV200'!AO34*Vstupy!$E$62</f>
        <v>60716511.906900331</v>
      </c>
      <c r="AP7" s="235">
        <f>'10_A Bezpečnosť (cesty) NOV200'!AP34*Vstupy!$E$62</f>
        <v>61748692.609317638</v>
      </c>
      <c r="AQ7" s="235">
        <f>'10_A Bezpečnosť (cesty) NOV200'!AQ34*Vstupy!$E$62</f>
        <v>62798420.38367603</v>
      </c>
    </row>
    <row r="9" spans="2:43" x14ac:dyDescent="0.2">
      <c r="B9" s="305"/>
      <c r="C9" s="305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</row>
    <row r="10" spans="2:43" x14ac:dyDescent="0.2">
      <c r="B10" s="358" t="s">
        <v>625</v>
      </c>
      <c r="C10" s="359"/>
      <c r="D10" s="256" t="s">
        <v>10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</row>
    <row r="11" spans="2:43" x14ac:dyDescent="0.2">
      <c r="B11" s="360" t="s">
        <v>290</v>
      </c>
      <c r="C11" s="361"/>
      <c r="D11" s="256">
        <v>1</v>
      </c>
      <c r="E11" s="256">
        <v>2</v>
      </c>
      <c r="F11" s="256">
        <v>3</v>
      </c>
      <c r="G11" s="256">
        <v>4</v>
      </c>
      <c r="H11" s="256">
        <v>5</v>
      </c>
      <c r="I11" s="256">
        <v>6</v>
      </c>
      <c r="J11" s="256">
        <v>7</v>
      </c>
      <c r="K11" s="256">
        <v>8</v>
      </c>
      <c r="L11" s="256">
        <v>9</v>
      </c>
      <c r="M11" s="256">
        <v>10</v>
      </c>
      <c r="N11" s="256">
        <v>11</v>
      </c>
      <c r="O11" s="256">
        <v>12</v>
      </c>
      <c r="P11" s="256">
        <v>13</v>
      </c>
      <c r="Q11" s="256">
        <v>14</v>
      </c>
      <c r="R11" s="256">
        <v>15</v>
      </c>
      <c r="S11" s="256">
        <v>16</v>
      </c>
      <c r="T11" s="256">
        <v>17</v>
      </c>
      <c r="U11" s="256">
        <v>18</v>
      </c>
      <c r="V11" s="256">
        <v>19</v>
      </c>
      <c r="W11" s="256">
        <v>20</v>
      </c>
      <c r="X11" s="256">
        <v>21</v>
      </c>
      <c r="Y11" s="256">
        <v>22</v>
      </c>
      <c r="Z11" s="256">
        <v>23</v>
      </c>
      <c r="AA11" s="256">
        <v>24</v>
      </c>
      <c r="AB11" s="256">
        <v>25</v>
      </c>
      <c r="AC11" s="256">
        <v>26</v>
      </c>
      <c r="AD11" s="256">
        <v>27</v>
      </c>
      <c r="AE11" s="256">
        <v>28</v>
      </c>
      <c r="AF11" s="256">
        <v>29</v>
      </c>
      <c r="AG11" s="256">
        <v>30</v>
      </c>
      <c r="AH11" s="256">
        <v>31</v>
      </c>
      <c r="AI11" s="256">
        <v>32</v>
      </c>
      <c r="AJ11" s="256">
        <v>33</v>
      </c>
      <c r="AK11" s="256">
        <v>34</v>
      </c>
      <c r="AL11" s="256">
        <v>35</v>
      </c>
      <c r="AM11" s="256">
        <v>36</v>
      </c>
      <c r="AN11" s="256">
        <v>37</v>
      </c>
      <c r="AO11" s="256">
        <v>38</v>
      </c>
      <c r="AP11" s="256">
        <v>39</v>
      </c>
      <c r="AQ11" s="256">
        <v>40</v>
      </c>
    </row>
    <row r="12" spans="2:43" x14ac:dyDescent="0.2">
      <c r="B12" s="259" t="s">
        <v>33</v>
      </c>
      <c r="C12" s="259" t="s">
        <v>9</v>
      </c>
      <c r="D12" s="304">
        <v>2026</v>
      </c>
      <c r="E12" s="304">
        <f>$D$6+D11</f>
        <v>2027</v>
      </c>
      <c r="F12" s="304">
        <f t="shared" ref="F12:AN12" si="4">$D$6+E11</f>
        <v>2028</v>
      </c>
      <c r="G12" s="304">
        <f t="shared" si="4"/>
        <v>2029</v>
      </c>
      <c r="H12" s="304">
        <f t="shared" si="4"/>
        <v>2030</v>
      </c>
      <c r="I12" s="304">
        <f t="shared" si="4"/>
        <v>2031</v>
      </c>
      <c r="J12" s="304">
        <f t="shared" si="4"/>
        <v>2032</v>
      </c>
      <c r="K12" s="304">
        <f t="shared" si="4"/>
        <v>2033</v>
      </c>
      <c r="L12" s="304">
        <f t="shared" si="4"/>
        <v>2034</v>
      </c>
      <c r="M12" s="304">
        <f t="shared" si="4"/>
        <v>2035</v>
      </c>
      <c r="N12" s="304">
        <f t="shared" si="4"/>
        <v>2036</v>
      </c>
      <c r="O12" s="304">
        <f t="shared" si="4"/>
        <v>2037</v>
      </c>
      <c r="P12" s="304">
        <f t="shared" si="4"/>
        <v>2038</v>
      </c>
      <c r="Q12" s="304">
        <f t="shared" si="4"/>
        <v>2039</v>
      </c>
      <c r="R12" s="304">
        <f t="shared" si="4"/>
        <v>2040</v>
      </c>
      <c r="S12" s="304">
        <f t="shared" si="4"/>
        <v>2041</v>
      </c>
      <c r="T12" s="304">
        <f t="shared" si="4"/>
        <v>2042</v>
      </c>
      <c r="U12" s="304">
        <f t="shared" si="4"/>
        <v>2043</v>
      </c>
      <c r="V12" s="304">
        <f t="shared" si="4"/>
        <v>2044</v>
      </c>
      <c r="W12" s="304">
        <f t="shared" si="4"/>
        <v>2045</v>
      </c>
      <c r="X12" s="304">
        <f t="shared" si="4"/>
        <v>2046</v>
      </c>
      <c r="Y12" s="304">
        <f t="shared" si="4"/>
        <v>2047</v>
      </c>
      <c r="Z12" s="304">
        <f t="shared" si="4"/>
        <v>2048</v>
      </c>
      <c r="AA12" s="304">
        <f t="shared" si="4"/>
        <v>2049</v>
      </c>
      <c r="AB12" s="304">
        <f t="shared" si="4"/>
        <v>2050</v>
      </c>
      <c r="AC12" s="304">
        <f t="shared" si="4"/>
        <v>2051</v>
      </c>
      <c r="AD12" s="304">
        <f t="shared" si="4"/>
        <v>2052</v>
      </c>
      <c r="AE12" s="304">
        <f t="shared" si="4"/>
        <v>2053</v>
      </c>
      <c r="AF12" s="304">
        <f t="shared" si="4"/>
        <v>2054</v>
      </c>
      <c r="AG12" s="304">
        <f t="shared" si="4"/>
        <v>2055</v>
      </c>
      <c r="AH12" s="304">
        <f t="shared" si="4"/>
        <v>2056</v>
      </c>
      <c r="AI12" s="304">
        <f t="shared" si="4"/>
        <v>2057</v>
      </c>
      <c r="AJ12" s="304">
        <f t="shared" si="4"/>
        <v>2058</v>
      </c>
      <c r="AK12" s="304">
        <f t="shared" si="4"/>
        <v>2059</v>
      </c>
      <c r="AL12" s="304">
        <f t="shared" si="4"/>
        <v>2060</v>
      </c>
      <c r="AM12" s="304">
        <f t="shared" si="4"/>
        <v>2061</v>
      </c>
      <c r="AN12" s="304">
        <f t="shared" si="4"/>
        <v>2062</v>
      </c>
      <c r="AO12" s="304">
        <f t="shared" ref="AO12" si="5">$D$6+AN11</f>
        <v>2063</v>
      </c>
      <c r="AP12" s="304">
        <f t="shared" ref="AP12" si="6">$D$6+AO11</f>
        <v>2064</v>
      </c>
      <c r="AQ12" s="304">
        <f t="shared" ref="AQ12" si="7">$D$6+AP11</f>
        <v>2065</v>
      </c>
    </row>
    <row r="13" spans="2:43" x14ac:dyDescent="0.2">
      <c r="B13" s="362" t="s">
        <v>685</v>
      </c>
      <c r="C13" s="363">
        <f>SUM(D13:AQ13)</f>
        <v>1433167373.0996318</v>
      </c>
      <c r="D13" s="235">
        <f>'10_A Bezpečnosť (cesty) NOV200'!D34*Vstupy!$G$62</f>
        <v>25309705.180794127</v>
      </c>
      <c r="E13" s="235">
        <f>'10_A Bezpečnosť (cesty) NOV200'!E34*Vstupy!$G$62</f>
        <v>25739970.168867622</v>
      </c>
      <c r="F13" s="235">
        <f>'10_A Bezpečnosť (cesty) NOV200'!F34*Vstupy!$G$62</f>
        <v>26177549.66173837</v>
      </c>
      <c r="G13" s="235">
        <f>'10_A Bezpečnosť (cesty) NOV200'!G34*Vstupy!$G$62</f>
        <v>26622568.00598792</v>
      </c>
      <c r="H13" s="235">
        <f>'10_A Bezpečnosť (cesty) NOV200'!H34*Vstupy!$G$62</f>
        <v>27075151.662089717</v>
      </c>
      <c r="I13" s="235">
        <f>'10_A Bezpečnosť (cesty) NOV200'!I34*Vstupy!$G$62</f>
        <v>27535429.24034524</v>
      </c>
      <c r="J13" s="235">
        <f>'10_A Bezpečnosť (cesty) NOV200'!J34*Vstupy!$G$62</f>
        <v>28003531.537431102</v>
      </c>
      <c r="K13" s="235">
        <f>'10_A Bezpečnosť (cesty) NOV200'!K34*Vstupy!$G$62</f>
        <v>28479591.573567428</v>
      </c>
      <c r="L13" s="235">
        <f>'10_A Bezpečnosť (cesty) NOV200'!L34*Vstupy!$G$62</f>
        <v>28963744.630318068</v>
      </c>
      <c r="M13" s="235">
        <f>'10_A Bezpečnosť (cesty) NOV200'!M34*Vstupy!$G$62</f>
        <v>29456128.289033476</v>
      </c>
      <c r="N13" s="235">
        <f>'10_A Bezpečnosť (cesty) NOV200'!N34*Vstupy!$G$62</f>
        <v>29956882.46994704</v>
      </c>
      <c r="O13" s="235">
        <f>'10_A Bezpečnosť (cesty) NOV200'!O34*Vstupy!$G$62</f>
        <v>30466149.471936136</v>
      </c>
      <c r="P13" s="235">
        <f>'10_A Bezpečnosť (cesty) NOV200'!P34*Vstupy!$G$62</f>
        <v>30984074.012959048</v>
      </c>
      <c r="Q13" s="235">
        <f>'10_A Bezpečnosť (cesty) NOV200'!Q34*Vstupy!$G$62</f>
        <v>31510803.271179348</v>
      </c>
      <c r="R13" s="235">
        <f>'10_A Bezpečnosť (cesty) NOV200'!R34*Vstupy!$G$62</f>
        <v>32046486.926789396</v>
      </c>
      <c r="S13" s="235">
        <f>'10_A Bezpečnosť (cesty) NOV200'!S34*Vstupy!$G$62</f>
        <v>32591277.204544812</v>
      </c>
      <c r="T13" s="235">
        <f>'10_A Bezpečnosť (cesty) NOV200'!T34*Vstupy!$G$62</f>
        <v>33145328.917022064</v>
      </c>
      <c r="U13" s="235">
        <f>'10_A Bezpečnosť (cesty) NOV200'!U34*Vstupy!$G$62</f>
        <v>33708799.508611441</v>
      </c>
      <c r="V13" s="235">
        <f>'10_A Bezpečnosť (cesty) NOV200'!V34*Vstupy!$G$62</f>
        <v>34281849.100257829</v>
      </c>
      <c r="W13" s="235">
        <f>'10_A Bezpečnosť (cesty) NOV200'!W34*Vstupy!$G$62</f>
        <v>34864640.534962215</v>
      </c>
      <c r="X13" s="235">
        <f>'10_A Bezpečnosť (cesty) NOV200'!X34*Vstupy!$G$62</f>
        <v>35457339.424056567</v>
      </c>
      <c r="Y13" s="235">
        <f>'10_A Bezpečnosť (cesty) NOV200'!Y34*Vstupy!$G$62</f>
        <v>36060114.19426553</v>
      </c>
      <c r="Z13" s="235">
        <f>'10_A Bezpečnosť (cesty) NOV200'!Z34*Vstupy!$G$62</f>
        <v>36673136.135568038</v>
      </c>
      <c r="AA13" s="235">
        <f>'10_A Bezpečnosť (cesty) NOV200'!AA34*Vstupy!$G$62</f>
        <v>37296579.449872695</v>
      </c>
      <c r="AB13" s="235">
        <f>'10_A Bezpečnosť (cesty) NOV200'!AB34*Vstupy!$G$62</f>
        <v>37930621.300520532</v>
      </c>
      <c r="AC13" s="235">
        <f>'10_A Bezpečnosť (cesty) NOV200'!AC34*Vstupy!$G$62</f>
        <v>38575441.862629376</v>
      </c>
      <c r="AD13" s="235">
        <f>'10_A Bezpečnosť (cesty) NOV200'!AD34*Vstupy!$G$62</f>
        <v>39231224.374294072</v>
      </c>
      <c r="AE13" s="235">
        <f>'10_A Bezpečnosť (cesty) NOV200'!AE34*Vstupy!$G$62</f>
        <v>39898155.18865706</v>
      </c>
      <c r="AF13" s="235">
        <f>'10_A Bezpečnosť (cesty) NOV200'!AF34*Vstupy!$G$62</f>
        <v>40576423.826864235</v>
      </c>
      <c r="AG13" s="235">
        <f>'10_A Bezpečnosť (cesty) NOV200'!AG34*Vstupy!$G$62</f>
        <v>41266223.031920917</v>
      </c>
      <c r="AH13" s="235">
        <f>'10_A Bezpečnosť (cesty) NOV200'!AH34*Vstupy!$G$62</f>
        <v>41967748.823463574</v>
      </c>
      <c r="AI13" s="235">
        <f>'10_A Bezpečnosť (cesty) NOV200'!AI34*Vstupy!$G$62</f>
        <v>42681200.553462446</v>
      </c>
      <c r="AJ13" s="235">
        <f>'10_A Bezpečnosť (cesty) NOV200'!AJ34*Vstupy!$G$62</f>
        <v>43406780.962871306</v>
      </c>
      <c r="AK13" s="235">
        <f>'10_A Bezpečnosť (cesty) NOV200'!AK34*Vstupy!$G$62</f>
        <v>44144696.23924011</v>
      </c>
      <c r="AL13" s="235">
        <f>'10_A Bezpečnosť (cesty) NOV200'!AL34*Vstupy!$G$62</f>
        <v>44895156.07530719</v>
      </c>
      <c r="AM13" s="235">
        <f>'10_A Bezpečnosť (cesty) NOV200'!AM34*Vstupy!$G$62</f>
        <v>45658373.728587411</v>
      </c>
      <c r="AN13" s="235">
        <f>'10_A Bezpečnosť (cesty) NOV200'!AN34*Vstupy!$G$62</f>
        <v>46434566.081973389</v>
      </c>
      <c r="AO13" s="235">
        <f>'10_A Bezpečnosť (cesty) NOV200'!AO34*Vstupy!$G$62</f>
        <v>47223953.705366932</v>
      </c>
      <c r="AP13" s="235">
        <f>'10_A Bezpečnosť (cesty) NOV200'!AP34*Vstupy!$G$62</f>
        <v>48026760.918358169</v>
      </c>
      <c r="AQ13" s="235">
        <f>'10_A Bezpečnosť (cesty) NOV200'!AQ34*Vstupy!$G$62</f>
        <v>48843215.853970252</v>
      </c>
    </row>
    <row r="14" spans="2:43" x14ac:dyDescent="0.2">
      <c r="B14" s="305"/>
      <c r="C14" s="305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305"/>
      <c r="C15" s="306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</row>
    <row r="16" spans="2:43" x14ac:dyDescent="0.2">
      <c r="B16" s="358" t="s">
        <v>626</v>
      </c>
      <c r="C16" s="359"/>
      <c r="D16" s="256" t="s">
        <v>10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</row>
    <row r="17" spans="2:43" x14ac:dyDescent="0.2">
      <c r="B17" s="360" t="s">
        <v>289</v>
      </c>
      <c r="C17" s="361"/>
      <c r="D17" s="256">
        <v>1</v>
      </c>
      <c r="E17" s="256">
        <v>2</v>
      </c>
      <c r="F17" s="256">
        <v>3</v>
      </c>
      <c r="G17" s="256">
        <v>4</v>
      </c>
      <c r="H17" s="256">
        <v>5</v>
      </c>
      <c r="I17" s="256">
        <v>6</v>
      </c>
      <c r="J17" s="256">
        <v>7</v>
      </c>
      <c r="K17" s="256">
        <v>8</v>
      </c>
      <c r="L17" s="256">
        <v>9</v>
      </c>
      <c r="M17" s="256">
        <v>10</v>
      </c>
      <c r="N17" s="256">
        <v>11</v>
      </c>
      <c r="O17" s="256">
        <v>12</v>
      </c>
      <c r="P17" s="256">
        <v>13</v>
      </c>
      <c r="Q17" s="256">
        <v>14</v>
      </c>
      <c r="R17" s="256">
        <v>15</v>
      </c>
      <c r="S17" s="256">
        <v>16</v>
      </c>
      <c r="T17" s="256">
        <v>17</v>
      </c>
      <c r="U17" s="256">
        <v>18</v>
      </c>
      <c r="V17" s="256">
        <v>19</v>
      </c>
      <c r="W17" s="256">
        <v>20</v>
      </c>
      <c r="X17" s="256">
        <v>21</v>
      </c>
      <c r="Y17" s="256">
        <v>22</v>
      </c>
      <c r="Z17" s="256">
        <v>23</v>
      </c>
      <c r="AA17" s="256">
        <v>24</v>
      </c>
      <c r="AB17" s="256">
        <v>25</v>
      </c>
      <c r="AC17" s="256">
        <v>26</v>
      </c>
      <c r="AD17" s="256">
        <v>27</v>
      </c>
      <c r="AE17" s="256">
        <v>28</v>
      </c>
      <c r="AF17" s="256">
        <v>29</v>
      </c>
      <c r="AG17" s="256">
        <v>30</v>
      </c>
      <c r="AH17" s="256">
        <v>31</v>
      </c>
      <c r="AI17" s="256">
        <v>32</v>
      </c>
      <c r="AJ17" s="256">
        <v>33</v>
      </c>
      <c r="AK17" s="256">
        <v>34</v>
      </c>
      <c r="AL17" s="256">
        <v>35</v>
      </c>
      <c r="AM17" s="256">
        <v>36</v>
      </c>
      <c r="AN17" s="256">
        <v>37</v>
      </c>
      <c r="AO17" s="256">
        <v>38</v>
      </c>
      <c r="AP17" s="256">
        <v>39</v>
      </c>
      <c r="AQ17" s="256">
        <v>40</v>
      </c>
    </row>
    <row r="18" spans="2:43" x14ac:dyDescent="0.2">
      <c r="B18" s="259" t="s">
        <v>34</v>
      </c>
      <c r="C18" s="259" t="s">
        <v>9</v>
      </c>
      <c r="D18" s="304">
        <v>2026</v>
      </c>
      <c r="E18" s="304">
        <f>$D$6+D17</f>
        <v>2027</v>
      </c>
      <c r="F18" s="304">
        <f t="shared" ref="F18:AN18" si="8">$D$6+E17</f>
        <v>2028</v>
      </c>
      <c r="G18" s="304">
        <f t="shared" si="8"/>
        <v>2029</v>
      </c>
      <c r="H18" s="304">
        <f t="shared" si="8"/>
        <v>2030</v>
      </c>
      <c r="I18" s="304">
        <f t="shared" si="8"/>
        <v>2031</v>
      </c>
      <c r="J18" s="304">
        <f t="shared" si="8"/>
        <v>2032</v>
      </c>
      <c r="K18" s="304">
        <f t="shared" si="8"/>
        <v>2033</v>
      </c>
      <c r="L18" s="304">
        <f t="shared" si="8"/>
        <v>2034</v>
      </c>
      <c r="M18" s="304">
        <f t="shared" si="8"/>
        <v>2035</v>
      </c>
      <c r="N18" s="304">
        <f t="shared" si="8"/>
        <v>2036</v>
      </c>
      <c r="O18" s="304">
        <f t="shared" si="8"/>
        <v>2037</v>
      </c>
      <c r="P18" s="304">
        <f t="shared" si="8"/>
        <v>2038</v>
      </c>
      <c r="Q18" s="304">
        <f t="shared" si="8"/>
        <v>2039</v>
      </c>
      <c r="R18" s="304">
        <f t="shared" si="8"/>
        <v>2040</v>
      </c>
      <c r="S18" s="304">
        <f t="shared" si="8"/>
        <v>2041</v>
      </c>
      <c r="T18" s="304">
        <f t="shared" si="8"/>
        <v>2042</v>
      </c>
      <c r="U18" s="304">
        <f t="shared" si="8"/>
        <v>2043</v>
      </c>
      <c r="V18" s="304">
        <f t="shared" si="8"/>
        <v>2044</v>
      </c>
      <c r="W18" s="304">
        <f t="shared" si="8"/>
        <v>2045</v>
      </c>
      <c r="X18" s="304">
        <f t="shared" si="8"/>
        <v>2046</v>
      </c>
      <c r="Y18" s="304">
        <f t="shared" si="8"/>
        <v>2047</v>
      </c>
      <c r="Z18" s="304">
        <f t="shared" si="8"/>
        <v>2048</v>
      </c>
      <c r="AA18" s="304">
        <f t="shared" si="8"/>
        <v>2049</v>
      </c>
      <c r="AB18" s="304">
        <f t="shared" si="8"/>
        <v>2050</v>
      </c>
      <c r="AC18" s="304">
        <f t="shared" si="8"/>
        <v>2051</v>
      </c>
      <c r="AD18" s="304">
        <f t="shared" si="8"/>
        <v>2052</v>
      </c>
      <c r="AE18" s="304">
        <f t="shared" si="8"/>
        <v>2053</v>
      </c>
      <c r="AF18" s="304">
        <f t="shared" si="8"/>
        <v>2054</v>
      </c>
      <c r="AG18" s="304">
        <f t="shared" si="8"/>
        <v>2055</v>
      </c>
      <c r="AH18" s="304">
        <f t="shared" si="8"/>
        <v>2056</v>
      </c>
      <c r="AI18" s="304">
        <f t="shared" si="8"/>
        <v>2057</v>
      </c>
      <c r="AJ18" s="304">
        <f t="shared" si="8"/>
        <v>2058</v>
      </c>
      <c r="AK18" s="304">
        <f t="shared" si="8"/>
        <v>2059</v>
      </c>
      <c r="AL18" s="304">
        <f t="shared" si="8"/>
        <v>2060</v>
      </c>
      <c r="AM18" s="304">
        <f t="shared" si="8"/>
        <v>2061</v>
      </c>
      <c r="AN18" s="304">
        <f t="shared" si="8"/>
        <v>2062</v>
      </c>
      <c r="AO18" s="304">
        <f t="shared" ref="AO18" si="9">$D$6+AN17</f>
        <v>2063</v>
      </c>
      <c r="AP18" s="304">
        <f t="shared" ref="AP18" si="10">$D$6+AO17</f>
        <v>2064</v>
      </c>
      <c r="AQ18" s="304">
        <f t="shared" ref="AQ18" si="11">$D$6+AP17</f>
        <v>2065</v>
      </c>
    </row>
    <row r="19" spans="2:43" x14ac:dyDescent="0.2">
      <c r="B19" s="362" t="s">
        <v>685</v>
      </c>
      <c r="C19" s="363">
        <f>SUM(D19:AQ19)</f>
        <v>1837468357.2946875</v>
      </c>
      <c r="D19" s="235">
        <f>'10_A Bezpečnosť (cesty) NOV200'!D47*Vstupy!$E$62</f>
        <v>32541049.518163871</v>
      </c>
      <c r="E19" s="235">
        <f>'10_A Bezpečnosť (cesty) NOV200'!E47*Vstupy!$E$62</f>
        <v>33094247.359972652</v>
      </c>
      <c r="F19" s="235">
        <f>'10_A Bezpečnosť (cesty) NOV200'!F47*Vstupy!$E$62</f>
        <v>33656849.565092184</v>
      </c>
      <c r="G19" s="235">
        <f>'10_A Bezpečnosť (cesty) NOV200'!G47*Vstupy!$E$62</f>
        <v>34169542.227053791</v>
      </c>
      <c r="H19" s="235">
        <f>'10_A Bezpečnosť (cesty) NOV200'!H47*Vstupy!$E$62</f>
        <v>34697446.522754736</v>
      </c>
      <c r="I19" s="235">
        <f>'10_A Bezpečnosť (cesty) NOV200'!I47*Vstupy!$E$62</f>
        <v>35267874.285062447</v>
      </c>
      <c r="J19" s="235">
        <f>'10_A Bezpečnosť (cesty) NOV200'!J47*Vstupy!$E$62</f>
        <v>35868371.891076177</v>
      </c>
      <c r="K19" s="235">
        <f>'10_A Bezpečnosť (cesty) NOV200'!K47*Vstupy!$E$62</f>
        <v>36479087.39382381</v>
      </c>
      <c r="L19" s="235">
        <f>'10_A Bezpečnosť (cesty) NOV200'!L47*Vstupy!$E$62</f>
        <v>37100194.591924146</v>
      </c>
      <c r="M19" s="235">
        <f>'10_A Bezpečnosť (cesty) NOV200'!M47*Vstupy!$E$62</f>
        <v>37731870.239516251</v>
      </c>
      <c r="N19" s="235">
        <f>'10_A Bezpečnosť (cesty) NOV200'!N47*Vstupy!$E$62</f>
        <v>38374294.096512713</v>
      </c>
      <c r="O19" s="235">
        <f>'10_A Bezpečnosť (cesty) NOV200'!O47*Vstupy!$E$62</f>
        <v>39027648.97970736</v>
      </c>
      <c r="P19" s="235">
        <f>'10_A Bezpečnosť (cesty) NOV200'!P47*Vstupy!$E$62</f>
        <v>39692120.814751849</v>
      </c>
      <c r="Q19" s="235">
        <f>'10_A Bezpečnosť (cesty) NOV200'!Q47*Vstupy!$E$62</f>
        <v>40367898.689015992</v>
      </c>
      <c r="R19" s="235">
        <f>'10_A Bezpečnosť (cesty) NOV200'!R47*Vstupy!$E$62</f>
        <v>41055174.905346759</v>
      </c>
      <c r="S19" s="235">
        <f>'10_A Bezpečnosť (cesty) NOV200'!S47*Vstupy!$E$62</f>
        <v>41755914.450461924</v>
      </c>
      <c r="T19" s="235">
        <f>'10_A Bezpečnosť (cesty) NOV200'!T47*Vstupy!$E$62</f>
        <v>42468560.964700587</v>
      </c>
      <c r="U19" s="235">
        <f>'10_A Bezpečnosť (cesty) NOV200'!U47*Vstupy!$E$62</f>
        <v>43193316.877744153</v>
      </c>
      <c r="V19" s="235">
        <f>'10_A Bezpečnosť (cesty) NOV200'!V47*Vstupy!$E$62</f>
        <v>43930388.060556166</v>
      </c>
      <c r="W19" s="235">
        <f>'10_A Bezpečnosť (cesty) NOV200'!W47*Vstupy!$E$62</f>
        <v>44679983.883884214</v>
      </c>
      <c r="X19" s="235">
        <f>'10_A Bezpečnosť (cesty) NOV200'!X47*Vstupy!$E$62</f>
        <v>45442317.277756229</v>
      </c>
      <c r="Y19" s="235">
        <f>'10_A Bezpečnosť (cesty) NOV200'!Y47*Vstupy!$E$62</f>
        <v>46217604.79198838</v>
      </c>
      <c r="Z19" s="235">
        <f>'10_A Bezpečnosť (cesty) NOV200'!Z47*Vstupy!$E$62</f>
        <v>47006066.657721467</v>
      </c>
      <c r="AA19" s="235">
        <f>'10_A Bezpečnosť (cesty) NOV200'!AA47*Vstupy!$E$62</f>
        <v>47807926.850003466</v>
      </c>
      <c r="AB19" s="235">
        <f>'10_A Bezpečnosť (cesty) NOV200'!AB47*Vstupy!$E$62</f>
        <v>48623413.151436061</v>
      </c>
      <c r="AC19" s="235">
        <f>'10_A Bezpečnosť (cesty) NOV200'!AC47*Vstupy!$E$62</f>
        <v>49452757.216903031</v>
      </c>
      <c r="AD19" s="235">
        <f>'10_A Bezpečnosť (cesty) NOV200'!AD47*Vstupy!$E$62</f>
        <v>50296194.639399178</v>
      </c>
      <c r="AE19" s="235">
        <f>'10_A Bezpečnosť (cesty) NOV200'!AE47*Vstupy!$E$62</f>
        <v>51153965.016978122</v>
      </c>
      <c r="AF19" s="235">
        <f>'10_A Bezpečnosť (cesty) NOV200'!AF47*Vstupy!$E$62</f>
        <v>52026312.020838492</v>
      </c>
      <c r="AG19" s="235">
        <f>'10_A Bezpečnosť (cesty) NOV200'!AG47*Vstupy!$E$62</f>
        <v>52913483.464567363</v>
      </c>
      <c r="AH19" s="235">
        <f>'10_A Bezpečnosť (cesty) NOV200'!AH47*Vstupy!$E$62</f>
        <v>53815731.374560863</v>
      </c>
      <c r="AI19" s="235">
        <f>'10_A Bezpečnosť (cesty) NOV200'!AI47*Vstupy!$E$62</f>
        <v>54733312.061642051</v>
      </c>
      <c r="AJ19" s="235">
        <f>'10_A Bezpečnosť (cesty) NOV200'!AJ47*Vstupy!$E$62</f>
        <v>55666486.193896204</v>
      </c>
      <c r="AK19" s="235">
        <f>'10_A Bezpečnosť (cesty) NOV200'!AK47*Vstupy!$E$62</f>
        <v>56615518.870744258</v>
      </c>
      <c r="AL19" s="235">
        <f>'10_A Bezpečnosť (cesty) NOV200'!AL47*Vstupy!$E$62</f>
        <v>57580679.698275641</v>
      </c>
      <c r="AM19" s="235">
        <f>'10_A Bezpečnosť (cesty) NOV200'!AM47*Vstupy!$E$62</f>
        <v>58562242.86586158</v>
      </c>
      <c r="AN19" s="235">
        <f>'10_A Bezpečnosť (cesty) NOV200'!AN47*Vstupy!$E$62</f>
        <v>59560487.224071071</v>
      </c>
      <c r="AO19" s="235">
        <f>'10_A Bezpečnosť (cesty) NOV200'!AO47*Vstupy!$E$62</f>
        <v>60575696.363911115</v>
      </c>
      <c r="AP19" s="235">
        <f>'10_A Bezpečnosť (cesty) NOV200'!AP47*Vstupy!$E$62</f>
        <v>61608158.697414398</v>
      </c>
      <c r="AQ19" s="235">
        <f>'10_A Bezpečnosť (cesty) NOV200'!AQ47*Vstupy!$E$62</f>
        <v>62658167.539596595</v>
      </c>
    </row>
    <row r="20" spans="2:43" x14ac:dyDescent="0.2"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</row>
    <row r="21" spans="2:43" x14ac:dyDescent="0.2"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</row>
    <row r="22" spans="2:43" x14ac:dyDescent="0.2">
      <c r="B22" s="358" t="s">
        <v>627</v>
      </c>
      <c r="C22" s="359"/>
      <c r="D22" s="256" t="s">
        <v>10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</row>
    <row r="23" spans="2:43" x14ac:dyDescent="0.2">
      <c r="B23" s="360" t="s">
        <v>290</v>
      </c>
      <c r="C23" s="361"/>
      <c r="D23" s="256">
        <v>1</v>
      </c>
      <c r="E23" s="256">
        <v>2</v>
      </c>
      <c r="F23" s="256">
        <v>3</v>
      </c>
      <c r="G23" s="256">
        <v>4</v>
      </c>
      <c r="H23" s="256">
        <v>5</v>
      </c>
      <c r="I23" s="256">
        <v>6</v>
      </c>
      <c r="J23" s="256">
        <v>7</v>
      </c>
      <c r="K23" s="256">
        <v>8</v>
      </c>
      <c r="L23" s="256">
        <v>9</v>
      </c>
      <c r="M23" s="256">
        <v>10</v>
      </c>
      <c r="N23" s="256">
        <v>11</v>
      </c>
      <c r="O23" s="256">
        <v>12</v>
      </c>
      <c r="P23" s="256">
        <v>13</v>
      </c>
      <c r="Q23" s="256">
        <v>14</v>
      </c>
      <c r="R23" s="256">
        <v>15</v>
      </c>
      <c r="S23" s="256">
        <v>16</v>
      </c>
      <c r="T23" s="256">
        <v>17</v>
      </c>
      <c r="U23" s="256">
        <v>18</v>
      </c>
      <c r="V23" s="256">
        <v>19</v>
      </c>
      <c r="W23" s="256">
        <v>20</v>
      </c>
      <c r="X23" s="256">
        <v>21</v>
      </c>
      <c r="Y23" s="256">
        <v>22</v>
      </c>
      <c r="Z23" s="256">
        <v>23</v>
      </c>
      <c r="AA23" s="256">
        <v>24</v>
      </c>
      <c r="AB23" s="256">
        <v>25</v>
      </c>
      <c r="AC23" s="256">
        <v>26</v>
      </c>
      <c r="AD23" s="256">
        <v>27</v>
      </c>
      <c r="AE23" s="256">
        <v>28</v>
      </c>
      <c r="AF23" s="256">
        <v>29</v>
      </c>
      <c r="AG23" s="256">
        <v>30</v>
      </c>
      <c r="AH23" s="256">
        <v>31</v>
      </c>
      <c r="AI23" s="256">
        <v>32</v>
      </c>
      <c r="AJ23" s="256">
        <v>33</v>
      </c>
      <c r="AK23" s="256">
        <v>34</v>
      </c>
      <c r="AL23" s="256">
        <v>35</v>
      </c>
      <c r="AM23" s="256">
        <v>36</v>
      </c>
      <c r="AN23" s="256">
        <v>37</v>
      </c>
      <c r="AO23" s="256">
        <v>38</v>
      </c>
      <c r="AP23" s="256">
        <v>39</v>
      </c>
      <c r="AQ23" s="256">
        <v>40</v>
      </c>
    </row>
    <row r="24" spans="2:43" x14ac:dyDescent="0.2">
      <c r="B24" s="259" t="s">
        <v>34</v>
      </c>
      <c r="C24" s="259" t="s">
        <v>9</v>
      </c>
      <c r="D24" s="304">
        <v>2026</v>
      </c>
      <c r="E24" s="304">
        <f>$D$6+D23</f>
        <v>2027</v>
      </c>
      <c r="F24" s="304">
        <f t="shared" ref="F24:AN24" si="12">$D$6+E23</f>
        <v>2028</v>
      </c>
      <c r="G24" s="304">
        <f t="shared" si="12"/>
        <v>2029</v>
      </c>
      <c r="H24" s="304">
        <f t="shared" si="12"/>
        <v>2030</v>
      </c>
      <c r="I24" s="304">
        <f t="shared" si="12"/>
        <v>2031</v>
      </c>
      <c r="J24" s="304">
        <f t="shared" si="12"/>
        <v>2032</v>
      </c>
      <c r="K24" s="304">
        <f t="shared" si="12"/>
        <v>2033</v>
      </c>
      <c r="L24" s="304">
        <f t="shared" si="12"/>
        <v>2034</v>
      </c>
      <c r="M24" s="304">
        <f t="shared" si="12"/>
        <v>2035</v>
      </c>
      <c r="N24" s="304">
        <f t="shared" si="12"/>
        <v>2036</v>
      </c>
      <c r="O24" s="304">
        <f t="shared" si="12"/>
        <v>2037</v>
      </c>
      <c r="P24" s="304">
        <f t="shared" si="12"/>
        <v>2038</v>
      </c>
      <c r="Q24" s="304">
        <f t="shared" si="12"/>
        <v>2039</v>
      </c>
      <c r="R24" s="304">
        <f t="shared" si="12"/>
        <v>2040</v>
      </c>
      <c r="S24" s="304">
        <f t="shared" si="12"/>
        <v>2041</v>
      </c>
      <c r="T24" s="304">
        <f t="shared" si="12"/>
        <v>2042</v>
      </c>
      <c r="U24" s="304">
        <f t="shared" si="12"/>
        <v>2043</v>
      </c>
      <c r="V24" s="304">
        <f t="shared" si="12"/>
        <v>2044</v>
      </c>
      <c r="W24" s="304">
        <f t="shared" si="12"/>
        <v>2045</v>
      </c>
      <c r="X24" s="304">
        <f t="shared" si="12"/>
        <v>2046</v>
      </c>
      <c r="Y24" s="304">
        <f t="shared" si="12"/>
        <v>2047</v>
      </c>
      <c r="Z24" s="304">
        <f t="shared" si="12"/>
        <v>2048</v>
      </c>
      <c r="AA24" s="304">
        <f t="shared" si="12"/>
        <v>2049</v>
      </c>
      <c r="AB24" s="304">
        <f t="shared" si="12"/>
        <v>2050</v>
      </c>
      <c r="AC24" s="304">
        <f t="shared" si="12"/>
        <v>2051</v>
      </c>
      <c r="AD24" s="304">
        <f t="shared" si="12"/>
        <v>2052</v>
      </c>
      <c r="AE24" s="304">
        <f t="shared" si="12"/>
        <v>2053</v>
      </c>
      <c r="AF24" s="304">
        <f t="shared" si="12"/>
        <v>2054</v>
      </c>
      <c r="AG24" s="304">
        <f t="shared" si="12"/>
        <v>2055</v>
      </c>
      <c r="AH24" s="304">
        <f t="shared" si="12"/>
        <v>2056</v>
      </c>
      <c r="AI24" s="304">
        <f t="shared" si="12"/>
        <v>2057</v>
      </c>
      <c r="AJ24" s="304">
        <f t="shared" si="12"/>
        <v>2058</v>
      </c>
      <c r="AK24" s="304">
        <f t="shared" si="12"/>
        <v>2059</v>
      </c>
      <c r="AL24" s="304">
        <f t="shared" si="12"/>
        <v>2060</v>
      </c>
      <c r="AM24" s="304">
        <f t="shared" si="12"/>
        <v>2061</v>
      </c>
      <c r="AN24" s="304">
        <f t="shared" si="12"/>
        <v>2062</v>
      </c>
      <c r="AO24" s="304">
        <f t="shared" ref="AO24" si="13">$D$6+AN23</f>
        <v>2063</v>
      </c>
      <c r="AP24" s="304">
        <f t="shared" ref="AP24" si="14">$D$6+AO23</f>
        <v>2064</v>
      </c>
      <c r="AQ24" s="304">
        <f t="shared" ref="AQ24" si="15">$D$6+AP23</f>
        <v>2065</v>
      </c>
    </row>
    <row r="25" spans="2:43" x14ac:dyDescent="0.2">
      <c r="B25" s="362" t="s">
        <v>685</v>
      </c>
      <c r="C25" s="363">
        <f>SUM(D25:AQ25)</f>
        <v>1429142055.6736457</v>
      </c>
      <c r="D25" s="235">
        <f>'10_A Bezpečnosť (cesty) NOV200'!D47*Vstupy!$G$62</f>
        <v>25309705.180794127</v>
      </c>
      <c r="E25" s="235">
        <f>'10_A Bezpečnosť (cesty) NOV200'!E47*Vstupy!$G$62</f>
        <v>25739970.168867622</v>
      </c>
      <c r="F25" s="235">
        <f>'10_A Bezpečnosť (cesty) NOV200'!F47*Vstupy!$G$62</f>
        <v>26177549.66173837</v>
      </c>
      <c r="G25" s="235">
        <f>'10_A Bezpečnosť (cesty) NOV200'!G47*Vstupy!$G$62</f>
        <v>26576310.621041838</v>
      </c>
      <c r="H25" s="235">
        <f>'10_A Bezpečnosť (cesty) NOV200'!H47*Vstupy!$G$62</f>
        <v>26986902.851031467</v>
      </c>
      <c r="I25" s="235">
        <f>'10_A Bezpečnosť (cesty) NOV200'!I47*Vstupy!$G$62</f>
        <v>27430568.888381906</v>
      </c>
      <c r="J25" s="235">
        <f>'10_A Bezpečnosť (cesty) NOV200'!J47*Vstupy!$G$62</f>
        <v>27897622.581948139</v>
      </c>
      <c r="K25" s="235">
        <f>'10_A Bezpečnosť (cesty) NOV200'!K47*Vstupy!$G$62</f>
        <v>28372623.528529633</v>
      </c>
      <c r="L25" s="235">
        <f>'10_A Bezpečnosť (cesty) NOV200'!L47*Vstupy!$G$62</f>
        <v>28855706.904829897</v>
      </c>
      <c r="M25" s="235">
        <f>'10_A Bezpečnosť (cesty) NOV200'!M47*Vstupy!$G$62</f>
        <v>29347010.186290424</v>
      </c>
      <c r="N25" s="235">
        <f>'10_A Bezpečnosť (cesty) NOV200'!N47*Vstupy!$G$62</f>
        <v>29846673.186176557</v>
      </c>
      <c r="O25" s="235">
        <f>'10_A Bezpečnosť (cesty) NOV200'!O47*Vstupy!$G$62</f>
        <v>30354838.095327947</v>
      </c>
      <c r="P25" s="235">
        <f>'10_A Bezpečnosť (cesty) NOV200'!P47*Vstupy!$G$62</f>
        <v>30871649.522584774</v>
      </c>
      <c r="Q25" s="235">
        <f>'10_A Bezpečnosť (cesty) NOV200'!Q47*Vstupy!$G$62</f>
        <v>31397254.535901334</v>
      </c>
      <c r="R25" s="235">
        <f>'10_A Bezpečnosť (cesty) NOV200'!R47*Vstupy!$G$62</f>
        <v>31931802.704158597</v>
      </c>
      <c r="S25" s="235">
        <f>'10_A Bezpečnosť (cesty) NOV200'!S47*Vstupy!$G$62</f>
        <v>32476822.35035928</v>
      </c>
      <c r="T25" s="235">
        <f>'10_A Bezpečnosť (cesty) NOV200'!T47*Vstupy!$G$62</f>
        <v>33031102.972544905</v>
      </c>
      <c r="U25" s="235">
        <f>'10_A Bezpečnosť (cesty) NOV200'!U47*Vstupy!$G$62</f>
        <v>33594802.016023234</v>
      </c>
      <c r="V25" s="235">
        <f>'10_A Bezpečnosť (cesty) NOV200'!V47*Vstupy!$G$62</f>
        <v>34168079.6026548</v>
      </c>
      <c r="W25" s="235">
        <f>'10_A Bezpečnosť (cesty) NOV200'!W47*Vstupy!$G$62</f>
        <v>34751098.576354392</v>
      </c>
      <c r="X25" s="235">
        <f>'10_A Bezpečnosť (cesty) NOV200'!X47*Vstupy!$G$62</f>
        <v>35344024.54936596</v>
      </c>
      <c r="Y25" s="235">
        <f>'10_A Bezpečnosť (cesty) NOV200'!Y47*Vstupy!$G$62</f>
        <v>35947025.949324302</v>
      </c>
      <c r="Z25" s="235">
        <f>'10_A Bezpečnosť (cesty) NOV200'!Z47*Vstupy!$G$62</f>
        <v>36560274.0671167</v>
      </c>
      <c r="AA25" s="235">
        <f>'10_A Bezpečnosť (cesty) NOV200'!AA47*Vstupy!$G$62</f>
        <v>37183943.105558254</v>
      </c>
      <c r="AB25" s="235">
        <f>'10_A Bezpečnosť (cesty) NOV200'!AB47*Vstupy!$G$62</f>
        <v>37818210.228894718</v>
      </c>
      <c r="AC25" s="235">
        <f>'10_A Bezpečnosť (cesty) NOV200'!AC47*Vstupy!$G$62</f>
        <v>38463255.613146812</v>
      </c>
      <c r="AD25" s="235">
        <f>'10_A Bezpečnosť (cesty) NOV200'!AD47*Vstupy!$G$62</f>
        <v>39119262.497310475</v>
      </c>
      <c r="AE25" s="235">
        <f>'10_A Bezpečnosť (cesty) NOV200'!AE47*Vstupy!$G$62</f>
        <v>39786417.235427432</v>
      </c>
      <c r="AF25" s="235">
        <f>'10_A Bezpečnosť (cesty) NOV200'!AF47*Vstupy!$G$62</f>
        <v>40464909.349541053</v>
      </c>
      <c r="AG25" s="235">
        <f>'10_A Bezpečnosť (cesty) NOV200'!AG47*Vstupy!$G$62</f>
        <v>41154931.583552398</v>
      </c>
      <c r="AH25" s="235">
        <f>'10_A Bezpečnosť (cesty) NOV200'!AH47*Vstupy!$G$62</f>
        <v>41856679.957991786</v>
      </c>
      <c r="AI25" s="235">
        <f>'10_A Bezpečnosť (cesty) NOV200'!AI47*Vstupy!$G$62</f>
        <v>42570353.825721599</v>
      </c>
      <c r="AJ25" s="235">
        <f>'10_A Bezpečnosť (cesty) NOV200'!AJ47*Vstupy!$G$62</f>
        <v>43296155.928585947</v>
      </c>
      <c r="AK25" s="235">
        <f>'10_A Bezpečnosť (cesty) NOV200'!AK47*Vstupy!$G$62</f>
        <v>44034292.455023319</v>
      </c>
      <c r="AL25" s="235">
        <f>'10_A Bezpečnosť (cesty) NOV200'!AL47*Vstupy!$G$62</f>
        <v>44784973.098658837</v>
      </c>
      <c r="AM25" s="235">
        <f>'10_A Bezpečnosť (cesty) NOV200'!AM47*Vstupy!$G$62</f>
        <v>45548411.117892347</v>
      </c>
      <c r="AN25" s="235">
        <f>'10_A Bezpečnosť (cesty) NOV200'!AN47*Vstupy!$G$62</f>
        <v>46324823.396499723</v>
      </c>
      <c r="AO25" s="235">
        <f>'10_A Bezpečnosť (cesty) NOV200'!AO47*Vstupy!$G$62</f>
        <v>47114430.505264208</v>
      </c>
      <c r="AP25" s="235">
        <f>'10_A Bezpečnosť (cesty) NOV200'!AP47*Vstupy!$G$62</f>
        <v>47917456.76465565</v>
      </c>
      <c r="AQ25" s="235">
        <f>'10_A Bezpečnosť (cesty) NOV200'!AQ47*Vstupy!$G$62</f>
        <v>48734130.308575138</v>
      </c>
    </row>
    <row r="27" spans="2:43" x14ac:dyDescent="0.2">
      <c r="B27" s="305"/>
      <c r="C27" s="305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</row>
  </sheetData>
  <mergeCells count="1">
    <mergeCell ref="B2:K2"/>
  </mergeCells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AQ30"/>
  <sheetViews>
    <sheetView zoomScale="90" zoomScaleNormal="90" workbookViewId="0"/>
  </sheetViews>
  <sheetFormatPr defaultColWidth="10.42578125" defaultRowHeight="11.25" x14ac:dyDescent="0.2"/>
  <cols>
    <col min="1" max="1" width="5.5703125" style="30" customWidth="1"/>
    <col min="2" max="2" width="41.42578125" style="30" customWidth="1"/>
    <col min="3" max="3" width="12.85546875" style="30" customWidth="1"/>
    <col min="4" max="16384" width="10.42578125" style="30"/>
  </cols>
  <sheetData>
    <row r="2" spans="2:43" x14ac:dyDescent="0.2">
      <c r="B2" s="36" t="s">
        <v>471</v>
      </c>
      <c r="C2" s="36"/>
      <c r="D2" s="31" t="s">
        <v>10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2:43" x14ac:dyDescent="0.2">
      <c r="B3" s="32"/>
      <c r="C3" s="32"/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  <c r="AI3" s="33">
        <v>32</v>
      </c>
      <c r="AJ3" s="33">
        <v>33</v>
      </c>
      <c r="AK3" s="33">
        <v>34</v>
      </c>
      <c r="AL3" s="33">
        <v>35</v>
      </c>
      <c r="AM3" s="33">
        <v>36</v>
      </c>
      <c r="AN3" s="33">
        <v>37</v>
      </c>
      <c r="AO3" s="33">
        <v>38</v>
      </c>
      <c r="AP3" s="33">
        <v>39</v>
      </c>
      <c r="AQ3" s="33">
        <v>40</v>
      </c>
    </row>
    <row r="4" spans="2:43" ht="22.5" x14ac:dyDescent="0.2">
      <c r="B4" s="34" t="s">
        <v>39</v>
      </c>
      <c r="C4" s="38" t="s">
        <v>36</v>
      </c>
      <c r="D4" s="35">
        <f>Parametre!C13</f>
        <v>2026</v>
      </c>
      <c r="E4" s="35">
        <f>$D$4+D3</f>
        <v>2027</v>
      </c>
      <c r="F4" s="35">
        <f>$D$4+E3</f>
        <v>2028</v>
      </c>
      <c r="G4" s="35">
        <f t="shared" ref="G4:AF4" si="0">$D$4+F3</f>
        <v>2029</v>
      </c>
      <c r="H4" s="35">
        <f t="shared" si="0"/>
        <v>2030</v>
      </c>
      <c r="I4" s="35">
        <f t="shared" si="0"/>
        <v>2031</v>
      </c>
      <c r="J4" s="35">
        <f t="shared" si="0"/>
        <v>2032</v>
      </c>
      <c r="K4" s="35">
        <f t="shared" si="0"/>
        <v>2033</v>
      </c>
      <c r="L4" s="35">
        <f t="shared" si="0"/>
        <v>2034</v>
      </c>
      <c r="M4" s="35">
        <f t="shared" si="0"/>
        <v>2035</v>
      </c>
      <c r="N4" s="35">
        <f t="shared" si="0"/>
        <v>2036</v>
      </c>
      <c r="O4" s="35">
        <f t="shared" si="0"/>
        <v>2037</v>
      </c>
      <c r="P4" s="35">
        <f t="shared" si="0"/>
        <v>2038</v>
      </c>
      <c r="Q4" s="35">
        <f t="shared" si="0"/>
        <v>2039</v>
      </c>
      <c r="R4" s="35">
        <f t="shared" si="0"/>
        <v>2040</v>
      </c>
      <c r="S4" s="35">
        <f t="shared" si="0"/>
        <v>2041</v>
      </c>
      <c r="T4" s="35">
        <f t="shared" si="0"/>
        <v>2042</v>
      </c>
      <c r="U4" s="35">
        <f t="shared" si="0"/>
        <v>2043</v>
      </c>
      <c r="V4" s="35">
        <f t="shared" si="0"/>
        <v>2044</v>
      </c>
      <c r="W4" s="35">
        <f t="shared" si="0"/>
        <v>2045</v>
      </c>
      <c r="X4" s="35">
        <f t="shared" si="0"/>
        <v>2046</v>
      </c>
      <c r="Y4" s="35">
        <f t="shared" si="0"/>
        <v>2047</v>
      </c>
      <c r="Z4" s="35">
        <f t="shared" si="0"/>
        <v>2048</v>
      </c>
      <c r="AA4" s="35">
        <f t="shared" si="0"/>
        <v>2049</v>
      </c>
      <c r="AB4" s="35">
        <f t="shared" si="0"/>
        <v>2050</v>
      </c>
      <c r="AC4" s="35">
        <f t="shared" si="0"/>
        <v>2051</v>
      </c>
      <c r="AD4" s="35">
        <f t="shared" si="0"/>
        <v>2052</v>
      </c>
      <c r="AE4" s="35">
        <f t="shared" si="0"/>
        <v>2053</v>
      </c>
      <c r="AF4" s="35">
        <f t="shared" si="0"/>
        <v>2054</v>
      </c>
      <c r="AG4" s="35">
        <f t="shared" ref="AG4" si="1">$D$4+AF3</f>
        <v>2055</v>
      </c>
      <c r="AH4" s="35">
        <f t="shared" ref="AH4" si="2">$D$4+AG3</f>
        <v>2056</v>
      </c>
      <c r="AI4" s="35">
        <f t="shared" ref="AI4" si="3">$D$4+AH3</f>
        <v>2057</v>
      </c>
      <c r="AJ4" s="35">
        <f t="shared" ref="AJ4" si="4">$D$4+AI3</f>
        <v>2058</v>
      </c>
      <c r="AK4" s="35">
        <f t="shared" ref="AK4" si="5">$D$4+AJ3</f>
        <v>2059</v>
      </c>
      <c r="AL4" s="35">
        <f t="shared" ref="AL4" si="6">$D$4+AK3</f>
        <v>2060</v>
      </c>
      <c r="AM4" s="35">
        <f t="shared" ref="AM4" si="7">$D$4+AL3</f>
        <v>2061</v>
      </c>
      <c r="AN4" s="35">
        <f t="shared" ref="AN4" si="8">$D$4+AM3</f>
        <v>2062</v>
      </c>
      <c r="AO4" s="35">
        <f t="shared" ref="AO4" si="9">$D$4+AN3</f>
        <v>2063</v>
      </c>
      <c r="AP4" s="35">
        <f t="shared" ref="AP4" si="10">$D$4+AO3</f>
        <v>2064</v>
      </c>
      <c r="AQ4" s="35">
        <f t="shared" ref="AQ4" si="11">$D$4+AP3</f>
        <v>2065</v>
      </c>
    </row>
    <row r="5" spans="2:43" x14ac:dyDescent="0.2">
      <c r="B5" s="31" t="s">
        <v>14</v>
      </c>
      <c r="C5" s="37">
        <f>D5+NPV(Parametre!$C$10,E5:I5)</f>
        <v>218563098.95391905</v>
      </c>
      <c r="D5" s="37">
        <f>'01 Investičné výdavky NOV200'!D33</f>
        <v>0</v>
      </c>
      <c r="E5" s="37">
        <f>'01 Investičné výdavky NOV200'!E33</f>
        <v>0</v>
      </c>
      <c r="F5" s="37">
        <f>'01 Investičné výdavky NOV200'!F33</f>
        <v>0</v>
      </c>
      <c r="G5" s="37">
        <f>'01 Investičné výdavky NOV200'!G33</f>
        <v>98946989.099999994</v>
      </c>
      <c r="H5" s="37">
        <f>'01 Investičné výdavky NOV200'!H33</f>
        <v>98946989.099999994</v>
      </c>
      <c r="I5" s="37">
        <f>'01 Investičné výdavky NOV200'!I33</f>
        <v>65964659.399999999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2:43" x14ac:dyDescent="0.2">
      <c r="B6" s="31" t="s">
        <v>12</v>
      </c>
      <c r="C6" s="37">
        <f>D6+NPV(Parametre!$C$10,E6:AQ6)</f>
        <v>-179835009.62678012</v>
      </c>
      <c r="D6" s="37">
        <f>'03 Prevádzkové výdavky NOV200'!D43</f>
        <v>0</v>
      </c>
      <c r="E6" s="37">
        <f>'03 Prevádzkové výdavky NOV200'!E43</f>
        <v>0</v>
      </c>
      <c r="F6" s="37">
        <f>'03 Prevádzkové výdavky NOV200'!F43</f>
        <v>0</v>
      </c>
      <c r="G6" s="37">
        <f>'03 Prevádzkové výdavky NOV200'!G43</f>
        <v>0</v>
      </c>
      <c r="H6" s="37">
        <f>'03 Prevádzkové výdavky NOV200'!H43</f>
        <v>-2004076.1704500034</v>
      </c>
      <c r="I6" s="37">
        <f>'03 Prevádzkové výdavky NOV200'!I43</f>
        <v>-28128152.3409</v>
      </c>
      <c r="J6" s="37">
        <f>'03 Prevádzkové výdavky NOV200'!J43</f>
        <v>-29529866.554200001</v>
      </c>
      <c r="K6" s="37">
        <f>'03 Prevádzkové výdavky NOV200'!K43</f>
        <v>-5409866.554200002</v>
      </c>
      <c r="L6" s="37">
        <f>'03 Prevádzkové výdavky NOV200'!L43</f>
        <v>-5409866.554200002</v>
      </c>
      <c r="M6" s="37">
        <f>'03 Prevádzkové výdavky NOV200'!M43</f>
        <v>-5409866.554200002</v>
      </c>
      <c r="N6" s="37">
        <f>'03 Prevádzkové výdavky NOV200'!N43</f>
        <v>-5409866.554200002</v>
      </c>
      <c r="O6" s="37">
        <f>'03 Prevádzkové výdavky NOV200'!O43</f>
        <v>-5409866.554200002</v>
      </c>
      <c r="P6" s="37">
        <f>'03 Prevádzkové výdavky NOV200'!P43</f>
        <v>-5409866.554200002</v>
      </c>
      <c r="Q6" s="37">
        <f>'03 Prevádzkové výdavky NOV200'!Q43</f>
        <v>-5409866.554200002</v>
      </c>
      <c r="R6" s="37">
        <f>'03 Prevádzkové výdavky NOV200'!R43</f>
        <v>-5409866.554200002</v>
      </c>
      <c r="S6" s="37">
        <f>'03 Prevádzkové výdavky NOV200'!S43</f>
        <v>-53649866.554200001</v>
      </c>
      <c r="T6" s="37">
        <f>'03 Prevádzkové výdavky NOV200'!T43</f>
        <v>-53649866.554200001</v>
      </c>
      <c r="U6" s="37">
        <f>'03 Prevádzkové výdavky NOV200'!U43</f>
        <v>-5409866.554200002</v>
      </c>
      <c r="V6" s="37">
        <f>'03 Prevádzkové výdavky NOV200'!V43</f>
        <v>-5409866.554200002</v>
      </c>
      <c r="W6" s="37">
        <f>'03 Prevádzkové výdavky NOV200'!W43</f>
        <v>-5409866.554200002</v>
      </c>
      <c r="X6" s="37">
        <f>'03 Prevádzkové výdavky NOV200'!X43</f>
        <v>-5409866.554200002</v>
      </c>
      <c r="Y6" s="37">
        <f>'03 Prevádzkové výdavky NOV200'!Y43</f>
        <v>-5409866.554200002</v>
      </c>
      <c r="Z6" s="37">
        <f>'03 Prevádzkové výdavky NOV200'!Z43</f>
        <v>-5409866.554200002</v>
      </c>
      <c r="AA6" s="37">
        <f>'03 Prevádzkové výdavky NOV200'!AA43</f>
        <v>-5409866.554200002</v>
      </c>
      <c r="AB6" s="37">
        <f>'03 Prevádzkové výdavky NOV200'!AB43</f>
        <v>-5409866.554200002</v>
      </c>
      <c r="AC6" s="37">
        <f>'03 Prevádzkové výdavky NOV200'!AC43</f>
        <v>-8296976.554200002</v>
      </c>
      <c r="AD6" s="37">
        <f>'03 Prevádzkové výdavky NOV200'!AD43</f>
        <v>-29529866.554200001</v>
      </c>
      <c r="AE6" s="37">
        <f>'03 Prevádzkové výdavky NOV200'!AE43</f>
        <v>-5409866.554200002</v>
      </c>
      <c r="AF6" s="37">
        <f>'03 Prevádzkové výdavky NOV200'!AF43</f>
        <v>-5409866.554200002</v>
      </c>
      <c r="AG6" s="37">
        <f>'03 Prevádzkové výdavky NOV200'!AG43</f>
        <v>-5409866.554200002</v>
      </c>
      <c r="AH6" s="37">
        <f>'03 Prevádzkové výdavky NOV200'!AH43</f>
        <v>-5409866.554200002</v>
      </c>
      <c r="AI6" s="37">
        <f>'03 Prevádzkové výdavky NOV200'!AI43</f>
        <v>-5409866.554200002</v>
      </c>
      <c r="AJ6" s="37">
        <f>'03 Prevádzkové výdavky NOV200'!AJ43</f>
        <v>-5409866.554200002</v>
      </c>
      <c r="AK6" s="37">
        <f>'03 Prevádzkové výdavky NOV200'!AK43</f>
        <v>-5409866.554200002</v>
      </c>
      <c r="AL6" s="37">
        <f>'03 Prevádzkové výdavky NOV200'!AL43</f>
        <v>-5409866.554200002</v>
      </c>
      <c r="AM6" s="37">
        <f>'03 Prevádzkové výdavky NOV200'!AM43</f>
        <v>-11184086.554200001</v>
      </c>
      <c r="AN6" s="37">
        <f>'03 Prevádzkové výdavky NOV200'!AN43</f>
        <v>-53649866.554200001</v>
      </c>
      <c r="AO6" s="37">
        <f>'03 Prevádzkové výdavky NOV200'!AO43</f>
        <v>-5409866.554200002</v>
      </c>
      <c r="AP6" s="37">
        <f>'03 Prevádzkové výdavky NOV200'!AP43</f>
        <v>-5409866.554200002</v>
      </c>
      <c r="AQ6" s="37">
        <f>'03 Prevádzkové výdavky NOV200'!AQ43</f>
        <v>-53649866.554200001</v>
      </c>
    </row>
    <row r="7" spans="2:43" x14ac:dyDescent="0.2">
      <c r="B7" s="256" t="s">
        <v>202</v>
      </c>
      <c r="C7" s="37">
        <f>D7+NPV(Parametre!$C$10,E7:AQ7)</f>
        <v>29575803.524711948</v>
      </c>
      <c r="D7" s="37">
        <f>SUM(D8:D10)</f>
        <v>0</v>
      </c>
      <c r="E7" s="37">
        <f t="shared" ref="E7:AF7" si="12">SUM(E8:E10)</f>
        <v>0</v>
      </c>
      <c r="F7" s="37">
        <f t="shared" si="12"/>
        <v>0</v>
      </c>
      <c r="G7" s="37">
        <f t="shared" si="12"/>
        <v>1936401.6502102565</v>
      </c>
      <c r="H7" s="37">
        <f t="shared" si="12"/>
        <v>935282.85349506512</v>
      </c>
      <c r="I7" s="37">
        <f t="shared" si="12"/>
        <v>1644517.5860220548</v>
      </c>
      <c r="J7" s="37">
        <f t="shared" si="12"/>
        <v>1682386.8963977599</v>
      </c>
      <c r="K7" s="37">
        <f t="shared" si="12"/>
        <v>1720849.1412223685</v>
      </c>
      <c r="L7" s="37">
        <f t="shared" si="12"/>
        <v>1759325.8057972686</v>
      </c>
      <c r="M7" s="37">
        <f t="shared" si="12"/>
        <v>1798399.9187495313</v>
      </c>
      <c r="N7" s="37">
        <f t="shared" si="12"/>
        <v>1838677.9582246137</v>
      </c>
      <c r="O7" s="37">
        <f t="shared" si="12"/>
        <v>1879581.7184973252</v>
      </c>
      <c r="P7" s="37">
        <f t="shared" si="12"/>
        <v>1921119.6861796621</v>
      </c>
      <c r="Q7" s="37">
        <f t="shared" si="12"/>
        <v>1963389.1167669755</v>
      </c>
      <c r="R7" s="37">
        <f t="shared" si="12"/>
        <v>2006311.8239974121</v>
      </c>
      <c r="S7" s="37">
        <f t="shared" si="12"/>
        <v>2025541.4387800514</v>
      </c>
      <c r="T7" s="37">
        <f t="shared" si="12"/>
        <v>2045306.2949972949</v>
      </c>
      <c r="U7" s="37">
        <f t="shared" si="12"/>
        <v>2066435.0942536751</v>
      </c>
      <c r="V7" s="37">
        <f t="shared" si="12"/>
        <v>2083161.7102845046</v>
      </c>
      <c r="W7" s="37">
        <f t="shared" si="12"/>
        <v>2101347.1165582403</v>
      </c>
      <c r="X7" s="37">
        <f t="shared" si="12"/>
        <v>2119451.4485600493</v>
      </c>
      <c r="Y7" s="37">
        <f t="shared" si="12"/>
        <v>2137474.9578453922</v>
      </c>
      <c r="Z7" s="37">
        <f t="shared" si="12"/>
        <v>2155417.8952877885</v>
      </c>
      <c r="AA7" s="37">
        <f t="shared" si="12"/>
        <v>2173892.065551891</v>
      </c>
      <c r="AB7" s="37">
        <f t="shared" si="12"/>
        <v>2192283.7174633611</v>
      </c>
      <c r="AC7" s="37">
        <f t="shared" si="12"/>
        <v>2210593.1071989182</v>
      </c>
      <c r="AD7" s="37">
        <f t="shared" si="12"/>
        <v>2228907.9129047613</v>
      </c>
      <c r="AE7" s="37">
        <f t="shared" si="12"/>
        <v>2247140.6170153571</v>
      </c>
      <c r="AF7" s="37">
        <f t="shared" si="12"/>
        <v>2264598.9380148291</v>
      </c>
      <c r="AG7" s="37">
        <f t="shared" ref="AG7:AN7" si="13">SUM(AG8:AG10)</f>
        <v>2281978.437167841</v>
      </c>
      <c r="AH7" s="37">
        <f t="shared" si="13"/>
        <v>2299366.0853066114</v>
      </c>
      <c r="AI7" s="37">
        <f t="shared" si="13"/>
        <v>2317190.340832266</v>
      </c>
      <c r="AJ7" s="37">
        <f t="shared" si="13"/>
        <v>2334934.1018714868</v>
      </c>
      <c r="AK7" s="37">
        <f t="shared" si="13"/>
        <v>2352597.619105191</v>
      </c>
      <c r="AL7" s="37">
        <f t="shared" si="13"/>
        <v>2370267.1761873029</v>
      </c>
      <c r="AM7" s="37">
        <f t="shared" si="13"/>
        <v>2387856.6446505864</v>
      </c>
      <c r="AN7" s="37">
        <f t="shared" si="13"/>
        <v>2405366.2741713352</v>
      </c>
      <c r="AO7" s="37">
        <f t="shared" ref="AO7:AQ7" si="14">SUM(AO8:AO10)</f>
        <v>2422796.3137474144</v>
      </c>
      <c r="AP7" s="37">
        <f t="shared" si="14"/>
        <v>2442810.6459626723</v>
      </c>
      <c r="AQ7" s="37">
        <f t="shared" si="14"/>
        <v>2462820.4064155049</v>
      </c>
    </row>
    <row r="8" spans="2:43" x14ac:dyDescent="0.2">
      <c r="B8" s="302" t="s">
        <v>419</v>
      </c>
      <c r="C8" s="303">
        <f>D8+NPV(Parametre!$C$10,E8:AQ8)</f>
        <v>31175981.689575456</v>
      </c>
      <c r="D8" s="303">
        <f>'07 Čas cestujúcich NOV200'!D16</f>
        <v>0</v>
      </c>
      <c r="E8" s="303">
        <f>'07 Čas cestujúcich NOV200'!E16</f>
        <v>0</v>
      </c>
      <c r="F8" s="303">
        <f>'07 Čas cestujúcich NOV200'!F16</f>
        <v>0</v>
      </c>
      <c r="G8" s="303">
        <f>'07 Čas cestujúcich NOV200'!G16</f>
        <v>1975527.0958853972</v>
      </c>
      <c r="H8" s="303">
        <f>'07 Čas cestujúcich NOV200'!H16</f>
        <v>1010918.9396041763</v>
      </c>
      <c r="I8" s="303">
        <f>'07 Čas cestujúcich NOV200'!I16</f>
        <v>1735681.576549558</v>
      </c>
      <c r="J8" s="303">
        <f>'07 Čas cestujúcich NOV200'!J16</f>
        <v>1775650.1757876729</v>
      </c>
      <c r="K8" s="303">
        <f>'07 Čas cestujúcich NOV200'!K16</f>
        <v>1816244.5788528868</v>
      </c>
      <c r="L8" s="303">
        <f>'07 Čas cestujúcich NOV200'!L16</f>
        <v>1856854.201028636</v>
      </c>
      <c r="M8" s="303">
        <f>'07 Čas cestujúcich NOV200'!M16</f>
        <v>1898094.3911900017</v>
      </c>
      <c r="N8" s="303">
        <f>'07 Čas cestujúcich NOV200'!N16</f>
        <v>1940605.2476567556</v>
      </c>
      <c r="O8" s="303">
        <f>'07 Čas cestujúcich NOV200'!O16</f>
        <v>1983776.5118137281</v>
      </c>
      <c r="P8" s="303">
        <f>'07 Čas cestujúcich NOV200'!P16</f>
        <v>2027617.1407290678</v>
      </c>
      <c r="Q8" s="303">
        <f>'07 Čas cestujúcich NOV200'!Q16</f>
        <v>2072229.7812658628</v>
      </c>
      <c r="R8" s="303">
        <f>'07 Čas cestujúcich NOV200'!R16</f>
        <v>2117531.9128993154</v>
      </c>
      <c r="S8" s="303">
        <f>'07 Čas cestujúcich NOV200'!S16</f>
        <v>2137827.5232266621</v>
      </c>
      <c r="T8" s="303">
        <f>'07 Čas cestujúcich NOV200'!T16</f>
        <v>2158688.0461490122</v>
      </c>
      <c r="U8" s="303">
        <f>'07 Čas cestujúcich NOV200'!U16</f>
        <v>2180988.1224240381</v>
      </c>
      <c r="V8" s="303">
        <f>'07 Čas cestujúcich NOV200'!V16</f>
        <v>2198641.9800230647</v>
      </c>
      <c r="W8" s="303">
        <f>'07 Čas cestujúcich NOV200'!W16</f>
        <v>2217835.4960423997</v>
      </c>
      <c r="X8" s="303">
        <f>'07 Čas cestujúcich NOV200'!X16</f>
        <v>2236943.4434297467</v>
      </c>
      <c r="Y8" s="303">
        <f>'07 Čas cestujúcich NOV200'!Y16</f>
        <v>2255966.0876855678</v>
      </c>
      <c r="Z8" s="303">
        <f>'07 Čas cestujúcich NOV200'!Z16</f>
        <v>2274903.6935905805</v>
      </c>
      <c r="AA8" s="303">
        <f>'07 Čas cestujúcich NOV200'!AA16</f>
        <v>2294401.9812598573</v>
      </c>
      <c r="AB8" s="303">
        <f>'07 Čas cestujúcich NOV200'!AB16</f>
        <v>2313813.1761636878</v>
      </c>
      <c r="AC8" s="303">
        <f>'07 Čas cestujúcich NOV200'!AC16</f>
        <v>2333137.548679973</v>
      </c>
      <c r="AD8" s="303">
        <f>'07 Čas cestujúcich NOV200'!AD16</f>
        <v>2352467.6374013778</v>
      </c>
      <c r="AE8" s="303">
        <f>'07 Čas cestujúcich NOV200'!AE16</f>
        <v>2371711.0732177072</v>
      </c>
      <c r="AF8" s="303">
        <f>'07 Čas cestujúcich NOV200'!AF16</f>
        <v>2390137.1979206782</v>
      </c>
      <c r="AG8" s="303">
        <f>'07 Čas cestujúcich NOV200'!AG16</f>
        <v>2408480.1312805507</v>
      </c>
      <c r="AH8" s="303">
        <f>'07 Čas cestujúcich NOV200'!AH16</f>
        <v>2426831.6653659912</v>
      </c>
      <c r="AI8" s="303">
        <f>'07 Čas cestujúcich NOV200'!AI16</f>
        <v>2445644.0102107953</v>
      </c>
      <c r="AJ8" s="303">
        <f>'07 Čas cestujúcich NOV200'!AJ16</f>
        <v>2464371.3983495682</v>
      </c>
      <c r="AK8" s="303">
        <f>'07 Čas cestujúcich NOV200'!AK16</f>
        <v>2483014.0943597495</v>
      </c>
      <c r="AL8" s="303">
        <f>'07 Čas cestujúcich NOV200'!AL16</f>
        <v>2501663.1650379151</v>
      </c>
      <c r="AM8" s="303">
        <f>'07 Čas cestujúcich NOV200'!AM16</f>
        <v>2520227.7073769667</v>
      </c>
      <c r="AN8" s="303">
        <f>'07 Čas cestujúcich NOV200'!AN16</f>
        <v>2538707.9848940251</v>
      </c>
      <c r="AO8" s="303">
        <f>'07 Čas cestujúcich NOV200'!AO16</f>
        <v>2557104.2603901783</v>
      </c>
      <c r="AP8" s="303">
        <f>'07 Čas cestujúcich NOV200'!AP16</f>
        <v>2578228.0890364842</v>
      </c>
      <c r="AQ8" s="303">
        <f>'07 Čas cestujúcich NOV200'!AQ16</f>
        <v>2599347.0924842739</v>
      </c>
    </row>
    <row r="9" spans="2:43" x14ac:dyDescent="0.2">
      <c r="B9" s="302" t="s">
        <v>420</v>
      </c>
      <c r="C9" s="303">
        <f>D9+NPV(Parametre!$C$10,E9:AQ9)</f>
        <v>-1600178.1648635124</v>
      </c>
      <c r="D9" s="303">
        <f>'07 Čas cestujúcich NOV200'!D33</f>
        <v>0</v>
      </c>
      <c r="E9" s="303">
        <f>'07 Čas cestujúcich NOV200'!E33</f>
        <v>0</v>
      </c>
      <c r="F9" s="303">
        <f>'07 Čas cestujúcich NOV200'!F33</f>
        <v>0</v>
      </c>
      <c r="G9" s="303">
        <f>'07 Čas cestujúcich NOV200'!G33</f>
        <v>-39125.445675140712</v>
      </c>
      <c r="H9" s="303">
        <f>'07 Čas cestujúcich NOV200'!H33</f>
        <v>-75636.08610911126</v>
      </c>
      <c r="I9" s="303">
        <f>'07 Čas cestujúcich NOV200'!I33</f>
        <v>-91163.99052750312</v>
      </c>
      <c r="J9" s="303">
        <f>'07 Čas cestujúcich NOV200'!J33</f>
        <v>-93263.279389912961</v>
      </c>
      <c r="K9" s="303">
        <f>'07 Čas cestujúcich NOV200'!K33</f>
        <v>-95395.437630518252</v>
      </c>
      <c r="L9" s="303">
        <f>'07 Čas cestujúcich NOV200'!L33</f>
        <v>-97528.395231367351</v>
      </c>
      <c r="M9" s="303">
        <f>'07 Čas cestujúcich NOV200'!M33</f>
        <v>-99694.472440470359</v>
      </c>
      <c r="N9" s="303">
        <f>'07 Čas cestujúcich NOV200'!N33</f>
        <v>-101927.2894321419</v>
      </c>
      <c r="O9" s="303">
        <f>'07 Čas cestujúcich NOV200'!O33</f>
        <v>-104194.79331640282</v>
      </c>
      <c r="P9" s="303">
        <f>'07 Čas cestujúcich NOV200'!P33</f>
        <v>-106497.45454940571</v>
      </c>
      <c r="Q9" s="303">
        <f>'07 Čas cestujúcich NOV200'!Q33</f>
        <v>-108840.66449888716</v>
      </c>
      <c r="R9" s="303">
        <f>'07 Čas cestujúcich NOV200'!R33</f>
        <v>-111220.08890190322</v>
      </c>
      <c r="S9" s="303">
        <f>'07 Čas cestujúcich NOV200'!S33</f>
        <v>-112286.08444661056</v>
      </c>
      <c r="T9" s="303">
        <f>'07 Čas cestujúcich NOV200'!T33</f>
        <v>-113381.75115171733</v>
      </c>
      <c r="U9" s="303">
        <f>'07 Čas cestujúcich NOV200'!U33</f>
        <v>-114553.02817036302</v>
      </c>
      <c r="V9" s="303">
        <f>'07 Čas cestujúcich NOV200'!V33</f>
        <v>-115480.26973855997</v>
      </c>
      <c r="W9" s="303">
        <f>'07 Čas cestujúcich NOV200'!W33</f>
        <v>-116488.37948415944</v>
      </c>
      <c r="X9" s="303">
        <f>'07 Čas cestujúcich NOV200'!X33</f>
        <v>-117491.99486969758</v>
      </c>
      <c r="Y9" s="303">
        <f>'07 Čas cestujúcich NOV200'!Y33</f>
        <v>-118491.12984017559</v>
      </c>
      <c r="Z9" s="303">
        <f>'07 Čas cestujúcich NOV200'!Z33</f>
        <v>-119485.79830279223</v>
      </c>
      <c r="AA9" s="303">
        <f>'07 Čas cestujúcich NOV200'!AA33</f>
        <v>-120509.91570796653</v>
      </c>
      <c r="AB9" s="303">
        <f>'07 Čas cestujúcich NOV200'!AB33</f>
        <v>-121529.4587003269</v>
      </c>
      <c r="AC9" s="303">
        <f>'07 Čas cestujúcich NOV200'!AC33</f>
        <v>-122544.44148105496</v>
      </c>
      <c r="AD9" s="303">
        <f>'07 Čas cestujúcich NOV200'!AD33</f>
        <v>-123559.72449661649</v>
      </c>
      <c r="AE9" s="303">
        <f>'07 Čas cestujúcich NOV200'!AE33</f>
        <v>-124570.4562023499</v>
      </c>
      <c r="AF9" s="303">
        <f>'07 Čas cestujúcich NOV200'!AF33</f>
        <v>-125538.25990584912</v>
      </c>
      <c r="AG9" s="303">
        <f>'07 Čas cestujúcich NOV200'!AG33</f>
        <v>-126501.69411270968</v>
      </c>
      <c r="AH9" s="303">
        <f>'07 Čas cestujúcich NOV200'!AH33</f>
        <v>-127465.58005937978</v>
      </c>
      <c r="AI9" s="303">
        <f>'07 Čas cestujúcich NOV200'!AI33</f>
        <v>-128453.66937852907</v>
      </c>
      <c r="AJ9" s="303">
        <f>'07 Čas cestujúcich NOV200'!AJ33</f>
        <v>-129437.29647808161</v>
      </c>
      <c r="AK9" s="303">
        <f>'07 Čas cestujúcich NOV200'!AK33</f>
        <v>-130416.47525455845</v>
      </c>
      <c r="AL9" s="303">
        <f>'07 Čas cestujúcich NOV200'!AL33</f>
        <v>-131395.98885061196</v>
      </c>
      <c r="AM9" s="303">
        <f>'07 Čas cestujúcich NOV200'!AM33</f>
        <v>-132371.06272638033</v>
      </c>
      <c r="AN9" s="303">
        <f>'07 Čas cestujúcich NOV200'!AN33</f>
        <v>-133341.71072269016</v>
      </c>
      <c r="AO9" s="303">
        <f>'07 Čas cestujúcich NOV200'!AO33</f>
        <v>-134307.94664276388</v>
      </c>
      <c r="AP9" s="303">
        <f>'07 Čas cestujúcich NOV200'!AP33</f>
        <v>-135417.4430738118</v>
      </c>
      <c r="AQ9" s="303">
        <f>'07 Čas cestujúcich NOV200'!AQ33</f>
        <v>-136526.68606876902</v>
      </c>
    </row>
    <row r="10" spans="2:43" x14ac:dyDescent="0.2">
      <c r="B10" s="302" t="s">
        <v>421</v>
      </c>
      <c r="C10" s="303">
        <f>D10+NPV(Parametre!$C$10,E10:AQ10)</f>
        <v>0</v>
      </c>
      <c r="D10" s="303">
        <f>'07 Čas cestujúcich NOV200'!D50</f>
        <v>0</v>
      </c>
      <c r="E10" s="303">
        <f>'07 Čas cestujúcich NOV200'!E50</f>
        <v>0</v>
      </c>
      <c r="F10" s="303">
        <f>'07 Čas cestujúcich NOV200'!F50</f>
        <v>0</v>
      </c>
      <c r="G10" s="303">
        <f>'07 Čas cestujúcich NOV200'!G50</f>
        <v>0</v>
      </c>
      <c r="H10" s="303">
        <f>'07 Čas cestujúcich NOV200'!H50</f>
        <v>0</v>
      </c>
      <c r="I10" s="303">
        <f>'07 Čas cestujúcich NOV200'!I50</f>
        <v>0</v>
      </c>
      <c r="J10" s="303">
        <f>'07 Čas cestujúcich NOV200'!J50</f>
        <v>0</v>
      </c>
      <c r="K10" s="303">
        <f>'07 Čas cestujúcich NOV200'!K50</f>
        <v>0</v>
      </c>
      <c r="L10" s="303">
        <f>'07 Čas cestujúcich NOV200'!L50</f>
        <v>0</v>
      </c>
      <c r="M10" s="303">
        <f>'07 Čas cestujúcich NOV200'!M50</f>
        <v>0</v>
      </c>
      <c r="N10" s="303">
        <f>'07 Čas cestujúcich NOV200'!N50</f>
        <v>0</v>
      </c>
      <c r="O10" s="303">
        <f>'07 Čas cestujúcich NOV200'!O50</f>
        <v>0</v>
      </c>
      <c r="P10" s="303">
        <f>'07 Čas cestujúcich NOV200'!P50</f>
        <v>0</v>
      </c>
      <c r="Q10" s="303">
        <f>'07 Čas cestujúcich NOV200'!Q50</f>
        <v>0</v>
      </c>
      <c r="R10" s="303">
        <f>'07 Čas cestujúcich NOV200'!R50</f>
        <v>0</v>
      </c>
      <c r="S10" s="303">
        <f>'07 Čas cestujúcich NOV200'!S50</f>
        <v>0</v>
      </c>
      <c r="T10" s="303">
        <f>'07 Čas cestujúcich NOV200'!T50</f>
        <v>0</v>
      </c>
      <c r="U10" s="303">
        <f>'07 Čas cestujúcich NOV200'!U50</f>
        <v>0</v>
      </c>
      <c r="V10" s="303">
        <f>'07 Čas cestujúcich NOV200'!V50</f>
        <v>0</v>
      </c>
      <c r="W10" s="303">
        <f>'07 Čas cestujúcich NOV200'!W50</f>
        <v>0</v>
      </c>
      <c r="X10" s="303">
        <f>'07 Čas cestujúcich NOV200'!X50</f>
        <v>0</v>
      </c>
      <c r="Y10" s="303">
        <f>'07 Čas cestujúcich NOV200'!Y50</f>
        <v>0</v>
      </c>
      <c r="Z10" s="303">
        <f>'07 Čas cestujúcich NOV200'!Z50</f>
        <v>0</v>
      </c>
      <c r="AA10" s="303">
        <f>'07 Čas cestujúcich NOV200'!AA50</f>
        <v>0</v>
      </c>
      <c r="AB10" s="303">
        <f>'07 Čas cestujúcich NOV200'!AB50</f>
        <v>0</v>
      </c>
      <c r="AC10" s="303">
        <f>'07 Čas cestujúcich NOV200'!AC50</f>
        <v>0</v>
      </c>
      <c r="AD10" s="303">
        <f>'07 Čas cestujúcich NOV200'!AD50</f>
        <v>0</v>
      </c>
      <c r="AE10" s="303">
        <f>'07 Čas cestujúcich NOV200'!AE50</f>
        <v>0</v>
      </c>
      <c r="AF10" s="303">
        <f>'07 Čas cestujúcich NOV200'!AF50</f>
        <v>0</v>
      </c>
      <c r="AG10" s="303">
        <f>'07 Čas cestujúcich NOV200'!AG50</f>
        <v>0</v>
      </c>
      <c r="AH10" s="303">
        <f>'07 Čas cestujúcich NOV200'!AH50</f>
        <v>0</v>
      </c>
      <c r="AI10" s="303">
        <f>'07 Čas cestujúcich NOV200'!AI50</f>
        <v>0</v>
      </c>
      <c r="AJ10" s="303">
        <f>'07 Čas cestujúcich NOV200'!AJ50</f>
        <v>0</v>
      </c>
      <c r="AK10" s="303">
        <f>'07 Čas cestujúcich NOV200'!AK50</f>
        <v>0</v>
      </c>
      <c r="AL10" s="303">
        <f>'07 Čas cestujúcich NOV200'!AL50</f>
        <v>0</v>
      </c>
      <c r="AM10" s="303">
        <f>'07 Čas cestujúcich NOV200'!AM50</f>
        <v>0</v>
      </c>
      <c r="AN10" s="303">
        <f>'07 Čas cestujúcich NOV200'!AN50</f>
        <v>0</v>
      </c>
      <c r="AO10" s="303">
        <f>'07 Čas cestujúcich NOV200'!AO50</f>
        <v>0</v>
      </c>
      <c r="AP10" s="303">
        <f>'07 Čas cestujúcich NOV200'!AP50</f>
        <v>0</v>
      </c>
      <c r="AQ10" s="303">
        <f>'07 Čas cestujúcich NOV200'!AQ50</f>
        <v>0</v>
      </c>
    </row>
    <row r="11" spans="2:43" x14ac:dyDescent="0.2">
      <c r="B11" s="256" t="s">
        <v>422</v>
      </c>
      <c r="C11" s="37">
        <f>D11+NPV(Parametre!$C$10,E11:AQ11)</f>
        <v>2757541.5391888469</v>
      </c>
      <c r="D11" s="37">
        <f>SUM(D12:D13)</f>
        <v>0</v>
      </c>
      <c r="E11" s="37">
        <f t="shared" ref="E11:AF11" si="15">SUM(E12:E13)</f>
        <v>0</v>
      </c>
      <c r="F11" s="37">
        <f t="shared" si="15"/>
        <v>0</v>
      </c>
      <c r="G11" s="37">
        <f t="shared" si="15"/>
        <v>89919.325888353022</v>
      </c>
      <c r="H11" s="37">
        <f t="shared" si="15"/>
        <v>170968.49187161025</v>
      </c>
      <c r="I11" s="37">
        <f t="shared" si="15"/>
        <v>202089.46963302704</v>
      </c>
      <c r="J11" s="37">
        <f t="shared" si="15"/>
        <v>202723.98878123541</v>
      </c>
      <c r="K11" s="37">
        <f t="shared" si="15"/>
        <v>203033.40931720493</v>
      </c>
      <c r="L11" s="37">
        <f t="shared" si="15"/>
        <v>203102.75878977947</v>
      </c>
      <c r="M11" s="37">
        <f t="shared" si="15"/>
        <v>202564.16753412934</v>
      </c>
      <c r="N11" s="37">
        <f t="shared" si="15"/>
        <v>202522.48090319155</v>
      </c>
      <c r="O11" s="37">
        <f t="shared" si="15"/>
        <v>202452.19332579771</v>
      </c>
      <c r="P11" s="37">
        <f t="shared" si="15"/>
        <v>202367.83365382045</v>
      </c>
      <c r="Q11" s="37">
        <f t="shared" si="15"/>
        <v>202253.87980496569</v>
      </c>
      <c r="R11" s="37">
        <f t="shared" si="15"/>
        <v>202125.14847751483</v>
      </c>
      <c r="S11" s="37">
        <f t="shared" si="15"/>
        <v>199566.20769032737</v>
      </c>
      <c r="T11" s="37">
        <f t="shared" si="15"/>
        <v>197024.40162486769</v>
      </c>
      <c r="U11" s="37">
        <f t="shared" si="15"/>
        <v>194484.27247458461</v>
      </c>
      <c r="V11" s="37">
        <f t="shared" si="15"/>
        <v>191961.19240346208</v>
      </c>
      <c r="W11" s="37">
        <f t="shared" si="15"/>
        <v>189439.76540868846</v>
      </c>
      <c r="X11" s="37">
        <f t="shared" si="15"/>
        <v>186935.30226135644</v>
      </c>
      <c r="Y11" s="37">
        <f t="shared" si="15"/>
        <v>184432.4685152884</v>
      </c>
      <c r="Z11" s="37">
        <f t="shared" si="15"/>
        <v>181946.51379387474</v>
      </c>
      <c r="AA11" s="37">
        <f t="shared" si="15"/>
        <v>179462.16496145533</v>
      </c>
      <c r="AB11" s="37">
        <f t="shared" si="15"/>
        <v>176994.61073792772</v>
      </c>
      <c r="AC11" s="37">
        <f t="shared" si="15"/>
        <v>174536.20888263435</v>
      </c>
      <c r="AD11" s="37">
        <f t="shared" si="15"/>
        <v>172079.37796636039</v>
      </c>
      <c r="AE11" s="37">
        <f t="shared" si="15"/>
        <v>169639.21580949493</v>
      </c>
      <c r="AF11" s="37">
        <f t="shared" si="15"/>
        <v>167200.60148232733</v>
      </c>
      <c r="AG11" s="37">
        <f t="shared" ref="AG11:AN11" si="16">SUM(AG12:AG13)</f>
        <v>164778.57250802001</v>
      </c>
      <c r="AH11" s="37">
        <f t="shared" si="16"/>
        <v>162358.06841369395</v>
      </c>
      <c r="AI11" s="37">
        <f t="shared" si="16"/>
        <v>159954.06666609822</v>
      </c>
      <c r="AJ11" s="37">
        <f t="shared" si="16"/>
        <v>157551.56700746546</v>
      </c>
      <c r="AK11" s="37">
        <f t="shared" si="16"/>
        <v>155165.48708798279</v>
      </c>
      <c r="AL11" s="37">
        <f t="shared" si="16"/>
        <v>152780.88662424134</v>
      </c>
      <c r="AM11" s="37">
        <f t="shared" si="16"/>
        <v>150412.62368875989</v>
      </c>
      <c r="AN11" s="37">
        <f t="shared" si="16"/>
        <v>148045.81773269724</v>
      </c>
      <c r="AO11" s="37">
        <f t="shared" ref="AO11:AQ11" si="17">SUM(AO12:AO13)</f>
        <v>145695.26748884309</v>
      </c>
      <c r="AP11" s="37">
        <f t="shared" si="17"/>
        <v>143346.15190409217</v>
      </c>
      <c r="AQ11" s="37">
        <f t="shared" si="17"/>
        <v>142514.77461685796</v>
      </c>
    </row>
    <row r="12" spans="2:43" x14ac:dyDescent="0.2">
      <c r="B12" s="302" t="s">
        <v>423</v>
      </c>
      <c r="C12" s="303">
        <f>D12+NPV(Parametre!$C$10,E12:AQ12)</f>
        <v>603788.76017812605</v>
      </c>
      <c r="D12" s="303">
        <f>'08 Spotreba PHM_E (cesty)NOV200'!D80</f>
        <v>0</v>
      </c>
      <c r="E12" s="303">
        <f>'08 Spotreba PHM_E (cesty)NOV200'!E80</f>
        <v>0</v>
      </c>
      <c r="F12" s="303">
        <f>'08 Spotreba PHM_E (cesty)NOV200'!F80</f>
        <v>0</v>
      </c>
      <c r="G12" s="303">
        <f>'08 Spotreba PHM_E (cesty)NOV200'!G80</f>
        <v>27008.042662369764</v>
      </c>
      <c r="H12" s="303">
        <f>'08 Spotreba PHM_E (cesty)NOV200'!H80</f>
        <v>50996.29117998085</v>
      </c>
      <c r="I12" s="303">
        <f>'08 Spotreba PHM_E (cesty)NOV200'!I80</f>
        <v>59623.471235530931</v>
      </c>
      <c r="J12" s="303">
        <f>'08 Spotreba PHM_E (cesty)NOV200'!J80</f>
        <v>58949.85562681123</v>
      </c>
      <c r="K12" s="303">
        <f>'08 Spotreba PHM_E (cesty)NOV200'!K80</f>
        <v>57965.917996584467</v>
      </c>
      <c r="L12" s="303">
        <f>'08 Spotreba PHM_E (cesty)NOV200'!L80</f>
        <v>56749.413825673029</v>
      </c>
      <c r="M12" s="303">
        <f>'08 Spotreba PHM_E (cesty)NOV200'!M80</f>
        <v>54963.266255562718</v>
      </c>
      <c r="N12" s="303">
        <f>'08 Spotreba PHM_E (cesty)NOV200'!N80</f>
        <v>53619.330096126083</v>
      </c>
      <c r="O12" s="303">
        <f>'08 Spotreba PHM_E (cesty)NOV200'!O80</f>
        <v>52236.139374248502</v>
      </c>
      <c r="P12" s="303">
        <f>'08 Spotreba PHM_E (cesty)NOV200'!P80</f>
        <v>50826.871212676706</v>
      </c>
      <c r="Q12" s="303">
        <f>'08 Spotreba PHM_E (cesty)NOV200'!Q80</f>
        <v>49377.176283105553</v>
      </c>
      <c r="R12" s="303">
        <f>'08 Spotreba PHM_E (cesty)NOV200'!R80</f>
        <v>47900.492736560496</v>
      </c>
      <c r="S12" s="303">
        <f>'08 Spotreba PHM_E (cesty)NOV200'!S80</f>
        <v>45831.10355952871</v>
      </c>
      <c r="T12" s="303">
        <f>'08 Spotreba PHM_E (cesty)NOV200'!T80</f>
        <v>43776.859982449801</v>
      </c>
      <c r="U12" s="303">
        <f>'08 Spotreba PHM_E (cesty)NOV200'!U80</f>
        <v>41723.604529339733</v>
      </c>
      <c r="V12" s="303">
        <f>'08 Spotreba PHM_E (cesty)NOV200'!V80</f>
        <v>39685.418425475553</v>
      </c>
      <c r="W12" s="303">
        <f>'08 Spotreba PHM_E (cesty)NOV200'!W80</f>
        <v>37648.20079960506</v>
      </c>
      <c r="X12" s="303">
        <f>'08 Spotreba PHM_E (cesty)NOV200'!X80</f>
        <v>35625.976639824003</v>
      </c>
      <c r="Y12" s="303">
        <f>'08 Spotreba PHM_E (cesty)NOV200'!Y80</f>
        <v>33604.701453293739</v>
      </c>
      <c r="Z12" s="303">
        <f>'08 Spotreba PHM_E (cesty)NOV200'!Z80</f>
        <v>31598.344215526984</v>
      </c>
      <c r="AA12" s="303">
        <f>'08 Spotreba PHM_E (cesty)NOV200'!AA80</f>
        <v>29592.916586685395</v>
      </c>
      <c r="AB12" s="303">
        <f>'08 Spotreba PHM_E (cesty)NOV200'!AB80</f>
        <v>27602.331753399969</v>
      </c>
      <c r="AC12" s="303">
        <f>'08 Spotreba PHM_E (cesty)NOV200'!AC80</f>
        <v>25619.590887781342</v>
      </c>
      <c r="AD12" s="303">
        <f>'08 Spotreba PHM_E (cesty)NOV200'!AD80</f>
        <v>23637.750860004257</v>
      </c>
      <c r="AE12" s="303">
        <f>'08 Spotreba PHM_E (cesty)NOV200'!AE80</f>
        <v>21670.64159083605</v>
      </c>
      <c r="AF12" s="303">
        <f>'08 Spotreba PHM_E (cesty)NOV200'!AF80</f>
        <v>19704.41414263349</v>
      </c>
      <c r="AG12" s="303">
        <f>'08 Spotreba PHM_E (cesty)NOV200'!AG80</f>
        <v>17752.843202634747</v>
      </c>
      <c r="AH12" s="303">
        <f>'08 Spotreba PHM_E (cesty)NOV200'!AH80</f>
        <v>15802.135204324006</v>
      </c>
      <c r="AI12" s="303">
        <f>'08 Spotreba PHM_E (cesty)NOV200'!AI80</f>
        <v>13866.0098220003</v>
      </c>
      <c r="AJ12" s="303">
        <f>'08 Spotreba PHM_E (cesty)NOV200'!AJ80</f>
        <v>11930.728638889199</v>
      </c>
      <c r="AK12" s="303">
        <f>'08 Spotreba PHM_E (cesty)NOV200'!AK80</f>
        <v>10009.956536059581</v>
      </c>
      <c r="AL12" s="303">
        <f>'08 Spotreba PHM_E (cesty)NOV200'!AL80</f>
        <v>8090.01002597757</v>
      </c>
      <c r="AM12" s="303">
        <f>'08 Spotreba PHM_E (cesty)NOV200'!AM80</f>
        <v>6184.4994153133903</v>
      </c>
      <c r="AN12" s="303">
        <f>'08 Spotreba PHM_E (cesty)NOV200'!AN80</f>
        <v>4279.7959261545366</v>
      </c>
      <c r="AO12" s="303">
        <f>'08 Spotreba PHM_E (cesty)NOV200'!AO80</f>
        <v>2389.4555087300869</v>
      </c>
      <c r="AP12" s="303">
        <f>'08 Spotreba PHM_E (cesty)NOV200'!AP80</f>
        <v>499.90387600774375</v>
      </c>
      <c r="AQ12" s="303">
        <f>'08 Spotreba PHM_E (cesty)NOV200'!AQ80</f>
        <v>0</v>
      </c>
    </row>
    <row r="13" spans="2:43" x14ac:dyDescent="0.2">
      <c r="B13" s="302" t="s">
        <v>424</v>
      </c>
      <c r="C13" s="303">
        <f>D13+NPV(Parametre!$C$10,E13:AQ13)</f>
        <v>2153752.7790107206</v>
      </c>
      <c r="D13" s="303">
        <f>'09 Ostatné nákl. (cesty)NOV200'!D73</f>
        <v>0</v>
      </c>
      <c r="E13" s="303">
        <f>'09 Ostatné nákl. (cesty)NOV200'!E73</f>
        <v>0</v>
      </c>
      <c r="F13" s="303">
        <f>'09 Ostatné nákl. (cesty)NOV200'!F73</f>
        <v>0</v>
      </c>
      <c r="G13" s="303">
        <f>'09 Ostatné nákl. (cesty)NOV200'!G73</f>
        <v>62911.28322598325</v>
      </c>
      <c r="H13" s="303">
        <f>'09 Ostatné nákl. (cesty)NOV200'!H73</f>
        <v>119972.2006916294</v>
      </c>
      <c r="I13" s="303">
        <f>'09 Ostatné nákl. (cesty)NOV200'!I73</f>
        <v>142465.99839749612</v>
      </c>
      <c r="J13" s="303">
        <f>'09 Ostatné nákl. (cesty)NOV200'!J73</f>
        <v>143774.13315442417</v>
      </c>
      <c r="K13" s="303">
        <f>'09 Ostatné nákl. (cesty)NOV200'!K73</f>
        <v>145067.49132062047</v>
      </c>
      <c r="L13" s="303">
        <f>'09 Ostatné nákl. (cesty)NOV200'!L73</f>
        <v>146353.34496410645</v>
      </c>
      <c r="M13" s="303">
        <f>'09 Ostatné nákl. (cesty)NOV200'!M73</f>
        <v>147600.90127856663</v>
      </c>
      <c r="N13" s="303">
        <f>'09 Ostatné nákl. (cesty)NOV200'!N73</f>
        <v>148903.15080706548</v>
      </c>
      <c r="O13" s="303">
        <f>'09 Ostatné nákl. (cesty)NOV200'!O73</f>
        <v>150216.0539515492</v>
      </c>
      <c r="P13" s="303">
        <f>'09 Ostatné nákl. (cesty)NOV200'!P73</f>
        <v>151540.96244114375</v>
      </c>
      <c r="Q13" s="303">
        <f>'09 Ostatné nákl. (cesty)NOV200'!Q73</f>
        <v>152876.70352186012</v>
      </c>
      <c r="R13" s="303">
        <f>'09 Ostatné nákl. (cesty)NOV200'!R73</f>
        <v>154224.65574095433</v>
      </c>
      <c r="S13" s="303">
        <f>'09 Ostatné nákl. (cesty)NOV200'!S73</f>
        <v>153735.10413079866</v>
      </c>
      <c r="T13" s="303">
        <f>'09 Ostatné nákl. (cesty)NOV200'!T73</f>
        <v>153247.5416424179</v>
      </c>
      <c r="U13" s="303">
        <f>'09 Ostatné nákl. (cesty)NOV200'!U73</f>
        <v>152760.66794524487</v>
      </c>
      <c r="V13" s="303">
        <f>'09 Ostatné nákl. (cesty)NOV200'!V73</f>
        <v>152275.77397798654</v>
      </c>
      <c r="W13" s="303">
        <f>'09 Ostatné nákl. (cesty)NOV200'!W73</f>
        <v>151791.56460908341</v>
      </c>
      <c r="X13" s="303">
        <f>'09 Ostatné nákl. (cesty)NOV200'!X73</f>
        <v>151309.32562153242</v>
      </c>
      <c r="Y13" s="303">
        <f>'09 Ostatné nákl. (cesty)NOV200'!Y73</f>
        <v>150827.76706199467</v>
      </c>
      <c r="Z13" s="303">
        <f>'09 Ostatné nákl. (cesty)NOV200'!Z73</f>
        <v>150348.16957834776</v>
      </c>
      <c r="AA13" s="303">
        <f>'09 Ostatné nákl. (cesty)NOV200'!AA73</f>
        <v>149869.24837476993</v>
      </c>
      <c r="AB13" s="303">
        <f>'09 Ostatné nákl. (cesty)NOV200'!AB73</f>
        <v>149392.27898452774</v>
      </c>
      <c r="AC13" s="303">
        <f>'09 Ostatné nákl. (cesty)NOV200'!AC73</f>
        <v>148916.617994853</v>
      </c>
      <c r="AD13" s="303">
        <f>'09 Ostatné nákl. (cesty)NOV200'!AD73</f>
        <v>148441.62710635614</v>
      </c>
      <c r="AE13" s="303">
        <f>'09 Ostatné nákl. (cesty)NOV200'!AE73</f>
        <v>147968.57421865888</v>
      </c>
      <c r="AF13" s="303">
        <f>'09 Ostatné nákl. (cesty)NOV200'!AF73</f>
        <v>147496.18733969383</v>
      </c>
      <c r="AG13" s="303">
        <f>'09 Ostatné nákl. (cesty)NOV200'!AG73</f>
        <v>147025.72930538526</v>
      </c>
      <c r="AH13" s="303">
        <f>'09 Ostatné nákl. (cesty)NOV200'!AH73</f>
        <v>146555.93320936995</v>
      </c>
      <c r="AI13" s="303">
        <f>'09 Ostatné nákl. (cesty)NOV200'!AI73</f>
        <v>146088.05684409791</v>
      </c>
      <c r="AJ13" s="303">
        <f>'09 Ostatné nákl. (cesty)NOV200'!AJ73</f>
        <v>145620.83836857625</v>
      </c>
      <c r="AK13" s="303">
        <f>'09 Ostatné nákl. (cesty)NOV200'!AK73</f>
        <v>145155.53055192321</v>
      </c>
      <c r="AL13" s="303">
        <f>'09 Ostatné nákl. (cesty)NOV200'!AL73</f>
        <v>144690.87659826377</v>
      </c>
      <c r="AM13" s="303">
        <f>'09 Ostatné nákl. (cesty)NOV200'!AM73</f>
        <v>144228.1242734465</v>
      </c>
      <c r="AN13" s="303">
        <f>'09 Ostatné nákl. (cesty)NOV200'!AN73</f>
        <v>143766.0218065427</v>
      </c>
      <c r="AO13" s="303">
        <f>'09 Ostatné nákl. (cesty)NOV200'!AO73</f>
        <v>143305.81198011301</v>
      </c>
      <c r="AP13" s="303">
        <f>'09 Ostatné nákl. (cesty)NOV200'!AP73</f>
        <v>142846.24802808443</v>
      </c>
      <c r="AQ13" s="303">
        <f>'09 Ostatné nákl. (cesty)NOV200'!AQ73</f>
        <v>142514.77461685796</v>
      </c>
    </row>
    <row r="14" spans="2:43" x14ac:dyDescent="0.2">
      <c r="B14" s="276" t="s">
        <v>427</v>
      </c>
      <c r="C14" s="37">
        <f>D14+NPV(Parametre!$C$10,E14:AQ14)</f>
        <v>1807291.0105710963</v>
      </c>
      <c r="D14" s="37">
        <f>'10 Bezpečnosť (cesty) NOV200'!D26</f>
        <v>0</v>
      </c>
      <c r="E14" s="37">
        <f>'10 Bezpečnosť (cesty) NOV200'!E26</f>
        <v>0</v>
      </c>
      <c r="F14" s="37">
        <f>'10 Bezpečnosť (cesty) NOV200'!F26</f>
        <v>0</v>
      </c>
      <c r="G14" s="37">
        <f>'10 Bezpečnosť (cesty) NOV200'!G26</f>
        <v>44224.169745814463</v>
      </c>
      <c r="H14" s="37">
        <f>'10 Bezpečnosť (cesty) NOV200'!H26</f>
        <v>85478.097728924346</v>
      </c>
      <c r="I14" s="37">
        <f>'10 Bezpečnosť (cesty) NOV200'!I26</f>
        <v>102902.63346596388</v>
      </c>
      <c r="J14" s="37">
        <f>'10 Bezpečnosť (cesty) NOV200'!J26</f>
        <v>105212.29849185968</v>
      </c>
      <c r="K14" s="37">
        <f>'10 Bezpečnosť (cesty) NOV200'!K26</f>
        <v>107574.20997746954</v>
      </c>
      <c r="L14" s="37">
        <f>'10 Bezpečnosť (cesty) NOV200'!L26</f>
        <v>109989.56377439153</v>
      </c>
      <c r="M14" s="37">
        <f>'10 Bezpečnosť (cesty) NOV200'!M26</f>
        <v>112459.58351556411</v>
      </c>
      <c r="N14" s="37">
        <f>'10 Bezpečnosť (cesty) NOV200'!N26</f>
        <v>114985.52128177522</v>
      </c>
      <c r="O14" s="37">
        <f>'10 Bezpečnosť (cesty) NOV200'!O26</f>
        <v>117568.65849680142</v>
      </c>
      <c r="P14" s="37">
        <f>'10 Bezpečnosť (cesty) NOV200'!P26</f>
        <v>120210.30626805297</v>
      </c>
      <c r="Q14" s="37">
        <f>'10 Bezpečnosť (cesty) NOV200'!Q26</f>
        <v>122911.80620938154</v>
      </c>
      <c r="R14" s="37">
        <f>'10 Bezpečnosť (cesty) NOV200'!R26</f>
        <v>125674.53168953223</v>
      </c>
      <c r="S14" s="37">
        <f>'10 Bezpečnosť (cesty) NOV200'!S26</f>
        <v>126973.15643207634</v>
      </c>
      <c r="T14" s="37">
        <f>'10 Bezpečnosť (cesty) NOV200'!T26</f>
        <v>128076.80379878769</v>
      </c>
      <c r="U14" s="37">
        <f>'10 Bezpečnosť (cesty) NOV200'!U26</f>
        <v>129190.45512369662</v>
      </c>
      <c r="V14" s="37">
        <f>'10 Bezpečnosť (cesty) NOV200'!V26</f>
        <v>130314.20903809954</v>
      </c>
      <c r="W14" s="37">
        <f>'10 Bezpečnosť (cesty) NOV200'!W26</f>
        <v>131448.16456674956</v>
      </c>
      <c r="X14" s="37">
        <f>'10 Bezpečnosť (cesty) NOV200'!X26</f>
        <v>132592.42255297018</v>
      </c>
      <c r="Y14" s="37">
        <f>'10 Bezpečnosť (cesty) NOV200'!Y26</f>
        <v>133747.08451922674</v>
      </c>
      <c r="Z14" s="37">
        <f>'10 Bezpečnosť (cesty) NOV200'!Z26</f>
        <v>134912.2532019708</v>
      </c>
      <c r="AA14" s="37">
        <f>'10 Bezpečnosť (cesty) NOV200'!AA26</f>
        <v>136088.03278175599</v>
      </c>
      <c r="AB14" s="37">
        <f>'10 Bezpečnosť (cesty) NOV200'!AB26</f>
        <v>137274.52826114834</v>
      </c>
      <c r="AC14" s="37">
        <f>'10 Bezpečnosť (cesty) NOV200'!AC26</f>
        <v>138471.84607500103</v>
      </c>
      <c r="AD14" s="37">
        <f>'10 Bezpečnosť (cesty) NOV200'!AD26</f>
        <v>139565.81285470791</v>
      </c>
      <c r="AE14" s="37">
        <f>'10 Bezpečnosť (cesty) NOV200'!AE26</f>
        <v>140668.84418305679</v>
      </c>
      <c r="AF14" s="37">
        <f>'10 Bezpečnosť (cesty) NOV200'!AF26</f>
        <v>141781.02219644934</v>
      </c>
      <c r="AG14" s="37">
        <f>'10 Bezpečnosť (cesty) NOV200'!AG26</f>
        <v>142902.43018595394</v>
      </c>
      <c r="AH14" s="37">
        <f>'10 Bezpečnosť (cesty) NOV200'!AH26</f>
        <v>144033.15198487559</v>
      </c>
      <c r="AI14" s="37">
        <f>'10 Bezpečnosť (cesty) NOV200'!AI26</f>
        <v>145173.2726578259</v>
      </c>
      <c r="AJ14" s="37">
        <f>'10 Bezpečnosť (cesty) NOV200'!AJ26</f>
        <v>146322.87764701547</v>
      </c>
      <c r="AK14" s="37">
        <f>'10 Bezpečnosť (cesty) NOV200'!AK26</f>
        <v>147482.0539277721</v>
      </c>
      <c r="AL14" s="37">
        <f>'10 Bezpečnosť (cesty) NOV200'!AL26</f>
        <v>148650.88898061484</v>
      </c>
      <c r="AM14" s="37">
        <f>'10 Bezpečnosť (cesty) NOV200'!AM26</f>
        <v>149829.47143499838</v>
      </c>
      <c r="AN14" s="37">
        <f>'10 Bezpečnosť (cesty) NOV200'!AN26</f>
        <v>151141.94270402432</v>
      </c>
      <c r="AO14" s="37">
        <f>'10 Bezpečnosť (cesty) NOV200'!AO26</f>
        <v>152466.49964670066</v>
      </c>
      <c r="AP14" s="37">
        <f>'10 Bezpečnosť (cesty) NOV200'!AP26</f>
        <v>153803.2644213103</v>
      </c>
      <c r="AQ14" s="37">
        <f>'10 Bezpečnosť (cesty) NOV200'!AQ26</f>
        <v>155152.36057723023</v>
      </c>
    </row>
    <row r="15" spans="2:43" x14ac:dyDescent="0.2">
      <c r="B15" s="256" t="s">
        <v>203</v>
      </c>
      <c r="C15" s="37">
        <f>D15+NPV(Parametre!$C$10,E15:AQ15)</f>
        <v>265205.28212796495</v>
      </c>
      <c r="D15" s="37">
        <f>SUM(D16:D17)</f>
        <v>0</v>
      </c>
      <c r="E15" s="37">
        <f t="shared" ref="E15:AF15" si="18">SUM(E16:E17)</f>
        <v>0</v>
      </c>
      <c r="F15" s="37">
        <f t="shared" si="18"/>
        <v>0</v>
      </c>
      <c r="G15" s="37">
        <f t="shared" si="18"/>
        <v>10576.173295955005</v>
      </c>
      <c r="H15" s="37">
        <f t="shared" si="18"/>
        <v>20244.122252902383</v>
      </c>
      <c r="I15" s="37">
        <f t="shared" si="18"/>
        <v>24009.194770943759</v>
      </c>
      <c r="J15" s="37">
        <f t="shared" si="18"/>
        <v>24045.60437234597</v>
      </c>
      <c r="K15" s="37">
        <f t="shared" si="18"/>
        <v>23947.458231426972</v>
      </c>
      <c r="L15" s="37">
        <f t="shared" si="18"/>
        <v>23731.558171727214</v>
      </c>
      <c r="M15" s="37">
        <f t="shared" si="18"/>
        <v>23262.91585064161</v>
      </c>
      <c r="N15" s="37">
        <f t="shared" si="18"/>
        <v>22966.304400975445</v>
      </c>
      <c r="O15" s="37">
        <f t="shared" si="18"/>
        <v>22646.476463692212</v>
      </c>
      <c r="P15" s="37">
        <f t="shared" si="18"/>
        <v>22301.064993750992</v>
      </c>
      <c r="Q15" s="37">
        <f t="shared" si="18"/>
        <v>21923.924491978905</v>
      </c>
      <c r="R15" s="37">
        <f t="shared" si="18"/>
        <v>21525.918443078048</v>
      </c>
      <c r="S15" s="37">
        <f t="shared" si="18"/>
        <v>20843.094843291965</v>
      </c>
      <c r="T15" s="37">
        <f t="shared" si="18"/>
        <v>20151.149522724121</v>
      </c>
      <c r="U15" s="37">
        <f t="shared" si="18"/>
        <v>19437.168948023034</v>
      </c>
      <c r="V15" s="37">
        <f t="shared" si="18"/>
        <v>18682.190921424764</v>
      </c>
      <c r="W15" s="37">
        <f t="shared" si="18"/>
        <v>17908.203957262398</v>
      </c>
      <c r="X15" s="37">
        <f t="shared" si="18"/>
        <v>17121.603583839165</v>
      </c>
      <c r="Y15" s="37">
        <f t="shared" si="18"/>
        <v>16320.144994612427</v>
      </c>
      <c r="Z15" s="37">
        <f t="shared" si="18"/>
        <v>15506.167651981959</v>
      </c>
      <c r="AA15" s="37">
        <f t="shared" si="18"/>
        <v>14672.45960131277</v>
      </c>
      <c r="AB15" s="37">
        <f t="shared" si="18"/>
        <v>13829.565540634379</v>
      </c>
      <c r="AC15" s="37">
        <f t="shared" si="18"/>
        <v>12970.163042365231</v>
      </c>
      <c r="AD15" s="37">
        <f t="shared" si="18"/>
        <v>12090.794574763855</v>
      </c>
      <c r="AE15" s="37">
        <f t="shared" si="18"/>
        <v>11201.04551576184</v>
      </c>
      <c r="AF15" s="37">
        <f t="shared" si="18"/>
        <v>10284.287191627805</v>
      </c>
      <c r="AG15" s="37">
        <f t="shared" ref="AG15:AN15" si="19">SUM(AG16:AG17)</f>
        <v>9355.5942281668267</v>
      </c>
      <c r="AH15" s="37">
        <f t="shared" si="19"/>
        <v>8407.8087662718517</v>
      </c>
      <c r="AI15" s="37">
        <f t="shared" si="19"/>
        <v>7448.1344277661665</v>
      </c>
      <c r="AJ15" s="37">
        <f t="shared" si="19"/>
        <v>6470.8640080616251</v>
      </c>
      <c r="AK15" s="37">
        <f t="shared" si="19"/>
        <v>5481.3962987172035</v>
      </c>
      <c r="AL15" s="37">
        <f t="shared" si="19"/>
        <v>4472.4685451338355</v>
      </c>
      <c r="AM15" s="37">
        <f t="shared" si="19"/>
        <v>3452.257785031717</v>
      </c>
      <c r="AN15" s="37">
        <f t="shared" si="19"/>
        <v>2412.0837386057783</v>
      </c>
      <c r="AO15" s="37">
        <f t="shared" ref="AO15:AQ15" si="20">SUM(AO16:AO17)</f>
        <v>0</v>
      </c>
      <c r="AP15" s="37">
        <f t="shared" si="20"/>
        <v>0</v>
      </c>
      <c r="AQ15" s="37">
        <f t="shared" si="20"/>
        <v>0</v>
      </c>
    </row>
    <row r="16" spans="2:43" x14ac:dyDescent="0.2">
      <c r="B16" s="302" t="s">
        <v>425</v>
      </c>
      <c r="C16" s="303">
        <f>D16+NPV(Parametre!$C$10,E16:AQ16)</f>
        <v>0</v>
      </c>
      <c r="D16" s="303">
        <f>'11a Znečisťujúce l.(voz.)NOV200'!D75</f>
        <v>0</v>
      </c>
      <c r="E16" s="303">
        <f>'11a Znečisťujúce l.(voz.)NOV200'!E75</f>
        <v>0</v>
      </c>
      <c r="F16" s="303">
        <f>'11a Znečisťujúce l.(voz.)NOV200'!F75</f>
        <v>0</v>
      </c>
      <c r="G16" s="303">
        <f>'11a Znečisťujúce l.(voz.)NOV200'!G75</f>
        <v>0</v>
      </c>
      <c r="H16" s="303">
        <f>'11a Znečisťujúce l.(voz.)NOV200'!H75</f>
        <v>0</v>
      </c>
      <c r="I16" s="303">
        <f>'11a Znečisťujúce l.(voz.)NOV200'!I75</f>
        <v>0</v>
      </c>
      <c r="J16" s="303">
        <f>'11a Znečisťujúce l.(voz.)NOV200'!J75</f>
        <v>0</v>
      </c>
      <c r="K16" s="303">
        <f>'11a Znečisťujúce l.(voz.)NOV200'!K75</f>
        <v>0</v>
      </c>
      <c r="L16" s="303">
        <f>'11a Znečisťujúce l.(voz.)NOV200'!L75</f>
        <v>0</v>
      </c>
      <c r="M16" s="303">
        <f>'11a Znečisťujúce l.(voz.)NOV200'!M75</f>
        <v>0</v>
      </c>
      <c r="N16" s="303">
        <f>'11a Znečisťujúce l.(voz.)NOV200'!N75</f>
        <v>0</v>
      </c>
      <c r="O16" s="303">
        <f>'11a Znečisťujúce l.(voz.)NOV200'!O75</f>
        <v>0</v>
      </c>
      <c r="P16" s="303">
        <f>'11a Znečisťujúce l.(voz.)NOV200'!P75</f>
        <v>0</v>
      </c>
      <c r="Q16" s="303">
        <f>'11a Znečisťujúce l.(voz.)NOV200'!Q75</f>
        <v>0</v>
      </c>
      <c r="R16" s="303">
        <f>'11a Znečisťujúce l.(voz.)NOV200'!R75</f>
        <v>0</v>
      </c>
      <c r="S16" s="303">
        <f>'11a Znečisťujúce l.(voz.)NOV200'!S75</f>
        <v>0</v>
      </c>
      <c r="T16" s="303">
        <f>'11a Znečisťujúce l.(voz.)NOV200'!T75</f>
        <v>0</v>
      </c>
      <c r="U16" s="303">
        <f>'11a Znečisťujúce l.(voz.)NOV200'!U75</f>
        <v>0</v>
      </c>
      <c r="V16" s="303">
        <f>'11a Znečisťujúce l.(voz.)NOV200'!V75</f>
        <v>0</v>
      </c>
      <c r="W16" s="303">
        <f>'11a Znečisťujúce l.(voz.)NOV200'!W75</f>
        <v>0</v>
      </c>
      <c r="X16" s="303">
        <f>'11a Znečisťujúce l.(voz.)NOV200'!X75</f>
        <v>0</v>
      </c>
      <c r="Y16" s="303">
        <f>'11a Znečisťujúce l.(voz.)NOV200'!Y75</f>
        <v>0</v>
      </c>
      <c r="Z16" s="303">
        <f>'11a Znečisťujúce l.(voz.)NOV200'!Z75</f>
        <v>0</v>
      </c>
      <c r="AA16" s="303">
        <f>'11a Znečisťujúce l.(voz.)NOV200'!AA75</f>
        <v>0</v>
      </c>
      <c r="AB16" s="303">
        <f>'11a Znečisťujúce l.(voz.)NOV200'!AB75</f>
        <v>0</v>
      </c>
      <c r="AC16" s="303">
        <f>'11a Znečisťujúce l.(voz.)NOV200'!AC75</f>
        <v>0</v>
      </c>
      <c r="AD16" s="303">
        <f>'11a Znečisťujúce l.(voz.)NOV200'!AD75</f>
        <v>0</v>
      </c>
      <c r="AE16" s="303">
        <f>'11a Znečisťujúce l.(voz.)NOV200'!AE75</f>
        <v>0</v>
      </c>
      <c r="AF16" s="303">
        <f>'11a Znečisťujúce l.(voz.)NOV200'!AF75</f>
        <v>0</v>
      </c>
      <c r="AG16" s="303">
        <f>'11a Znečisťujúce l.(voz.)NOV200'!AG75</f>
        <v>0</v>
      </c>
      <c r="AH16" s="303">
        <f>'11a Znečisťujúce l.(voz.)NOV200'!AH75</f>
        <v>0</v>
      </c>
      <c r="AI16" s="303">
        <f>'11a Znečisťujúce l.(voz.)NOV200'!AI75</f>
        <v>0</v>
      </c>
      <c r="AJ16" s="303">
        <f>'11a Znečisťujúce l.(voz.)NOV200'!AJ75</f>
        <v>0</v>
      </c>
      <c r="AK16" s="303">
        <f>'11a Znečisťujúce l.(voz.)NOV200'!AK75</f>
        <v>0</v>
      </c>
      <c r="AL16" s="303">
        <f>'11a Znečisťujúce l.(voz.)NOV200'!AL75</f>
        <v>0</v>
      </c>
      <c r="AM16" s="303">
        <f>'11a Znečisťujúce l.(voz.)NOV200'!AM75</f>
        <v>0</v>
      </c>
      <c r="AN16" s="303">
        <f>'11a Znečisťujúce l.(voz.)NOV200'!AN75</f>
        <v>0</v>
      </c>
      <c r="AO16" s="303">
        <f>'11a Znečisťujúce l.(voz.)NOV200'!AO75</f>
        <v>0</v>
      </c>
      <c r="AP16" s="303">
        <f>'11a Znečisťujúce l.(voz.)NOV200'!AP75</f>
        <v>0</v>
      </c>
      <c r="AQ16" s="303">
        <f>'11a Znečisťujúce l.(voz.)NOV200'!AQ75</f>
        <v>0</v>
      </c>
    </row>
    <row r="17" spans="2:43" x14ac:dyDescent="0.2">
      <c r="B17" s="302" t="s">
        <v>426</v>
      </c>
      <c r="C17" s="303">
        <f>D17+NPV(Parametre!$C$10,E17:AQ17)</f>
        <v>265205.28212796495</v>
      </c>
      <c r="D17" s="303">
        <f>'11b Znečisť. l.(cesty)NOV200'!D51</f>
        <v>0</v>
      </c>
      <c r="E17" s="303">
        <f>'11b Znečisť. l.(cesty)NOV200'!E51</f>
        <v>0</v>
      </c>
      <c r="F17" s="303">
        <f>'11b Znečisť. l.(cesty)NOV200'!F51</f>
        <v>0</v>
      </c>
      <c r="G17" s="303">
        <f>'11b Znečisť. l.(cesty)NOV200'!G51</f>
        <v>10576.173295955005</v>
      </c>
      <c r="H17" s="303">
        <f>'11b Znečisť. l.(cesty)NOV200'!H51</f>
        <v>20244.122252902383</v>
      </c>
      <c r="I17" s="303">
        <f>'11b Znečisť. l.(cesty)NOV200'!I51</f>
        <v>24009.194770943759</v>
      </c>
      <c r="J17" s="303">
        <f>'11b Znečisť. l.(cesty)NOV200'!J51</f>
        <v>24045.60437234597</v>
      </c>
      <c r="K17" s="303">
        <f>'11b Znečisť. l.(cesty)NOV200'!K51</f>
        <v>23947.458231426972</v>
      </c>
      <c r="L17" s="303">
        <f>'11b Znečisť. l.(cesty)NOV200'!L51</f>
        <v>23731.558171727214</v>
      </c>
      <c r="M17" s="303">
        <f>'11b Znečisť. l.(cesty)NOV200'!M51</f>
        <v>23262.91585064161</v>
      </c>
      <c r="N17" s="303">
        <f>'11b Znečisť. l.(cesty)NOV200'!N51</f>
        <v>22966.304400975445</v>
      </c>
      <c r="O17" s="303">
        <f>'11b Znečisť. l.(cesty)NOV200'!O51</f>
        <v>22646.476463692212</v>
      </c>
      <c r="P17" s="303">
        <f>'11b Znečisť. l.(cesty)NOV200'!P51</f>
        <v>22301.064993750992</v>
      </c>
      <c r="Q17" s="303">
        <f>'11b Znečisť. l.(cesty)NOV200'!Q51</f>
        <v>21923.924491978905</v>
      </c>
      <c r="R17" s="303">
        <f>'11b Znečisť. l.(cesty)NOV200'!R51</f>
        <v>21525.918443078048</v>
      </c>
      <c r="S17" s="303">
        <f>'11b Znečisť. l.(cesty)NOV200'!S51</f>
        <v>20843.094843291965</v>
      </c>
      <c r="T17" s="303">
        <f>'11b Znečisť. l.(cesty)NOV200'!T51</f>
        <v>20151.149522724121</v>
      </c>
      <c r="U17" s="303">
        <f>'11b Znečisť. l.(cesty)NOV200'!U51</f>
        <v>19437.168948023034</v>
      </c>
      <c r="V17" s="303">
        <f>'11b Znečisť. l.(cesty)NOV200'!V51</f>
        <v>18682.190921424764</v>
      </c>
      <c r="W17" s="303">
        <f>'11b Znečisť. l.(cesty)NOV200'!W51</f>
        <v>17908.203957262398</v>
      </c>
      <c r="X17" s="303">
        <f>'11b Znečisť. l.(cesty)NOV200'!X51</f>
        <v>17121.603583839165</v>
      </c>
      <c r="Y17" s="303">
        <f>'11b Znečisť. l.(cesty)NOV200'!Y51</f>
        <v>16320.144994612427</v>
      </c>
      <c r="Z17" s="303">
        <f>'11b Znečisť. l.(cesty)NOV200'!Z51</f>
        <v>15506.167651981959</v>
      </c>
      <c r="AA17" s="303">
        <f>'11b Znečisť. l.(cesty)NOV200'!AA51</f>
        <v>14672.45960131277</v>
      </c>
      <c r="AB17" s="303">
        <f>'11b Znečisť. l.(cesty)NOV200'!AB51</f>
        <v>13829.565540634379</v>
      </c>
      <c r="AC17" s="303">
        <f>'11b Znečisť. l.(cesty)NOV200'!AC51</f>
        <v>12970.163042365231</v>
      </c>
      <c r="AD17" s="303">
        <f>'11b Znečisť. l.(cesty)NOV200'!AD51</f>
        <v>12090.794574763855</v>
      </c>
      <c r="AE17" s="303">
        <f>'11b Znečisť. l.(cesty)NOV200'!AE51</f>
        <v>11201.04551576184</v>
      </c>
      <c r="AF17" s="303">
        <f>'11b Znečisť. l.(cesty)NOV200'!AF51</f>
        <v>10284.287191627805</v>
      </c>
      <c r="AG17" s="303">
        <f>'11b Znečisť. l.(cesty)NOV200'!AG51</f>
        <v>9355.5942281668267</v>
      </c>
      <c r="AH17" s="303">
        <f>'11b Znečisť. l.(cesty)NOV200'!AH51</f>
        <v>8407.8087662718517</v>
      </c>
      <c r="AI17" s="303">
        <f>'11b Znečisť. l.(cesty)NOV200'!AI51</f>
        <v>7448.1344277661665</v>
      </c>
      <c r="AJ17" s="303">
        <f>'11b Znečisť. l.(cesty)NOV200'!AJ51</f>
        <v>6470.8640080616251</v>
      </c>
      <c r="AK17" s="303">
        <f>'11b Znečisť. l.(cesty)NOV200'!AK51</f>
        <v>5481.3962987172035</v>
      </c>
      <c r="AL17" s="303">
        <f>'11b Znečisť. l.(cesty)NOV200'!AL51</f>
        <v>4472.4685451338355</v>
      </c>
      <c r="AM17" s="303">
        <f>'11b Znečisť. l.(cesty)NOV200'!AM51</f>
        <v>3452.257785031717</v>
      </c>
      <c r="AN17" s="303">
        <f>'11b Znečisť. l.(cesty)NOV200'!AN51</f>
        <v>2412.0837386057783</v>
      </c>
      <c r="AO17" s="303">
        <f>'11b Znečisť. l.(cesty)NOV200'!AO51</f>
        <v>0</v>
      </c>
      <c r="AP17" s="303">
        <f>'11b Znečisť. l.(cesty)NOV200'!AP51</f>
        <v>0</v>
      </c>
      <c r="AQ17" s="303">
        <f>'11b Znečisť. l.(cesty)NOV200'!AQ51</f>
        <v>0</v>
      </c>
    </row>
    <row r="18" spans="2:43" x14ac:dyDescent="0.2">
      <c r="B18" s="256" t="s">
        <v>204</v>
      </c>
      <c r="C18" s="37">
        <f>D18+NPV(Parametre!$C$10,E18:AQ18)</f>
        <v>-9612108.4950485993</v>
      </c>
      <c r="D18" s="37">
        <f>SUM(D19:D20)</f>
        <v>0</v>
      </c>
      <c r="E18" s="37">
        <f t="shared" ref="E18:AF18" si="21">SUM(E19:E20)</f>
        <v>0</v>
      </c>
      <c r="F18" s="37">
        <f t="shared" si="21"/>
        <v>0</v>
      </c>
      <c r="G18" s="37">
        <f t="shared" si="21"/>
        <v>-99498.64122022831</v>
      </c>
      <c r="H18" s="37">
        <f t="shared" si="21"/>
        <v>-219352.80604388588</v>
      </c>
      <c r="I18" s="37">
        <f t="shared" si="21"/>
        <v>-275685.00917557115</v>
      </c>
      <c r="J18" s="37">
        <f t="shared" si="21"/>
        <v>-296390.39869458438</v>
      </c>
      <c r="K18" s="37">
        <f t="shared" si="21"/>
        <v>-330619.89708916622</v>
      </c>
      <c r="L18" s="37">
        <f t="shared" si="21"/>
        <v>-365359.70975655515</v>
      </c>
      <c r="M18" s="37">
        <f t="shared" si="21"/>
        <v>-401180.49620329612</v>
      </c>
      <c r="N18" s="37">
        <f t="shared" si="21"/>
        <v>-436705.13999966666</v>
      </c>
      <c r="O18" s="37">
        <f t="shared" si="21"/>
        <v>-472411.06474650186</v>
      </c>
      <c r="P18" s="37">
        <f t="shared" si="21"/>
        <v>-507416.07276629523</v>
      </c>
      <c r="Q18" s="37">
        <f t="shared" si="21"/>
        <v>-542790.73707101808</v>
      </c>
      <c r="R18" s="37">
        <f t="shared" si="21"/>
        <v>-578521.31942443317</v>
      </c>
      <c r="S18" s="37">
        <f t="shared" si="21"/>
        <v>-616224.53741771146</v>
      </c>
      <c r="T18" s="37">
        <f t="shared" si="21"/>
        <v>-654294.5097921266</v>
      </c>
      <c r="U18" s="37">
        <f t="shared" si="21"/>
        <v>-692937.20773802488</v>
      </c>
      <c r="V18" s="37">
        <f t="shared" si="21"/>
        <v>-732028.5891375253</v>
      </c>
      <c r="W18" s="37">
        <f t="shared" si="21"/>
        <v>-771600.28877969622</v>
      </c>
      <c r="X18" s="37">
        <f t="shared" si="21"/>
        <v>-811613.5732188425</v>
      </c>
      <c r="Y18" s="37">
        <f t="shared" si="21"/>
        <v>-852010.96734066121</v>
      </c>
      <c r="Z18" s="37">
        <f t="shared" si="21"/>
        <v>-894235.11485155649</v>
      </c>
      <c r="AA18" s="37">
        <f t="shared" si="21"/>
        <v>-936949.33607462677</v>
      </c>
      <c r="AB18" s="37">
        <f t="shared" si="21"/>
        <v>-980108.52963960974</v>
      </c>
      <c r="AC18" s="37">
        <f t="shared" si="21"/>
        <v>-1023730.6367047239</v>
      </c>
      <c r="AD18" s="37">
        <f t="shared" si="21"/>
        <v>-1067646.0086365773</v>
      </c>
      <c r="AE18" s="37">
        <f t="shared" si="21"/>
        <v>-1085686.2531040378</v>
      </c>
      <c r="AF18" s="37">
        <f t="shared" si="21"/>
        <v>-1103189.8823704734</v>
      </c>
      <c r="AG18" s="37">
        <f t="shared" ref="AG18:AN18" si="22">SUM(AG19:AG20)</f>
        <v>-1120872.7505874047</v>
      </c>
      <c r="AH18" s="37">
        <f t="shared" si="22"/>
        <v>-1138784.7842070856</v>
      </c>
      <c r="AI18" s="37">
        <f t="shared" si="22"/>
        <v>-1156877.9244867365</v>
      </c>
      <c r="AJ18" s="37">
        <f t="shared" si="22"/>
        <v>-1175202.8205153299</v>
      </c>
      <c r="AK18" s="37">
        <f t="shared" si="22"/>
        <v>-1193710.6400788166</v>
      </c>
      <c r="AL18" s="37">
        <f t="shared" si="22"/>
        <v>-1212452.7652910845</v>
      </c>
      <c r="AM18" s="37">
        <f t="shared" si="22"/>
        <v>-1231379.5806503133</v>
      </c>
      <c r="AN18" s="37">
        <f t="shared" si="22"/>
        <v>-1250543.2115210539</v>
      </c>
      <c r="AO18" s="37">
        <f t="shared" ref="AO18:AQ18" si="23">SUM(AO19:AO20)</f>
        <v>-1269893.2494549034</v>
      </c>
      <c r="AP18" s="37">
        <f t="shared" si="23"/>
        <v>-1290509.0677768411</v>
      </c>
      <c r="AQ18" s="37">
        <f t="shared" si="23"/>
        <v>-1306030.8220264926</v>
      </c>
    </row>
    <row r="19" spans="2:43" x14ac:dyDescent="0.2">
      <c r="B19" s="302" t="s">
        <v>425</v>
      </c>
      <c r="C19" s="303">
        <f>D19+NPV(Parametre!$C$10,E19:AQ19)</f>
        <v>-11176640.732796004</v>
      </c>
      <c r="D19" s="303">
        <f>'12a Skleníkové p. (voz.)NOV200'!D72</f>
        <v>0</v>
      </c>
      <c r="E19" s="303">
        <f>'12a Skleníkové p. (voz.)NOV200'!E72</f>
        <v>0</v>
      </c>
      <c r="F19" s="303">
        <f>'12a Skleníkové p. (voz.)NOV200'!F72</f>
        <v>0</v>
      </c>
      <c r="G19" s="303">
        <f>'12a Skleníkové p. (voz.)NOV200'!G72</f>
        <v>-127964.89823040007</v>
      </c>
      <c r="H19" s="303">
        <f>'12a Skleníkové p. (voz.)NOV200'!H72</f>
        <v>-277808.85233640013</v>
      </c>
      <c r="I19" s="303">
        <f>'12a Skleníkové p. (voz.)NOV200'!I72</f>
        <v>-349635.89291399985</v>
      </c>
      <c r="J19" s="303">
        <f>'12a Skleníkové p. (voz.)NOV200'!J72</f>
        <v>-375161.45810219983</v>
      </c>
      <c r="K19" s="303">
        <f>'12a Skleníkové p. (voz.)NOV200'!K72</f>
        <v>-417203.56547099986</v>
      </c>
      <c r="L19" s="303">
        <f>'12a Skleníkové p. (voz.)NOV200'!L72</f>
        <v>-459245.67283979984</v>
      </c>
      <c r="M19" s="303">
        <f>'12a Skleníkové p. (voz.)NOV200'!M72</f>
        <v>-501287.78020859981</v>
      </c>
      <c r="N19" s="303">
        <f>'12a Skleníkové p. (voz.)NOV200'!N72</f>
        <v>-543329.88757739984</v>
      </c>
      <c r="O19" s="303">
        <f>'12a Skleníkové p. (voz.)NOV200'!O72</f>
        <v>-585157.49439839984</v>
      </c>
      <c r="P19" s="303">
        <f>'12a Skleníkové p. (voz.)NOV200'!P72</f>
        <v>-625698.09793259983</v>
      </c>
      <c r="Q19" s="303">
        <f>'12a Skleníkové p. (voz.)NOV200'!Q72</f>
        <v>-666238.70146679983</v>
      </c>
      <c r="R19" s="303">
        <f>'12a Skleníkové p. (voz.)NOV200'!R72</f>
        <v>-706779.30500099971</v>
      </c>
      <c r="S19" s="303">
        <f>'12a Skleníkové p. (voz.)NOV200'!S72</f>
        <v>-747319.90853519959</v>
      </c>
      <c r="T19" s="303">
        <f>'12a Skleníkové p. (voz.)NOV200'!T72</f>
        <v>-787753.26179549971</v>
      </c>
      <c r="U19" s="303">
        <f>'12a Skleníkové p. (voz.)NOV200'!U72</f>
        <v>-828293.86532969959</v>
      </c>
      <c r="V19" s="303">
        <f>'12a Skleníkové p. (voz.)NOV200'!V72</f>
        <v>-868834.4688638997</v>
      </c>
      <c r="W19" s="303">
        <f>'12a Skleníkové p. (voz.)NOV200'!W72</f>
        <v>-909375.0723980997</v>
      </c>
      <c r="X19" s="303">
        <f>'12a Skleníkové p. (voz.)NOV200'!X72</f>
        <v>-949915.67593229969</v>
      </c>
      <c r="Y19" s="303">
        <f>'12a Skleníkové p. (voz.)NOV200'!Y72</f>
        <v>-990349.0291925997</v>
      </c>
      <c r="Z19" s="303">
        <f>'12a Skleníkové p. (voz.)NOV200'!Z72</f>
        <v>-1032391.1365613996</v>
      </c>
      <c r="AA19" s="303">
        <f>'12a Skleníkové p. (voz.)NOV200'!AA72</f>
        <v>-1074433.2439301996</v>
      </c>
      <c r="AB19" s="303">
        <f>'12a Skleníkové p. (voz.)NOV200'!AB72</f>
        <v>-1116475.3512989995</v>
      </c>
      <c r="AC19" s="303">
        <f>'12a Skleníkové p. (voz.)NOV200'!AC72</f>
        <v>-1158517.4586677996</v>
      </c>
      <c r="AD19" s="303">
        <f>'12a Skleníkové p. (voz.)NOV200'!AD72</f>
        <v>-1200345.0654887995</v>
      </c>
      <c r="AE19" s="303">
        <f>'12a Skleníkové p. (voz.)NOV200'!AE72</f>
        <v>-1212786.0972611995</v>
      </c>
      <c r="AF19" s="303">
        <f>'12a Skleníkové p. (voz.)NOV200'!AF72</f>
        <v>-1224476.3771162997</v>
      </c>
      <c r="AG19" s="303">
        <f>'12a Skleníkové p. (voz.)NOV200'!AG72</f>
        <v>-1236273.9072452995</v>
      </c>
      <c r="AH19" s="303">
        <f>'12a Skleníkové p. (voz.)NOV200'!AH72</f>
        <v>-1248178.6876481995</v>
      </c>
      <c r="AI19" s="303">
        <f>'12a Skleníkové p. (voz.)NOV200'!AI72</f>
        <v>-1260190.7183249996</v>
      </c>
      <c r="AJ19" s="303">
        <f>'12a Skleníkové p. (voz.)NOV200'!AJ72</f>
        <v>-1272309.9992756995</v>
      </c>
      <c r="AK19" s="303">
        <f>'12a Skleníkové p. (voz.)NOV200'!AK72</f>
        <v>-1284536.5305002995</v>
      </c>
      <c r="AL19" s="303">
        <f>'12a Skleníkové p. (voz.)NOV200'!AL72</f>
        <v>-1296870.3119987997</v>
      </c>
      <c r="AM19" s="303">
        <f>'12a Skleníkové p. (voz.)NOV200'!AM72</f>
        <v>-1309311.3437711995</v>
      </c>
      <c r="AN19" s="303">
        <f>'12a Skleníkové p. (voz.)NOV200'!AN72</f>
        <v>-1321859.6258174994</v>
      </c>
      <c r="AO19" s="303">
        <f>'12a Skleníkové p. (voz.)NOV200'!AO72</f>
        <v>-1334515.1581376994</v>
      </c>
      <c r="AP19" s="303">
        <f>'12a Skleníkové p. (voz.)NOV200'!AP72</f>
        <v>-1348350.4434707994</v>
      </c>
      <c r="AQ19" s="303">
        <f>'12a Skleníkové p. (voz.)NOV200'!AQ72</f>
        <v>-1362400.2293516994</v>
      </c>
    </row>
    <row r="20" spans="2:43" x14ac:dyDescent="0.2">
      <c r="B20" s="302" t="s">
        <v>426</v>
      </c>
      <c r="C20" s="303">
        <f>D20+NPV(Parametre!$C$10,E20:AQ20)</f>
        <v>1564532.2377474098</v>
      </c>
      <c r="D20" s="303">
        <f>'12b Skleník. p. (cesty)NOV200'!D35</f>
        <v>0</v>
      </c>
      <c r="E20" s="303">
        <f>'12b Skleník. p. (cesty)NOV200'!E35</f>
        <v>0</v>
      </c>
      <c r="F20" s="303">
        <f>'12b Skleník. p. (cesty)NOV200'!F35</f>
        <v>0</v>
      </c>
      <c r="G20" s="303">
        <f>'12b Skleník. p. (cesty)NOV200'!G35</f>
        <v>28466.257010171757</v>
      </c>
      <c r="H20" s="303">
        <f>'12b Skleník. p. (cesty)NOV200'!H35</f>
        <v>58456.046292514256</v>
      </c>
      <c r="I20" s="303">
        <f>'12b Skleník. p. (cesty)NOV200'!I35</f>
        <v>73950.883738428733</v>
      </c>
      <c r="J20" s="303">
        <f>'12b Skleník. p. (cesty)NOV200'!J35</f>
        <v>78771.059407615423</v>
      </c>
      <c r="K20" s="303">
        <f>'12b Skleník. p. (cesty)NOV200'!K35</f>
        <v>86583.668381833675</v>
      </c>
      <c r="L20" s="303">
        <f>'12b Skleník. p. (cesty)NOV200'!L35</f>
        <v>93885.963083244656</v>
      </c>
      <c r="M20" s="303">
        <f>'12b Skleník. p. (cesty)NOV200'!M35</f>
        <v>100107.28400530368</v>
      </c>
      <c r="N20" s="303">
        <f>'12b Skleník. p. (cesty)NOV200'!N35</f>
        <v>106624.74757773317</v>
      </c>
      <c r="O20" s="303">
        <f>'12b Skleník. p. (cesty)NOV200'!O35</f>
        <v>112746.429651898</v>
      </c>
      <c r="P20" s="303">
        <f>'12b Skleník. p. (cesty)NOV200'!P35</f>
        <v>118282.02516630459</v>
      </c>
      <c r="Q20" s="303">
        <f>'12b Skleník. p. (cesty)NOV200'!Q35</f>
        <v>123447.96439578178</v>
      </c>
      <c r="R20" s="303">
        <f>'12b Skleník. p. (cesty)NOV200'!R35</f>
        <v>128257.98557656657</v>
      </c>
      <c r="S20" s="303">
        <f>'12b Skleník. p. (cesty)NOV200'!S35</f>
        <v>131095.37111748819</v>
      </c>
      <c r="T20" s="303">
        <f>'12b Skleník. p. (cesty)NOV200'!T35</f>
        <v>133458.75200337308</v>
      </c>
      <c r="U20" s="303">
        <f>'12b Skleník. p. (cesty)NOV200'!U35</f>
        <v>135356.65759167471</v>
      </c>
      <c r="V20" s="303">
        <f>'12b Skleník. p. (cesty)NOV200'!V35</f>
        <v>136805.87972637438</v>
      </c>
      <c r="W20" s="303">
        <f>'12b Skleník. p. (cesty)NOV200'!W35</f>
        <v>137774.78361840342</v>
      </c>
      <c r="X20" s="303">
        <f>'12b Skleník. p. (cesty)NOV200'!X35</f>
        <v>138302.10271345716</v>
      </c>
      <c r="Y20" s="303">
        <f>'12b Skleník. p. (cesty)NOV200'!Y35</f>
        <v>138338.06185193852</v>
      </c>
      <c r="Z20" s="303">
        <f>'12b Skleník. p. (cesty)NOV200'!Z35</f>
        <v>138156.02170984313</v>
      </c>
      <c r="AA20" s="303">
        <f>'12b Skleník. p. (cesty)NOV200'!AA35</f>
        <v>137483.90785557288</v>
      </c>
      <c r="AB20" s="303">
        <f>'12b Skleník. p. (cesty)NOV200'!AB35</f>
        <v>136366.82165938977</v>
      </c>
      <c r="AC20" s="303">
        <f>'12b Skleník. p. (cesty)NOV200'!AC35</f>
        <v>134786.82196307564</v>
      </c>
      <c r="AD20" s="303">
        <f>'12b Skleník. p. (cesty)NOV200'!AD35</f>
        <v>132699.05685222222</v>
      </c>
      <c r="AE20" s="303">
        <f>'12b Skleník. p. (cesty)NOV200'!AE35</f>
        <v>127099.84415716164</v>
      </c>
      <c r="AF20" s="303">
        <f>'12b Skleník. p. (cesty)NOV200'!AF35</f>
        <v>121286.49474582626</v>
      </c>
      <c r="AG20" s="303">
        <f>'12b Skleník. p. (cesty)NOV200'!AG35</f>
        <v>115401.15665789484</v>
      </c>
      <c r="AH20" s="303">
        <f>'12b Skleník. p. (cesty)NOV200'!AH35</f>
        <v>109393.90344111394</v>
      </c>
      <c r="AI20" s="303">
        <f>'12b Skleník. p. (cesty)NOV200'!AI35</f>
        <v>103312.79383826313</v>
      </c>
      <c r="AJ20" s="303">
        <f>'12b Skleník. p. (cesty)NOV200'!AJ35</f>
        <v>97107.178760369512</v>
      </c>
      <c r="AK20" s="303">
        <f>'12b Skleník. p. (cesty)NOV200'!AK35</f>
        <v>90825.890421483011</v>
      </c>
      <c r="AL20" s="303">
        <f>'12b Skleník. p. (cesty)NOV200'!AL35</f>
        <v>84417.546707715199</v>
      </c>
      <c r="AM20" s="303">
        <f>'12b Skleník. p. (cesty)NOV200'!AM35</f>
        <v>77931.763120886128</v>
      </c>
      <c r="AN20" s="303">
        <f>'12b Skleník. p. (cesty)NOV200'!AN35</f>
        <v>71316.414296445466</v>
      </c>
      <c r="AO20" s="303">
        <f>'12b Skleník. p. (cesty)NOV200'!AO35</f>
        <v>64621.908682796027</v>
      </c>
      <c r="AP20" s="303">
        <f>'12b Skleník. p. (cesty)NOV200'!AP35</f>
        <v>57841.375693958144</v>
      </c>
      <c r="AQ20" s="303">
        <f>'12b Skleník. p. (cesty)NOV200'!AQ35</f>
        <v>56369.407325206805</v>
      </c>
    </row>
    <row r="21" spans="2:43" x14ac:dyDescent="0.2">
      <c r="B21" s="256" t="s">
        <v>205</v>
      </c>
      <c r="C21" s="37">
        <f>D21+NPV(Parametre!$C$10,E21:AQ21)</f>
        <v>3129.3736584935182</v>
      </c>
      <c r="D21" s="37">
        <f>SUM(D22:D23)</f>
        <v>0</v>
      </c>
      <c r="E21" s="37">
        <f t="shared" ref="E21:AF21" si="24">SUM(E22:E23)</f>
        <v>0</v>
      </c>
      <c r="F21" s="37">
        <f t="shared" si="24"/>
        <v>0</v>
      </c>
      <c r="G21" s="37">
        <f t="shared" si="24"/>
        <v>74.210061849212195</v>
      </c>
      <c r="H21" s="37">
        <f t="shared" si="24"/>
        <v>143.84556202494704</v>
      </c>
      <c r="I21" s="37">
        <f t="shared" si="24"/>
        <v>173.61878275071464</v>
      </c>
      <c r="J21" s="37">
        <f t="shared" si="24"/>
        <v>178.07834371920816</v>
      </c>
      <c r="K21" s="37">
        <f t="shared" si="24"/>
        <v>182.60973402880094</v>
      </c>
      <c r="L21" s="37">
        <f t="shared" si="24"/>
        <v>187.21394431021901</v>
      </c>
      <c r="M21" s="37">
        <f t="shared" si="24"/>
        <v>191.891977823861</v>
      </c>
      <c r="N21" s="37">
        <f t="shared" si="24"/>
        <v>196.64485061333113</v>
      </c>
      <c r="O21" s="37">
        <f t="shared" si="24"/>
        <v>201.47359166082032</v>
      </c>
      <c r="P21" s="37">
        <f t="shared" si="24"/>
        <v>206.37924304419684</v>
      </c>
      <c r="Q21" s="37">
        <f t="shared" si="24"/>
        <v>211.36286009607551</v>
      </c>
      <c r="R21" s="37">
        <f t="shared" si="24"/>
        <v>216.42551156469909</v>
      </c>
      <c r="S21" s="37">
        <f t="shared" si="24"/>
        <v>218.9357853634684</v>
      </c>
      <c r="T21" s="37">
        <f t="shared" si="24"/>
        <v>221.43515236500861</v>
      </c>
      <c r="U21" s="37">
        <f t="shared" si="24"/>
        <v>223.92364615540839</v>
      </c>
      <c r="V21" s="37">
        <f t="shared" si="24"/>
        <v>226.40130023003084</v>
      </c>
      <c r="W21" s="37">
        <f t="shared" si="24"/>
        <v>228.86814799376188</v>
      </c>
      <c r="X21" s="37">
        <f t="shared" si="24"/>
        <v>231.32422276125544</v>
      </c>
      <c r="Y21" s="37">
        <f t="shared" si="24"/>
        <v>233.76955775709092</v>
      </c>
      <c r="Z21" s="37">
        <f t="shared" si="24"/>
        <v>236.20418611600363</v>
      </c>
      <c r="AA21" s="37">
        <f t="shared" si="24"/>
        <v>238.62814088330708</v>
      </c>
      <c r="AB21" s="37">
        <f t="shared" si="24"/>
        <v>241.04145501477407</v>
      </c>
      <c r="AC21" s="37">
        <f t="shared" si="24"/>
        <v>243.44416137717553</v>
      </c>
      <c r="AD21" s="37">
        <f t="shared" si="24"/>
        <v>245.83629274826265</v>
      </c>
      <c r="AE21" s="37">
        <f t="shared" si="24"/>
        <v>248.21788181725145</v>
      </c>
      <c r="AF21" s="37">
        <f t="shared" si="24"/>
        <v>250.58896118480206</v>
      </c>
      <c r="AG21" s="37">
        <f t="shared" ref="AG21:AN21" si="25">SUM(AG22:AG23)</f>
        <v>252.9495633632994</v>
      </c>
      <c r="AH21" s="37">
        <f t="shared" si="25"/>
        <v>255.29972077728772</v>
      </c>
      <c r="AI21" s="37">
        <f t="shared" si="25"/>
        <v>257.63946576335849</v>
      </c>
      <c r="AJ21" s="37">
        <f t="shared" si="25"/>
        <v>259.96883057060131</v>
      </c>
      <c r="AK21" s="37">
        <f t="shared" si="25"/>
        <v>262.28784736074493</v>
      </c>
      <c r="AL21" s="37">
        <f t="shared" si="25"/>
        <v>264.59654820839256</v>
      </c>
      <c r="AM21" s="37">
        <f t="shared" si="25"/>
        <v>266.8949651013113</v>
      </c>
      <c r="AN21" s="37">
        <f t="shared" si="25"/>
        <v>269.1831299403957</v>
      </c>
      <c r="AO21" s="37">
        <f t="shared" ref="AO21:AQ21" si="26">SUM(AO22:AO23)</f>
        <v>271.46107454032335</v>
      </c>
      <c r="AP21" s="37">
        <f t="shared" si="26"/>
        <v>273.72883062931038</v>
      </c>
      <c r="AQ21" s="37">
        <f t="shared" si="26"/>
        <v>275.98642984964323</v>
      </c>
    </row>
    <row r="22" spans="2:43" x14ac:dyDescent="0.2">
      <c r="B22" s="302" t="s">
        <v>425</v>
      </c>
      <c r="C22" s="303">
        <f>D22+NPV(Parametre!$C$10,E22:AQ22)</f>
        <v>0</v>
      </c>
      <c r="D22" s="303">
        <f>'13a Hluk (voz.)NOV200'!D35</f>
        <v>0</v>
      </c>
      <c r="E22" s="303">
        <f>'13a Hluk (voz.)NOV200'!E35</f>
        <v>0</v>
      </c>
      <c r="F22" s="303">
        <f>'13a Hluk (voz.)NOV200'!F35</f>
        <v>0</v>
      </c>
      <c r="G22" s="303">
        <f>'13a Hluk (voz.)NOV200'!G35</f>
        <v>0</v>
      </c>
      <c r="H22" s="303">
        <f>'13a Hluk (voz.)NOV200'!H35</f>
        <v>0</v>
      </c>
      <c r="I22" s="303">
        <f>'13a Hluk (voz.)NOV200'!I35</f>
        <v>0</v>
      </c>
      <c r="J22" s="303">
        <f>'13a Hluk (voz.)NOV200'!J35</f>
        <v>0</v>
      </c>
      <c r="K22" s="303">
        <f>'13a Hluk (voz.)NOV200'!K35</f>
        <v>0</v>
      </c>
      <c r="L22" s="303">
        <f>'13a Hluk (voz.)NOV200'!L35</f>
        <v>0</v>
      </c>
      <c r="M22" s="303">
        <f>'13a Hluk (voz.)NOV200'!M35</f>
        <v>0</v>
      </c>
      <c r="N22" s="303">
        <f>'13a Hluk (voz.)NOV200'!N35</f>
        <v>0</v>
      </c>
      <c r="O22" s="303">
        <f>'13a Hluk (voz.)NOV200'!O35</f>
        <v>0</v>
      </c>
      <c r="P22" s="303">
        <f>'13a Hluk (voz.)NOV200'!P35</f>
        <v>0</v>
      </c>
      <c r="Q22" s="303">
        <f>'13a Hluk (voz.)NOV200'!Q35</f>
        <v>0</v>
      </c>
      <c r="R22" s="303">
        <f>'13a Hluk (voz.)NOV200'!R35</f>
        <v>0</v>
      </c>
      <c r="S22" s="303">
        <f>'13a Hluk (voz.)NOV200'!S35</f>
        <v>0</v>
      </c>
      <c r="T22" s="303">
        <f>'13a Hluk (voz.)NOV200'!T35</f>
        <v>0</v>
      </c>
      <c r="U22" s="303">
        <f>'13a Hluk (voz.)NOV200'!U35</f>
        <v>0</v>
      </c>
      <c r="V22" s="303">
        <f>'13a Hluk (voz.)NOV200'!V35</f>
        <v>0</v>
      </c>
      <c r="W22" s="303">
        <f>'13a Hluk (voz.)NOV200'!W35</f>
        <v>0</v>
      </c>
      <c r="X22" s="303">
        <f>'13a Hluk (voz.)NOV200'!X35</f>
        <v>0</v>
      </c>
      <c r="Y22" s="303">
        <f>'13a Hluk (voz.)NOV200'!Y35</f>
        <v>0</v>
      </c>
      <c r="Z22" s="303">
        <f>'13a Hluk (voz.)NOV200'!Z35</f>
        <v>0</v>
      </c>
      <c r="AA22" s="303">
        <f>'13a Hluk (voz.)NOV200'!AA35</f>
        <v>0</v>
      </c>
      <c r="AB22" s="303">
        <f>'13a Hluk (voz.)NOV200'!AB35</f>
        <v>0</v>
      </c>
      <c r="AC22" s="303">
        <f>'13a Hluk (voz.)NOV200'!AC35</f>
        <v>0</v>
      </c>
      <c r="AD22" s="303">
        <f>'13a Hluk (voz.)NOV200'!AD35</f>
        <v>0</v>
      </c>
      <c r="AE22" s="303">
        <f>'13a Hluk (voz.)NOV200'!AE35</f>
        <v>0</v>
      </c>
      <c r="AF22" s="303">
        <f>'13a Hluk (voz.)NOV200'!AF35</f>
        <v>0</v>
      </c>
      <c r="AG22" s="303">
        <f>'13a Hluk (voz.)NOV200'!AG35</f>
        <v>0</v>
      </c>
      <c r="AH22" s="303">
        <f>'13a Hluk (voz.)NOV200'!AH35</f>
        <v>0</v>
      </c>
      <c r="AI22" s="303">
        <f>'13a Hluk (voz.)NOV200'!AI35</f>
        <v>0</v>
      </c>
      <c r="AJ22" s="303">
        <f>'13a Hluk (voz.)NOV200'!AJ35</f>
        <v>0</v>
      </c>
      <c r="AK22" s="303">
        <f>'13a Hluk (voz.)NOV200'!AK35</f>
        <v>0</v>
      </c>
      <c r="AL22" s="303">
        <f>'13a Hluk (voz.)NOV200'!AL35</f>
        <v>0</v>
      </c>
      <c r="AM22" s="303">
        <f>'13a Hluk (voz.)NOV200'!AM35</f>
        <v>0</v>
      </c>
      <c r="AN22" s="303">
        <f>'13a Hluk (voz.)NOV200'!AN35</f>
        <v>0</v>
      </c>
      <c r="AO22" s="303">
        <f>'13a Hluk (voz.)NOV200'!AO35</f>
        <v>0</v>
      </c>
      <c r="AP22" s="303">
        <f>'13a Hluk (voz.)NOV200'!AP35</f>
        <v>0</v>
      </c>
      <c r="AQ22" s="303">
        <f>'13a Hluk (voz.)NOV200'!AQ35</f>
        <v>0</v>
      </c>
    </row>
    <row r="23" spans="2:43" x14ac:dyDescent="0.2">
      <c r="B23" s="302" t="s">
        <v>426</v>
      </c>
      <c r="C23" s="303">
        <f>D23+NPV(Parametre!$C$10,E23:AQ23)</f>
        <v>3129.3736584935182</v>
      </c>
      <c r="D23" s="303">
        <f>'13b Hluk (cesty)NOV200'!D47</f>
        <v>0</v>
      </c>
      <c r="E23" s="303">
        <f>'13b Hluk (cesty)NOV200'!E47</f>
        <v>0</v>
      </c>
      <c r="F23" s="303">
        <f>'13b Hluk (cesty)NOV200'!F47</f>
        <v>0</v>
      </c>
      <c r="G23" s="303">
        <f>'13b Hluk (cesty)NOV200'!G47</f>
        <v>74.210061849212195</v>
      </c>
      <c r="H23" s="303">
        <f>'13b Hluk (cesty)NOV200'!H47</f>
        <v>143.84556202494704</v>
      </c>
      <c r="I23" s="303">
        <f>'13b Hluk (cesty)NOV200'!I47</f>
        <v>173.61878275071464</v>
      </c>
      <c r="J23" s="303">
        <f>'13b Hluk (cesty)NOV200'!J47</f>
        <v>178.07834371920816</v>
      </c>
      <c r="K23" s="303">
        <f>'13b Hluk (cesty)NOV200'!K47</f>
        <v>182.60973402880094</v>
      </c>
      <c r="L23" s="303">
        <f>'13b Hluk (cesty)NOV200'!L47</f>
        <v>187.21394431021901</v>
      </c>
      <c r="M23" s="303">
        <f>'13b Hluk (cesty)NOV200'!M47</f>
        <v>191.891977823861</v>
      </c>
      <c r="N23" s="303">
        <f>'13b Hluk (cesty)NOV200'!N47</f>
        <v>196.64485061333113</v>
      </c>
      <c r="O23" s="303">
        <f>'13b Hluk (cesty)NOV200'!O47</f>
        <v>201.47359166082032</v>
      </c>
      <c r="P23" s="303">
        <f>'13b Hluk (cesty)NOV200'!P47</f>
        <v>206.37924304419684</v>
      </c>
      <c r="Q23" s="303">
        <f>'13b Hluk (cesty)NOV200'!Q47</f>
        <v>211.36286009607551</v>
      </c>
      <c r="R23" s="303">
        <f>'13b Hluk (cesty)NOV200'!R47</f>
        <v>216.42551156469909</v>
      </c>
      <c r="S23" s="303">
        <f>'13b Hluk (cesty)NOV200'!S47</f>
        <v>218.9357853634684</v>
      </c>
      <c r="T23" s="303">
        <f>'13b Hluk (cesty)NOV200'!T47</f>
        <v>221.43515236500861</v>
      </c>
      <c r="U23" s="303">
        <f>'13b Hluk (cesty)NOV200'!U47</f>
        <v>223.92364615540839</v>
      </c>
      <c r="V23" s="303">
        <f>'13b Hluk (cesty)NOV200'!V47</f>
        <v>226.40130023003084</v>
      </c>
      <c r="W23" s="303">
        <f>'13b Hluk (cesty)NOV200'!W47</f>
        <v>228.86814799376188</v>
      </c>
      <c r="X23" s="303">
        <f>'13b Hluk (cesty)NOV200'!X47</f>
        <v>231.32422276125544</v>
      </c>
      <c r="Y23" s="303">
        <f>'13b Hluk (cesty)NOV200'!Y47</f>
        <v>233.76955775709092</v>
      </c>
      <c r="Z23" s="303">
        <f>'13b Hluk (cesty)NOV200'!Z47</f>
        <v>236.20418611600363</v>
      </c>
      <c r="AA23" s="303">
        <f>'13b Hluk (cesty)NOV200'!AA47</f>
        <v>238.62814088330708</v>
      </c>
      <c r="AB23" s="303">
        <f>'13b Hluk (cesty)NOV200'!AB47</f>
        <v>241.04145501477407</v>
      </c>
      <c r="AC23" s="303">
        <f>'13b Hluk (cesty)NOV200'!AC47</f>
        <v>243.44416137717553</v>
      </c>
      <c r="AD23" s="303">
        <f>'13b Hluk (cesty)NOV200'!AD47</f>
        <v>245.83629274826265</v>
      </c>
      <c r="AE23" s="303">
        <f>'13b Hluk (cesty)NOV200'!AE47</f>
        <v>248.21788181725145</v>
      </c>
      <c r="AF23" s="303">
        <f>'13b Hluk (cesty)NOV200'!AF47</f>
        <v>250.58896118480206</v>
      </c>
      <c r="AG23" s="303">
        <f>'13b Hluk (cesty)NOV200'!AG47</f>
        <v>252.9495633632994</v>
      </c>
      <c r="AH23" s="303">
        <f>'13b Hluk (cesty)NOV200'!AH47</f>
        <v>255.29972077728772</v>
      </c>
      <c r="AI23" s="303">
        <f>'13b Hluk (cesty)NOV200'!AI47</f>
        <v>257.63946576335849</v>
      </c>
      <c r="AJ23" s="303">
        <f>'13b Hluk (cesty)NOV200'!AJ47</f>
        <v>259.96883057060131</v>
      </c>
      <c r="AK23" s="303">
        <f>'13b Hluk (cesty)NOV200'!AK47</f>
        <v>262.28784736074493</v>
      </c>
      <c r="AL23" s="303">
        <f>'13b Hluk (cesty)NOV200'!AL47</f>
        <v>264.59654820839256</v>
      </c>
      <c r="AM23" s="303">
        <f>'13b Hluk (cesty)NOV200'!AM47</f>
        <v>266.8949651013113</v>
      </c>
      <c r="AN23" s="303">
        <f>'13b Hluk (cesty)NOV200'!AN47</f>
        <v>269.1831299403957</v>
      </c>
      <c r="AO23" s="303">
        <f>'13b Hluk (cesty)NOV200'!AO47</f>
        <v>271.46107454032335</v>
      </c>
      <c r="AP23" s="303">
        <f>'13b Hluk (cesty)NOV200'!AP47</f>
        <v>273.72883062931038</v>
      </c>
      <c r="AQ23" s="303">
        <f>'13b Hluk (cesty)NOV200'!AQ47</f>
        <v>275.98642984964323</v>
      </c>
    </row>
    <row r="24" spans="2:43" x14ac:dyDescent="0.2">
      <c r="B24" s="31" t="s">
        <v>16</v>
      </c>
      <c r="C24" s="37">
        <f>D24+NPV(Parametre!$C$10,E24:AQ24)</f>
        <v>21041260.889171865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263">
        <f>IFERROR('02 Zostatková hodnota NOV200'!I9,0)</f>
        <v>141076418.23680001</v>
      </c>
    </row>
    <row r="25" spans="2:43" x14ac:dyDescent="0.2">
      <c r="B25" s="166" t="s">
        <v>40</v>
      </c>
      <c r="C25" s="163">
        <f>D25+NPV(Parametre!$C$10,E25:AQ25)</f>
        <v>7110033.7972426945</v>
      </c>
      <c r="D25" s="163">
        <f>-D5-D6+D7+D11+D14+D15+D18+D21+D24</f>
        <v>0</v>
      </c>
      <c r="E25" s="163">
        <f t="shared" ref="E25:AF25" si="27">-E5-E6+E7+E11+E14+E15+E18+E21+E24</f>
        <v>0</v>
      </c>
      <c r="F25" s="163">
        <f t="shared" si="27"/>
        <v>0</v>
      </c>
      <c r="G25" s="163">
        <f t="shared" si="27"/>
        <v>-96965292.212017983</v>
      </c>
      <c r="H25" s="163">
        <f t="shared" si="27"/>
        <v>-95950148.324683368</v>
      </c>
      <c r="I25" s="163">
        <f t="shared" si="27"/>
        <v>-36138499.565600827</v>
      </c>
      <c r="J25" s="163">
        <f t="shared" si="27"/>
        <v>31248023.021892332</v>
      </c>
      <c r="K25" s="163">
        <f t="shared" si="27"/>
        <v>7134833.4855933329</v>
      </c>
      <c r="L25" s="163">
        <f t="shared" si="27"/>
        <v>7140843.7449209234</v>
      </c>
      <c r="M25" s="163">
        <f t="shared" si="27"/>
        <v>7145564.5356243961</v>
      </c>
      <c r="N25" s="163">
        <f t="shared" si="27"/>
        <v>7152510.3238615058</v>
      </c>
      <c r="O25" s="163">
        <f t="shared" si="27"/>
        <v>7159906.0098287789</v>
      </c>
      <c r="P25" s="163">
        <f t="shared" si="27"/>
        <v>7168655.7517720377</v>
      </c>
      <c r="Q25" s="163">
        <f t="shared" si="27"/>
        <v>7177765.9072623821</v>
      </c>
      <c r="R25" s="163">
        <f t="shared" si="27"/>
        <v>7187199.0828946717</v>
      </c>
      <c r="S25" s="163">
        <f t="shared" si="27"/>
        <v>55406784.850313403</v>
      </c>
      <c r="T25" s="163">
        <f t="shared" si="27"/>
        <v>55386352.129503913</v>
      </c>
      <c r="U25" s="163">
        <f t="shared" si="27"/>
        <v>7126700.260908111</v>
      </c>
      <c r="V25" s="163">
        <f t="shared" si="27"/>
        <v>7102183.6690101968</v>
      </c>
      <c r="W25" s="163">
        <f t="shared" si="27"/>
        <v>7078638.3840592392</v>
      </c>
      <c r="X25" s="163">
        <f t="shared" si="27"/>
        <v>7054585.0821621353</v>
      </c>
      <c r="Y25" s="163">
        <f t="shared" si="27"/>
        <v>7030064.0122916186</v>
      </c>
      <c r="Z25" s="163">
        <f t="shared" si="27"/>
        <v>7003650.4734701775</v>
      </c>
      <c r="AA25" s="163">
        <f t="shared" si="27"/>
        <v>6977270.5691626733</v>
      </c>
      <c r="AB25" s="163">
        <f t="shared" si="27"/>
        <v>6950381.4880184783</v>
      </c>
      <c r="AC25" s="163">
        <f t="shared" si="27"/>
        <v>9810060.6868555732</v>
      </c>
      <c r="AD25" s="163">
        <f t="shared" si="27"/>
        <v>31015110.280156761</v>
      </c>
      <c r="AE25" s="163">
        <f t="shared" si="27"/>
        <v>6893078.2415014524</v>
      </c>
      <c r="AF25" s="163">
        <f t="shared" si="27"/>
        <v>6890792.1096759466</v>
      </c>
      <c r="AG25" s="163">
        <f t="shared" ref="AG25:AN25" si="28">-AG5-AG6+AG7+AG11+AG14+AG15+AG18+AG21+AG24</f>
        <v>6888261.7872659434</v>
      </c>
      <c r="AH25" s="163">
        <f t="shared" si="28"/>
        <v>6885502.1841851473</v>
      </c>
      <c r="AI25" s="163">
        <f t="shared" si="28"/>
        <v>6883012.0837629847</v>
      </c>
      <c r="AJ25" s="163">
        <f t="shared" si="28"/>
        <v>6880203.1130492715</v>
      </c>
      <c r="AK25" s="163">
        <f t="shared" si="28"/>
        <v>6877144.7583882082</v>
      </c>
      <c r="AL25" s="163">
        <f t="shared" si="28"/>
        <v>6873849.8057944188</v>
      </c>
      <c r="AM25" s="163">
        <f t="shared" si="28"/>
        <v>12644524.866074165</v>
      </c>
      <c r="AN25" s="163">
        <f t="shared" si="28"/>
        <v>55106558.644155554</v>
      </c>
      <c r="AO25" s="163">
        <f t="shared" ref="AO25:AQ25" si="29">-AO5-AO6+AO7+AO11+AO14+AO15+AO18+AO21+AO24</f>
        <v>6861202.8467025971</v>
      </c>
      <c r="AP25" s="163">
        <f t="shared" si="29"/>
        <v>6859591.2775418647</v>
      </c>
      <c r="AQ25" s="163">
        <f t="shared" si="29"/>
        <v>196181017.49701297</v>
      </c>
    </row>
    <row r="27" spans="2:43" x14ac:dyDescent="0.2">
      <c r="B27" s="39" t="s">
        <v>41</v>
      </c>
      <c r="C27" s="167">
        <f>-C5-C6+C7+C11+C14+C15+C18+C21+C24</f>
        <v>7110033.7972426843</v>
      </c>
      <c r="D27" s="30" t="s">
        <v>0</v>
      </c>
    </row>
    <row r="28" spans="2:43" x14ac:dyDescent="0.2">
      <c r="B28" s="39" t="s">
        <v>42</v>
      </c>
      <c r="C28" s="168">
        <f>IRR(D25:AQ25,10)</f>
        <v>5.2318288581783223E-2</v>
      </c>
    </row>
    <row r="29" spans="2:43" x14ac:dyDescent="0.2">
      <c r="B29" s="277" t="s">
        <v>1</v>
      </c>
      <c r="C29" s="278">
        <f>IF((C5+C6)&gt;0,(C7+C11+C15+C14+C18+C21+C24)/(C5+C6),"nerelevantné")</f>
        <v>1.1835885508624948</v>
      </c>
    </row>
    <row r="30" spans="2:43" x14ac:dyDescent="0.2">
      <c r="B30" s="277" t="s">
        <v>428</v>
      </c>
      <c r="C30" s="278">
        <f>IF(C6&lt;0,(C7+C11+C14+C15+C18+C21+C24-C6)/C5,"nerelevantné")</f>
        <v>1.0325308061208527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A1BA-2DD5-40E8-9E99-2F88DD56B349}">
  <sheetPr>
    <tabColor theme="5" tint="0.39997558519241921"/>
  </sheetPr>
  <dimension ref="A1:T57"/>
  <sheetViews>
    <sheetView zoomScale="80" zoomScaleNormal="80" workbookViewId="0"/>
  </sheetViews>
  <sheetFormatPr defaultColWidth="9.140625" defaultRowHeight="12.75" x14ac:dyDescent="0.2"/>
  <cols>
    <col min="1" max="1" width="36.85546875" style="591" customWidth="1"/>
    <col min="2" max="8" width="14.85546875" style="591" customWidth="1"/>
    <col min="9" max="20" width="13.85546875" style="591" customWidth="1"/>
    <col min="21" max="16384" width="9.140625" style="591"/>
  </cols>
  <sheetData>
    <row r="1" spans="1:15" x14ac:dyDescent="0.2">
      <c r="A1" s="590" t="s">
        <v>734</v>
      </c>
    </row>
    <row r="2" spans="1:15" x14ac:dyDescent="0.2">
      <c r="C2" s="592" t="s">
        <v>735</v>
      </c>
      <c r="D2" s="592" t="s">
        <v>736</v>
      </c>
      <c r="E2" s="592" t="s">
        <v>737</v>
      </c>
      <c r="F2" s="592" t="s">
        <v>738</v>
      </c>
      <c r="G2" s="592" t="s">
        <v>739</v>
      </c>
      <c r="H2" s="592" t="s">
        <v>740</v>
      </c>
    </row>
    <row r="3" spans="1:15" x14ac:dyDescent="0.2">
      <c r="A3" s="593" t="s">
        <v>58</v>
      </c>
      <c r="B3" s="594">
        <f>'06 Finančná analýza NOV200'!C5</f>
        <v>251957728.48090151</v>
      </c>
      <c r="C3" s="595">
        <f>B3*1.1</f>
        <v>277153501.32899171</v>
      </c>
      <c r="D3" s="595">
        <f>B3*0.9</f>
        <v>226761955.63281137</v>
      </c>
      <c r="E3" s="596">
        <f>B3</f>
        <v>251957728.48090151</v>
      </c>
      <c r="F3" s="596">
        <f>B3</f>
        <v>251957728.48090151</v>
      </c>
      <c r="G3" s="596">
        <f>B3</f>
        <v>251957728.48090151</v>
      </c>
      <c r="H3" s="596">
        <f>B3</f>
        <v>251957728.48090151</v>
      </c>
    </row>
    <row r="4" spans="1:15" x14ac:dyDescent="0.2">
      <c r="A4" s="593" t="s">
        <v>57</v>
      </c>
      <c r="B4" s="594">
        <f>'06 Finančná analýza NOV200'!C6</f>
        <v>-219605178.82663998</v>
      </c>
      <c r="C4" s="596">
        <f>B4</f>
        <v>-219605178.82663998</v>
      </c>
      <c r="D4" s="596">
        <f>B4</f>
        <v>-219605178.82663998</v>
      </c>
      <c r="E4" s="595">
        <f>B4*1.1</f>
        <v>-241565696.709304</v>
      </c>
      <c r="F4" s="595">
        <f>B4*0.9</f>
        <v>-197644660.94397599</v>
      </c>
      <c r="G4" s="596">
        <f>B4</f>
        <v>-219605178.82663998</v>
      </c>
      <c r="H4" s="596">
        <f>B4</f>
        <v>-219605178.82663998</v>
      </c>
    </row>
    <row r="5" spans="1:15" x14ac:dyDescent="0.2">
      <c r="A5" s="593" t="s">
        <v>171</v>
      </c>
      <c r="B5" s="594">
        <f>'06 Finančná analýza NOV200'!C7</f>
        <v>1178473.6946090504</v>
      </c>
      <c r="C5" s="596">
        <f>B5</f>
        <v>1178473.6946090504</v>
      </c>
      <c r="D5" s="596">
        <f>B5</f>
        <v>1178473.6946090504</v>
      </c>
      <c r="E5" s="596">
        <f>B5</f>
        <v>1178473.6946090504</v>
      </c>
      <c r="F5" s="596">
        <f>B5</f>
        <v>1178473.6946090504</v>
      </c>
      <c r="G5" s="595">
        <f>B5*1.1</f>
        <v>1296321.0640699556</v>
      </c>
      <c r="H5" s="595">
        <f>B5*0.9</f>
        <v>1060626.3251481454</v>
      </c>
    </row>
    <row r="6" spans="1:15" ht="13.5" thickBot="1" x14ac:dyDescent="0.25">
      <c r="A6" s="597" t="s">
        <v>16</v>
      </c>
      <c r="B6" s="598">
        <f>'06 Finančná analýza NOV200'!C8</f>
        <v>38195456.128203847</v>
      </c>
      <c r="C6" s="598">
        <f>B6</f>
        <v>38195456.128203847</v>
      </c>
      <c r="D6" s="598">
        <f>B6</f>
        <v>38195456.128203847</v>
      </c>
      <c r="E6" s="598">
        <f>B6</f>
        <v>38195456.128203847</v>
      </c>
      <c r="F6" s="598">
        <f>B6</f>
        <v>38195456.128203847</v>
      </c>
      <c r="G6" s="598">
        <f>B6</f>
        <v>38195456.128203847</v>
      </c>
      <c r="H6" s="598">
        <f>B6</f>
        <v>38195456.128203847</v>
      </c>
    </row>
    <row r="7" spans="1:15" ht="13.5" thickTop="1" x14ac:dyDescent="0.2">
      <c r="A7" s="599" t="s">
        <v>40</v>
      </c>
      <c r="B7" s="622">
        <f>'06 Finančná analýza NOV200'!C9</f>
        <v>7021380.16855135</v>
      </c>
      <c r="C7" s="600">
        <f>-C3-C4+C5+C6</f>
        <v>-18174392.679538831</v>
      </c>
      <c r="D7" s="600">
        <f t="shared" ref="D7:G7" si="0">-D3-D4+D5+D6</f>
        <v>32217153.016641509</v>
      </c>
      <c r="E7" s="600">
        <f t="shared" si="0"/>
        <v>28981898.051215392</v>
      </c>
      <c r="F7" s="600">
        <f t="shared" si="0"/>
        <v>-14939137.714112625</v>
      </c>
      <c r="G7" s="600">
        <f t="shared" si="0"/>
        <v>7139227.5380122736</v>
      </c>
      <c r="H7" s="600">
        <f>-H3-H4+H5+H6</f>
        <v>6903532.7990904637</v>
      </c>
    </row>
    <row r="8" spans="1:15" x14ac:dyDescent="0.2">
      <c r="C8" s="601">
        <f>C7/B7-1</f>
        <v>-3.5884359261647227</v>
      </c>
      <c r="D8" s="601">
        <f>D7/B7-1</f>
        <v>3.5884359261647196</v>
      </c>
      <c r="E8" s="601">
        <f>E7/B7-1</f>
        <v>3.1276639856398676</v>
      </c>
      <c r="F8" s="601">
        <f>F7/B7-1</f>
        <v>-3.1276639856398583</v>
      </c>
      <c r="G8" s="602">
        <f>G7/B7-1</f>
        <v>1.6784074730600729E-2</v>
      </c>
      <c r="H8" s="602">
        <f>H7/B7-1</f>
        <v>-1.67840747305954E-2</v>
      </c>
      <c r="J8" s="603"/>
      <c r="K8" s="604"/>
      <c r="L8" s="604"/>
    </row>
    <row r="11" spans="1:15" x14ac:dyDescent="0.2">
      <c r="A11" s="590" t="s">
        <v>741</v>
      </c>
      <c r="M11" s="605" t="s">
        <v>742</v>
      </c>
      <c r="N11" s="605" t="s">
        <v>743</v>
      </c>
      <c r="O11" s="605" t="s">
        <v>744</v>
      </c>
    </row>
    <row r="12" spans="1:15" x14ac:dyDescent="0.2">
      <c r="A12" s="593" t="s">
        <v>58</v>
      </c>
      <c r="B12" s="596">
        <f>$B$7+B3</f>
        <v>258979108.64945287</v>
      </c>
      <c r="C12" s="601">
        <f>B12/B3-1</f>
        <v>2.7867294291326283E-2</v>
      </c>
      <c r="D12" s="591" t="s">
        <v>745</v>
      </c>
      <c r="M12" s="595">
        <f>B12</f>
        <v>258979108.64945287</v>
      </c>
      <c r="N12" s="596">
        <f>B3</f>
        <v>251957728.48090151</v>
      </c>
      <c r="O12" s="596">
        <f>B3</f>
        <v>251957728.48090151</v>
      </c>
    </row>
    <row r="13" spans="1:15" x14ac:dyDescent="0.2">
      <c r="A13" s="593" t="s">
        <v>57</v>
      </c>
      <c r="B13" s="596">
        <f>$B$7+B4</f>
        <v>-212583798.65808862</v>
      </c>
      <c r="C13" s="601">
        <f>B13/B4-1</f>
        <v>-3.1972744022098598E-2</v>
      </c>
      <c r="D13" s="591" t="s">
        <v>746</v>
      </c>
      <c r="M13" s="596">
        <f>B4</f>
        <v>-219605178.82663998</v>
      </c>
      <c r="N13" s="595">
        <f>B13</f>
        <v>-212583798.65808862</v>
      </c>
      <c r="O13" s="596">
        <f>B4</f>
        <v>-219605178.82663998</v>
      </c>
    </row>
    <row r="14" spans="1:15" x14ac:dyDescent="0.2">
      <c r="A14" s="593" t="s">
        <v>171</v>
      </c>
      <c r="B14" s="596">
        <f>-$B$7+B5</f>
        <v>-5842906.4739422994</v>
      </c>
      <c r="C14" s="601">
        <f>B14/B6-1</f>
        <v>-1.1529738630252369</v>
      </c>
      <c r="M14" s="596">
        <f>B5</f>
        <v>1178473.6946090504</v>
      </c>
      <c r="N14" s="596">
        <f>B5</f>
        <v>1178473.6946090504</v>
      </c>
      <c r="O14" s="595">
        <f>B14</f>
        <v>-5842906.4739422994</v>
      </c>
    </row>
    <row r="15" spans="1:15" ht="13.5" thickBot="1" x14ac:dyDescent="0.25">
      <c r="M15" s="598">
        <f>B6</f>
        <v>38195456.128203847</v>
      </c>
      <c r="N15" s="598">
        <f>B6</f>
        <v>38195456.128203847</v>
      </c>
      <c r="O15" s="598">
        <f>B6</f>
        <v>38195456.128203847</v>
      </c>
    </row>
    <row r="16" spans="1:15" ht="13.5" thickTop="1" x14ac:dyDescent="0.2">
      <c r="M16" s="600">
        <f>-M12-M13+M14+M15</f>
        <v>0</v>
      </c>
      <c r="N16" s="600">
        <f t="shared" ref="N16:O16" si="1">-N12-N13+N14+N15</f>
        <v>0</v>
      </c>
      <c r="O16" s="600">
        <f t="shared" si="1"/>
        <v>0</v>
      </c>
    </row>
    <row r="18" spans="1:20" x14ac:dyDescent="0.2">
      <c r="A18" s="590" t="s">
        <v>747</v>
      </c>
    </row>
    <row r="19" spans="1:20" x14ac:dyDescent="0.2">
      <c r="C19" s="606" t="s">
        <v>735</v>
      </c>
      <c r="D19" s="606" t="s">
        <v>736</v>
      </c>
      <c r="E19" s="606" t="s">
        <v>737</v>
      </c>
      <c r="F19" s="606" t="s">
        <v>738</v>
      </c>
      <c r="G19" s="606" t="s">
        <v>748</v>
      </c>
      <c r="H19" s="606" t="s">
        <v>749</v>
      </c>
      <c r="I19" s="606" t="s">
        <v>750</v>
      </c>
      <c r="J19" s="606" t="s">
        <v>751</v>
      </c>
      <c r="K19" s="606" t="s">
        <v>752</v>
      </c>
      <c r="L19" s="606" t="s">
        <v>753</v>
      </c>
      <c r="M19" s="606" t="s">
        <v>754</v>
      </c>
      <c r="N19" s="606" t="s">
        <v>755</v>
      </c>
      <c r="O19" s="606" t="s">
        <v>756</v>
      </c>
      <c r="P19" s="606" t="s">
        <v>757</v>
      </c>
      <c r="Q19" s="606" t="s">
        <v>758</v>
      </c>
      <c r="R19" s="606" t="s">
        <v>759</v>
      </c>
      <c r="S19" s="606" t="s">
        <v>760</v>
      </c>
      <c r="T19" s="606" t="s">
        <v>761</v>
      </c>
    </row>
    <row r="20" spans="1:20" x14ac:dyDescent="0.2">
      <c r="A20" s="607" t="s">
        <v>14</v>
      </c>
      <c r="B20" s="608">
        <f>'14 Ekonomická analýza NOV200'!C5</f>
        <v>218563098.95391905</v>
      </c>
      <c r="C20" s="609">
        <f>B20*1.1</f>
        <v>240419408.84931096</v>
      </c>
      <c r="D20" s="609">
        <f>B20*0.9</f>
        <v>196706789.05852714</v>
      </c>
      <c r="E20" s="608">
        <f>$B$20</f>
        <v>218563098.95391905</v>
      </c>
      <c r="F20" s="608">
        <f t="shared" ref="F20:T20" si="2">$B$20</f>
        <v>218563098.95391905</v>
      </c>
      <c r="G20" s="608">
        <f t="shared" si="2"/>
        <v>218563098.95391905</v>
      </c>
      <c r="H20" s="608">
        <f t="shared" si="2"/>
        <v>218563098.95391905</v>
      </c>
      <c r="I20" s="608">
        <f t="shared" si="2"/>
        <v>218563098.95391905</v>
      </c>
      <c r="J20" s="608">
        <f t="shared" si="2"/>
        <v>218563098.95391905</v>
      </c>
      <c r="K20" s="608">
        <f t="shared" si="2"/>
        <v>218563098.95391905</v>
      </c>
      <c r="L20" s="608">
        <f t="shared" si="2"/>
        <v>218563098.95391905</v>
      </c>
      <c r="M20" s="608">
        <f t="shared" si="2"/>
        <v>218563098.95391905</v>
      </c>
      <c r="N20" s="608">
        <f t="shared" si="2"/>
        <v>218563098.95391905</v>
      </c>
      <c r="O20" s="608">
        <f t="shared" si="2"/>
        <v>218563098.95391905</v>
      </c>
      <c r="P20" s="608">
        <f t="shared" si="2"/>
        <v>218563098.95391905</v>
      </c>
      <c r="Q20" s="608">
        <f t="shared" si="2"/>
        <v>218563098.95391905</v>
      </c>
      <c r="R20" s="608">
        <f t="shared" si="2"/>
        <v>218563098.95391905</v>
      </c>
      <c r="S20" s="608">
        <f t="shared" si="2"/>
        <v>218563098.95391905</v>
      </c>
      <c r="T20" s="610">
        <f t="shared" si="2"/>
        <v>218563098.95391905</v>
      </c>
    </row>
    <row r="21" spans="1:20" x14ac:dyDescent="0.2">
      <c r="A21" s="607" t="s">
        <v>12</v>
      </c>
      <c r="B21" s="608">
        <f>'14 Ekonomická analýza NOV200'!C6</f>
        <v>-179835009.62678012</v>
      </c>
      <c r="C21" s="608">
        <f>$B$21</f>
        <v>-179835009.62678012</v>
      </c>
      <c r="D21" s="608">
        <f>$B$21</f>
        <v>-179835009.62678012</v>
      </c>
      <c r="E21" s="609">
        <f>B21*1.1</f>
        <v>-197818510.58945814</v>
      </c>
      <c r="F21" s="609">
        <f>B21*0.9</f>
        <v>-161851508.66410211</v>
      </c>
      <c r="G21" s="608">
        <f t="shared" ref="G21:T21" si="3">$B$21</f>
        <v>-179835009.62678012</v>
      </c>
      <c r="H21" s="608">
        <f t="shared" si="3"/>
        <v>-179835009.62678012</v>
      </c>
      <c r="I21" s="608">
        <f t="shared" si="3"/>
        <v>-179835009.62678012</v>
      </c>
      <c r="J21" s="608">
        <f t="shared" si="3"/>
        <v>-179835009.62678012</v>
      </c>
      <c r="K21" s="608">
        <f t="shared" si="3"/>
        <v>-179835009.62678012</v>
      </c>
      <c r="L21" s="608">
        <f t="shared" si="3"/>
        <v>-179835009.62678012</v>
      </c>
      <c r="M21" s="608">
        <f t="shared" si="3"/>
        <v>-179835009.62678012</v>
      </c>
      <c r="N21" s="608">
        <f t="shared" si="3"/>
        <v>-179835009.62678012</v>
      </c>
      <c r="O21" s="608">
        <f t="shared" si="3"/>
        <v>-179835009.62678012</v>
      </c>
      <c r="P21" s="608">
        <f t="shared" si="3"/>
        <v>-179835009.62678012</v>
      </c>
      <c r="Q21" s="608">
        <f t="shared" si="3"/>
        <v>-179835009.62678012</v>
      </c>
      <c r="R21" s="608">
        <f t="shared" si="3"/>
        <v>-179835009.62678012</v>
      </c>
      <c r="S21" s="608">
        <f t="shared" si="3"/>
        <v>-179835009.62678012</v>
      </c>
      <c r="T21" s="610">
        <f t="shared" si="3"/>
        <v>-179835009.62678012</v>
      </c>
    </row>
    <row r="22" spans="1:20" x14ac:dyDescent="0.2">
      <c r="A22" s="607" t="s">
        <v>202</v>
      </c>
      <c r="B22" s="608">
        <f>'14 Ekonomická analýza NOV200'!C7</f>
        <v>29575803.524711948</v>
      </c>
      <c r="C22" s="608">
        <f>$B$22</f>
        <v>29575803.524711948</v>
      </c>
      <c r="D22" s="608">
        <f t="shared" ref="D22:F22" si="4">$B$22</f>
        <v>29575803.524711948</v>
      </c>
      <c r="E22" s="608">
        <f t="shared" si="4"/>
        <v>29575803.524711948</v>
      </c>
      <c r="F22" s="608">
        <f t="shared" si="4"/>
        <v>29575803.524711948</v>
      </c>
      <c r="G22" s="609">
        <f>B22*1.1</f>
        <v>32533383.877183147</v>
      </c>
      <c r="H22" s="609">
        <f>B22*0.9</f>
        <v>26618223.172240753</v>
      </c>
      <c r="I22" s="608">
        <f t="shared" ref="I22:T22" si="5">$B$22</f>
        <v>29575803.524711948</v>
      </c>
      <c r="J22" s="608">
        <f t="shared" si="5"/>
        <v>29575803.524711948</v>
      </c>
      <c r="K22" s="608">
        <f t="shared" si="5"/>
        <v>29575803.524711948</v>
      </c>
      <c r="L22" s="608">
        <f t="shared" si="5"/>
        <v>29575803.524711948</v>
      </c>
      <c r="M22" s="608">
        <f t="shared" si="5"/>
        <v>29575803.524711948</v>
      </c>
      <c r="N22" s="608">
        <f t="shared" si="5"/>
        <v>29575803.524711948</v>
      </c>
      <c r="O22" s="608">
        <f t="shared" si="5"/>
        <v>29575803.524711948</v>
      </c>
      <c r="P22" s="608">
        <f t="shared" si="5"/>
        <v>29575803.524711948</v>
      </c>
      <c r="Q22" s="608">
        <f t="shared" si="5"/>
        <v>29575803.524711948</v>
      </c>
      <c r="R22" s="608">
        <f t="shared" si="5"/>
        <v>29575803.524711948</v>
      </c>
      <c r="S22" s="608">
        <f t="shared" si="5"/>
        <v>29575803.524711948</v>
      </c>
      <c r="T22" s="610">
        <f t="shared" si="5"/>
        <v>29575803.524711948</v>
      </c>
    </row>
    <row r="23" spans="1:20" x14ac:dyDescent="0.2">
      <c r="A23" s="607" t="s">
        <v>762</v>
      </c>
      <c r="B23" s="608">
        <f>'14 Ekonomická analýza NOV200'!C12</f>
        <v>603788.76017812605</v>
      </c>
      <c r="C23" s="608">
        <f>$B$23</f>
        <v>603788.76017812605</v>
      </c>
      <c r="D23" s="608">
        <f t="shared" ref="D23:H23" si="6">$B$23</f>
        <v>603788.76017812605</v>
      </c>
      <c r="E23" s="608">
        <f t="shared" si="6"/>
        <v>603788.76017812605</v>
      </c>
      <c r="F23" s="608">
        <f t="shared" si="6"/>
        <v>603788.76017812605</v>
      </c>
      <c r="G23" s="608">
        <f t="shared" si="6"/>
        <v>603788.76017812605</v>
      </c>
      <c r="H23" s="608">
        <f t="shared" si="6"/>
        <v>603788.76017812605</v>
      </c>
      <c r="I23" s="609">
        <f>B23*1.1</f>
        <v>664167.63619593868</v>
      </c>
      <c r="J23" s="609">
        <f>B23*0.9</f>
        <v>543409.88416031341</v>
      </c>
      <c r="K23" s="608">
        <f t="shared" ref="K23:T23" si="7">$B$23</f>
        <v>603788.76017812605</v>
      </c>
      <c r="L23" s="608">
        <f t="shared" si="7"/>
        <v>603788.76017812605</v>
      </c>
      <c r="M23" s="608">
        <f t="shared" si="7"/>
        <v>603788.76017812605</v>
      </c>
      <c r="N23" s="608">
        <f t="shared" si="7"/>
        <v>603788.76017812605</v>
      </c>
      <c r="O23" s="608">
        <f t="shared" si="7"/>
        <v>603788.76017812605</v>
      </c>
      <c r="P23" s="608">
        <f t="shared" si="7"/>
        <v>603788.76017812605</v>
      </c>
      <c r="Q23" s="608">
        <f t="shared" si="7"/>
        <v>603788.76017812605</v>
      </c>
      <c r="R23" s="608">
        <f t="shared" si="7"/>
        <v>603788.76017812605</v>
      </c>
      <c r="S23" s="608">
        <f t="shared" si="7"/>
        <v>603788.76017812605</v>
      </c>
      <c r="T23" s="610">
        <f t="shared" si="7"/>
        <v>603788.76017812605</v>
      </c>
    </row>
    <row r="24" spans="1:20" x14ac:dyDescent="0.2">
      <c r="A24" s="607" t="s">
        <v>763</v>
      </c>
      <c r="B24" s="608">
        <f>'14 Ekonomická analýza NOV200'!C13</f>
        <v>2153752.7790107206</v>
      </c>
      <c r="C24" s="608">
        <f>$B$24</f>
        <v>2153752.7790107206</v>
      </c>
      <c r="D24" s="608">
        <f t="shared" ref="D24:J24" si="8">$B$24</f>
        <v>2153752.7790107206</v>
      </c>
      <c r="E24" s="608">
        <f t="shared" si="8"/>
        <v>2153752.7790107206</v>
      </c>
      <c r="F24" s="608">
        <f t="shared" si="8"/>
        <v>2153752.7790107206</v>
      </c>
      <c r="G24" s="608">
        <f t="shared" si="8"/>
        <v>2153752.7790107206</v>
      </c>
      <c r="H24" s="608">
        <f t="shared" si="8"/>
        <v>2153752.7790107206</v>
      </c>
      <c r="I24" s="608">
        <f t="shared" si="8"/>
        <v>2153752.7790107206</v>
      </c>
      <c r="J24" s="608">
        <f t="shared" si="8"/>
        <v>2153752.7790107206</v>
      </c>
      <c r="K24" s="609">
        <f>B24*1.1</f>
        <v>2369128.0569117926</v>
      </c>
      <c r="L24" s="609">
        <f>B24*0.9</f>
        <v>1938377.5011096485</v>
      </c>
      <c r="M24" s="608">
        <f t="shared" ref="M24:T24" si="9">$B$24</f>
        <v>2153752.7790107206</v>
      </c>
      <c r="N24" s="608">
        <f t="shared" si="9"/>
        <v>2153752.7790107206</v>
      </c>
      <c r="O24" s="608">
        <f t="shared" si="9"/>
        <v>2153752.7790107206</v>
      </c>
      <c r="P24" s="608">
        <f t="shared" si="9"/>
        <v>2153752.7790107206</v>
      </c>
      <c r="Q24" s="608">
        <f t="shared" si="9"/>
        <v>2153752.7790107206</v>
      </c>
      <c r="R24" s="608">
        <f t="shared" si="9"/>
        <v>2153752.7790107206</v>
      </c>
      <c r="S24" s="608">
        <f t="shared" si="9"/>
        <v>2153752.7790107206</v>
      </c>
      <c r="T24" s="610">
        <f t="shared" si="9"/>
        <v>2153752.7790107206</v>
      </c>
    </row>
    <row r="25" spans="1:20" x14ac:dyDescent="0.2">
      <c r="A25" s="607" t="s">
        <v>764</v>
      </c>
      <c r="B25" s="608">
        <f>'14 Ekonomická analýza NOV200'!C14</f>
        <v>1807291.0105710963</v>
      </c>
      <c r="C25" s="608">
        <f>$B$25</f>
        <v>1807291.0105710963</v>
      </c>
      <c r="D25" s="608">
        <f t="shared" ref="D25:L25" si="10">$B$25</f>
        <v>1807291.0105710963</v>
      </c>
      <c r="E25" s="608">
        <f t="shared" si="10"/>
        <v>1807291.0105710963</v>
      </c>
      <c r="F25" s="608">
        <f t="shared" si="10"/>
        <v>1807291.0105710963</v>
      </c>
      <c r="G25" s="608">
        <f t="shared" si="10"/>
        <v>1807291.0105710963</v>
      </c>
      <c r="H25" s="608">
        <f t="shared" si="10"/>
        <v>1807291.0105710963</v>
      </c>
      <c r="I25" s="608">
        <f t="shared" si="10"/>
        <v>1807291.0105710963</v>
      </c>
      <c r="J25" s="608">
        <f t="shared" si="10"/>
        <v>1807291.0105710963</v>
      </c>
      <c r="K25" s="608">
        <f t="shared" si="10"/>
        <v>1807291.0105710963</v>
      </c>
      <c r="L25" s="608">
        <f t="shared" si="10"/>
        <v>1807291.0105710963</v>
      </c>
      <c r="M25" s="609">
        <f>B25*1.1</f>
        <v>1988020.1116282062</v>
      </c>
      <c r="N25" s="609">
        <f>B25*0.9</f>
        <v>1626561.9095139867</v>
      </c>
      <c r="O25" s="608">
        <f t="shared" ref="O25:T25" si="11">$B$25</f>
        <v>1807291.0105710963</v>
      </c>
      <c r="P25" s="608">
        <f t="shared" si="11"/>
        <v>1807291.0105710963</v>
      </c>
      <c r="Q25" s="608">
        <f t="shared" si="11"/>
        <v>1807291.0105710963</v>
      </c>
      <c r="R25" s="608">
        <f t="shared" si="11"/>
        <v>1807291.0105710963</v>
      </c>
      <c r="S25" s="608">
        <f t="shared" si="11"/>
        <v>1807291.0105710963</v>
      </c>
      <c r="T25" s="610">
        <f t="shared" si="11"/>
        <v>1807291.0105710963</v>
      </c>
    </row>
    <row r="26" spans="1:20" x14ac:dyDescent="0.2">
      <c r="A26" s="607" t="s">
        <v>203</v>
      </c>
      <c r="B26" s="608">
        <f>'14 Ekonomická analýza NOV200'!C15</f>
        <v>265205.28212796495</v>
      </c>
      <c r="C26" s="608">
        <f>$B$26</f>
        <v>265205.28212796495</v>
      </c>
      <c r="D26" s="608">
        <f t="shared" ref="D26:T26" si="12">$B$26</f>
        <v>265205.28212796495</v>
      </c>
      <c r="E26" s="608">
        <f t="shared" si="12"/>
        <v>265205.28212796495</v>
      </c>
      <c r="F26" s="608">
        <f t="shared" si="12"/>
        <v>265205.28212796495</v>
      </c>
      <c r="G26" s="608">
        <f t="shared" si="12"/>
        <v>265205.28212796495</v>
      </c>
      <c r="H26" s="608">
        <f t="shared" si="12"/>
        <v>265205.28212796495</v>
      </c>
      <c r="I26" s="608">
        <f t="shared" si="12"/>
        <v>265205.28212796495</v>
      </c>
      <c r="J26" s="608">
        <f t="shared" si="12"/>
        <v>265205.28212796495</v>
      </c>
      <c r="K26" s="608">
        <f t="shared" si="12"/>
        <v>265205.28212796495</v>
      </c>
      <c r="L26" s="608">
        <f t="shared" si="12"/>
        <v>265205.28212796495</v>
      </c>
      <c r="M26" s="608">
        <f t="shared" si="12"/>
        <v>265205.28212796495</v>
      </c>
      <c r="N26" s="608">
        <f t="shared" si="12"/>
        <v>265205.28212796495</v>
      </c>
      <c r="O26" s="609">
        <f>B26*1.1</f>
        <v>291725.8103407615</v>
      </c>
      <c r="P26" s="609">
        <f>B26*0.9</f>
        <v>238684.75391516846</v>
      </c>
      <c r="Q26" s="608">
        <f t="shared" si="12"/>
        <v>265205.28212796495</v>
      </c>
      <c r="R26" s="608">
        <f t="shared" si="12"/>
        <v>265205.28212796495</v>
      </c>
      <c r="S26" s="608">
        <f t="shared" si="12"/>
        <v>265205.28212796495</v>
      </c>
      <c r="T26" s="610">
        <f t="shared" si="12"/>
        <v>265205.28212796495</v>
      </c>
    </row>
    <row r="27" spans="1:20" x14ac:dyDescent="0.2">
      <c r="A27" s="607" t="s">
        <v>204</v>
      </c>
      <c r="B27" s="608">
        <f>'14 Ekonomická analýza NOV200'!C18</f>
        <v>-9612108.4950485993</v>
      </c>
      <c r="C27" s="608">
        <f>$B$27</f>
        <v>-9612108.4950485993</v>
      </c>
      <c r="D27" s="608">
        <f t="shared" ref="D27:T27" si="13">$B$27</f>
        <v>-9612108.4950485993</v>
      </c>
      <c r="E27" s="608">
        <f t="shared" si="13"/>
        <v>-9612108.4950485993</v>
      </c>
      <c r="F27" s="608">
        <f t="shared" si="13"/>
        <v>-9612108.4950485993</v>
      </c>
      <c r="G27" s="608">
        <f t="shared" si="13"/>
        <v>-9612108.4950485993</v>
      </c>
      <c r="H27" s="608">
        <f t="shared" si="13"/>
        <v>-9612108.4950485993</v>
      </c>
      <c r="I27" s="608">
        <f t="shared" si="13"/>
        <v>-9612108.4950485993</v>
      </c>
      <c r="J27" s="608">
        <f t="shared" si="13"/>
        <v>-9612108.4950485993</v>
      </c>
      <c r="K27" s="608">
        <f t="shared" si="13"/>
        <v>-9612108.4950485993</v>
      </c>
      <c r="L27" s="608">
        <f t="shared" si="13"/>
        <v>-9612108.4950485993</v>
      </c>
      <c r="M27" s="608">
        <f t="shared" si="13"/>
        <v>-9612108.4950485993</v>
      </c>
      <c r="N27" s="608">
        <f t="shared" si="13"/>
        <v>-9612108.4950485993</v>
      </c>
      <c r="O27" s="608">
        <f t="shared" si="13"/>
        <v>-9612108.4950485993</v>
      </c>
      <c r="P27" s="608">
        <f t="shared" si="13"/>
        <v>-9612108.4950485993</v>
      </c>
      <c r="Q27" s="609">
        <f>B27*1.1</f>
        <v>-10573319.344553459</v>
      </c>
      <c r="R27" s="609">
        <f>B27*0.9</f>
        <v>-8650897.6455437392</v>
      </c>
      <c r="S27" s="608">
        <f t="shared" si="13"/>
        <v>-9612108.4950485993</v>
      </c>
      <c r="T27" s="610">
        <f t="shared" si="13"/>
        <v>-9612108.4950485993</v>
      </c>
    </row>
    <row r="28" spans="1:20" x14ac:dyDescent="0.2">
      <c r="A28" s="607" t="s">
        <v>205</v>
      </c>
      <c r="B28" s="608">
        <f>'14 Ekonomická analýza NOV200'!C21</f>
        <v>3129.3736584935182</v>
      </c>
      <c r="C28" s="608">
        <f>$B$28</f>
        <v>3129.3736584935182</v>
      </c>
      <c r="D28" s="608">
        <f t="shared" ref="D28:R28" si="14">$B$28</f>
        <v>3129.3736584935182</v>
      </c>
      <c r="E28" s="608">
        <f t="shared" si="14"/>
        <v>3129.3736584935182</v>
      </c>
      <c r="F28" s="608">
        <f t="shared" si="14"/>
        <v>3129.3736584935182</v>
      </c>
      <c r="G28" s="608">
        <f t="shared" si="14"/>
        <v>3129.3736584935182</v>
      </c>
      <c r="H28" s="608">
        <f t="shared" si="14"/>
        <v>3129.3736584935182</v>
      </c>
      <c r="I28" s="608">
        <f t="shared" si="14"/>
        <v>3129.3736584935182</v>
      </c>
      <c r="J28" s="608">
        <f t="shared" si="14"/>
        <v>3129.3736584935182</v>
      </c>
      <c r="K28" s="608">
        <f t="shared" si="14"/>
        <v>3129.3736584935182</v>
      </c>
      <c r="L28" s="608">
        <f t="shared" si="14"/>
        <v>3129.3736584935182</v>
      </c>
      <c r="M28" s="608">
        <f t="shared" si="14"/>
        <v>3129.3736584935182</v>
      </c>
      <c r="N28" s="608">
        <f t="shared" si="14"/>
        <v>3129.3736584935182</v>
      </c>
      <c r="O28" s="608">
        <f t="shared" si="14"/>
        <v>3129.3736584935182</v>
      </c>
      <c r="P28" s="608">
        <f t="shared" si="14"/>
        <v>3129.3736584935182</v>
      </c>
      <c r="Q28" s="608">
        <f t="shared" si="14"/>
        <v>3129.3736584935182</v>
      </c>
      <c r="R28" s="608">
        <f t="shared" si="14"/>
        <v>3129.3736584935182</v>
      </c>
      <c r="S28" s="609">
        <f>B28*1.1</f>
        <v>3442.3110243428705</v>
      </c>
      <c r="T28" s="611">
        <f>B28*0.9</f>
        <v>2816.4362926441663</v>
      </c>
    </row>
    <row r="29" spans="1:20" ht="13.5" thickBot="1" x14ac:dyDescent="0.25">
      <c r="A29" s="612" t="s">
        <v>16</v>
      </c>
      <c r="B29" s="613">
        <f>'14 Ekonomická analýza NOV200'!C24</f>
        <v>21041260.889171865</v>
      </c>
      <c r="C29" s="614">
        <f>$B$29</f>
        <v>21041260.889171865</v>
      </c>
      <c r="D29" s="614">
        <f t="shared" ref="D29:T29" si="15">$B$29</f>
        <v>21041260.889171865</v>
      </c>
      <c r="E29" s="614">
        <f t="shared" si="15"/>
        <v>21041260.889171865</v>
      </c>
      <c r="F29" s="614">
        <f t="shared" si="15"/>
        <v>21041260.889171865</v>
      </c>
      <c r="G29" s="614">
        <f t="shared" si="15"/>
        <v>21041260.889171865</v>
      </c>
      <c r="H29" s="614">
        <f t="shared" si="15"/>
        <v>21041260.889171865</v>
      </c>
      <c r="I29" s="614">
        <f t="shared" si="15"/>
        <v>21041260.889171865</v>
      </c>
      <c r="J29" s="614">
        <f t="shared" si="15"/>
        <v>21041260.889171865</v>
      </c>
      <c r="K29" s="614">
        <f t="shared" si="15"/>
        <v>21041260.889171865</v>
      </c>
      <c r="L29" s="614">
        <f t="shared" si="15"/>
        <v>21041260.889171865</v>
      </c>
      <c r="M29" s="614">
        <f t="shared" si="15"/>
        <v>21041260.889171865</v>
      </c>
      <c r="N29" s="614">
        <f t="shared" si="15"/>
        <v>21041260.889171865</v>
      </c>
      <c r="O29" s="614">
        <f t="shared" si="15"/>
        <v>21041260.889171865</v>
      </c>
      <c r="P29" s="614">
        <f t="shared" si="15"/>
        <v>21041260.889171865</v>
      </c>
      <c r="Q29" s="614">
        <f t="shared" si="15"/>
        <v>21041260.889171865</v>
      </c>
      <c r="R29" s="614">
        <f t="shared" si="15"/>
        <v>21041260.889171865</v>
      </c>
      <c r="S29" s="614">
        <f t="shared" si="15"/>
        <v>21041260.889171865</v>
      </c>
      <c r="T29" s="613">
        <f t="shared" si="15"/>
        <v>21041260.889171865</v>
      </c>
    </row>
    <row r="30" spans="1:20" ht="13.5" thickTop="1" x14ac:dyDescent="0.2">
      <c r="A30" s="615" t="s">
        <v>40</v>
      </c>
      <c r="B30" s="616">
        <f>'14 Ekonomická analýza NOV200'!C25</f>
        <v>7110033.7972426945</v>
      </c>
      <c r="C30" s="600">
        <f>-C20-C21+C22+C23+C24+C25+C26+C27+C28+C29</f>
        <v>-14746276.098149229</v>
      </c>
      <c r="D30" s="600">
        <f t="shared" ref="D30:T30" si="16">-D20-D21+D22+D23+D24+D25+D26+D27+D28+D29</f>
        <v>28966343.692634597</v>
      </c>
      <c r="E30" s="600">
        <f t="shared" si="16"/>
        <v>25093534.759920701</v>
      </c>
      <c r="F30" s="600">
        <f t="shared" si="16"/>
        <v>-10873467.165435333</v>
      </c>
      <c r="G30" s="600">
        <f t="shared" si="16"/>
        <v>10067614.149713883</v>
      </c>
      <c r="H30" s="600">
        <f t="shared" si="16"/>
        <v>4152453.4447714873</v>
      </c>
      <c r="I30" s="600">
        <f t="shared" si="16"/>
        <v>7170412.6732604969</v>
      </c>
      <c r="J30" s="600">
        <f t="shared" si="16"/>
        <v>7049654.9212248717</v>
      </c>
      <c r="K30" s="600">
        <f t="shared" si="16"/>
        <v>7325409.0751437563</v>
      </c>
      <c r="L30" s="600">
        <f t="shared" si="16"/>
        <v>6894658.5193416122</v>
      </c>
      <c r="M30" s="600">
        <f t="shared" si="16"/>
        <v>7290762.8982997946</v>
      </c>
      <c r="N30" s="600">
        <f t="shared" si="16"/>
        <v>6929304.6961855739</v>
      </c>
      <c r="O30" s="600">
        <f t="shared" si="16"/>
        <v>7136554.3254554793</v>
      </c>
      <c r="P30" s="600">
        <f t="shared" si="16"/>
        <v>7083513.2690298874</v>
      </c>
      <c r="Q30" s="600">
        <f t="shared" si="16"/>
        <v>6148822.9477378242</v>
      </c>
      <c r="R30" s="600">
        <f t="shared" si="16"/>
        <v>8071244.6467475444</v>
      </c>
      <c r="S30" s="600">
        <f t="shared" si="16"/>
        <v>7110346.7346085347</v>
      </c>
      <c r="T30" s="600">
        <f t="shared" si="16"/>
        <v>7109720.8598768357</v>
      </c>
    </row>
    <row r="31" spans="1:20" x14ac:dyDescent="0.2">
      <c r="C31" s="602">
        <f>C30/B30-1</f>
        <v>-3.0740092830315247</v>
      </c>
      <c r="D31" s="602">
        <f>D30/B30-1</f>
        <v>3.074009283031522</v>
      </c>
      <c r="E31" s="602">
        <f>E30/B30-1</f>
        <v>2.5293130068737644</v>
      </c>
      <c r="F31" s="602">
        <f>F30/B30-1</f>
        <v>-2.529313006873767</v>
      </c>
      <c r="G31" s="602">
        <f>G30/B30-1</f>
        <v>0.41597275580014159</v>
      </c>
      <c r="H31" s="602">
        <f>H30/B30-1</f>
        <v>-0.41597275580014414</v>
      </c>
      <c r="I31" s="602">
        <f>I30/B30-1</f>
        <v>8.4920659647522712E-3</v>
      </c>
      <c r="J31" s="602">
        <f>J30/B30-1</f>
        <v>-8.4920659647550467E-3</v>
      </c>
      <c r="K31" s="602">
        <f>K30/B30-1</f>
        <v>3.0291737570162569E-2</v>
      </c>
      <c r="L31" s="602">
        <f>L30/B30-1</f>
        <v>-3.0291737570165456E-2</v>
      </c>
      <c r="M31" s="602">
        <f>M30/B30-1</f>
        <v>2.5418880727006821E-2</v>
      </c>
      <c r="N31" s="602">
        <f>N30/B30-1</f>
        <v>-2.5418880727009818E-2</v>
      </c>
      <c r="O31" s="602">
        <f>O30/B30-1</f>
        <v>3.730014366889467E-3</v>
      </c>
      <c r="P31" s="602">
        <f>P30/B30-1</f>
        <v>-3.7300143668925756E-3</v>
      </c>
      <c r="Q31" s="602">
        <f>Q30/B30-1</f>
        <v>-0.13519075674121728</v>
      </c>
      <c r="R31" s="602">
        <f>R30/B30-1</f>
        <v>0.13519075674121428</v>
      </c>
      <c r="S31" s="602">
        <f>S30/B30-1</f>
        <v>4.4013484993721264E-5</v>
      </c>
      <c r="T31" s="602">
        <f>T30/B30-1</f>
        <v>-4.4013484996385799E-5</v>
      </c>
    </row>
    <row r="32" spans="1:20" x14ac:dyDescent="0.2">
      <c r="B32" s="617"/>
    </row>
    <row r="33" spans="1:20" x14ac:dyDescent="0.2">
      <c r="B33" s="617"/>
    </row>
    <row r="35" spans="1:20" x14ac:dyDescent="0.2">
      <c r="A35" s="590" t="s">
        <v>765</v>
      </c>
      <c r="L35" s="605" t="s">
        <v>742</v>
      </c>
      <c r="M35" s="605" t="s">
        <v>743</v>
      </c>
      <c r="N35" s="605" t="s">
        <v>766</v>
      </c>
      <c r="O35" s="605" t="s">
        <v>767</v>
      </c>
      <c r="P35" s="605" t="s">
        <v>768</v>
      </c>
      <c r="Q35" s="605" t="s">
        <v>769</v>
      </c>
      <c r="R35" s="605" t="s">
        <v>770</v>
      </c>
      <c r="S35" s="605" t="s">
        <v>771</v>
      </c>
      <c r="T35" s="605" t="s">
        <v>772</v>
      </c>
    </row>
    <row r="36" spans="1:20" x14ac:dyDescent="0.2">
      <c r="A36" s="593" t="s">
        <v>14</v>
      </c>
      <c r="B36" s="596">
        <f>B20+$B$30</f>
        <v>225673132.75116175</v>
      </c>
      <c r="C36" s="601">
        <f t="shared" ref="C36:C44" si="17">B36/B20-1</f>
        <v>3.2530806120852684E-2</v>
      </c>
      <c r="D36" s="591" t="s">
        <v>773</v>
      </c>
      <c r="L36" s="595">
        <f>B36</f>
        <v>225673132.75116175</v>
      </c>
      <c r="M36" s="596">
        <f>$B$20</f>
        <v>218563098.95391905</v>
      </c>
      <c r="N36" s="596">
        <f t="shared" ref="N36:T36" si="18">$B$20</f>
        <v>218563098.95391905</v>
      </c>
      <c r="O36" s="596">
        <f t="shared" si="18"/>
        <v>218563098.95391905</v>
      </c>
      <c r="P36" s="596">
        <f t="shared" si="18"/>
        <v>218563098.95391905</v>
      </c>
      <c r="Q36" s="596">
        <f t="shared" si="18"/>
        <v>218563098.95391905</v>
      </c>
      <c r="R36" s="596">
        <f t="shared" si="18"/>
        <v>218563098.95391905</v>
      </c>
      <c r="S36" s="596">
        <f t="shared" si="18"/>
        <v>218563098.95391905</v>
      </c>
      <c r="T36" s="596">
        <f t="shared" si="18"/>
        <v>218563098.95391905</v>
      </c>
    </row>
    <row r="37" spans="1:20" x14ac:dyDescent="0.2">
      <c r="A37" s="593" t="s">
        <v>12</v>
      </c>
      <c r="B37" s="596">
        <f>B21+$B$30</f>
        <v>-172724975.82953742</v>
      </c>
      <c r="C37" s="601">
        <f t="shared" si="17"/>
        <v>-3.9536427373059846E-2</v>
      </c>
      <c r="D37" s="591" t="s">
        <v>774</v>
      </c>
      <c r="L37" s="596">
        <f>$B$21</f>
        <v>-179835009.62678012</v>
      </c>
      <c r="M37" s="595">
        <f>B37</f>
        <v>-172724975.82953742</v>
      </c>
      <c r="N37" s="596">
        <f t="shared" ref="N37:T37" si="19">$B$21</f>
        <v>-179835009.62678012</v>
      </c>
      <c r="O37" s="596">
        <f t="shared" si="19"/>
        <v>-179835009.62678012</v>
      </c>
      <c r="P37" s="596">
        <f t="shared" si="19"/>
        <v>-179835009.62678012</v>
      </c>
      <c r="Q37" s="596">
        <f t="shared" si="19"/>
        <v>-179835009.62678012</v>
      </c>
      <c r="R37" s="596">
        <f t="shared" si="19"/>
        <v>-179835009.62678012</v>
      </c>
      <c r="S37" s="596">
        <f t="shared" si="19"/>
        <v>-179835009.62678012</v>
      </c>
      <c r="T37" s="596">
        <f t="shared" si="19"/>
        <v>-179835009.62678012</v>
      </c>
    </row>
    <row r="38" spans="1:20" x14ac:dyDescent="0.2">
      <c r="A38" s="593" t="s">
        <v>202</v>
      </c>
      <c r="B38" s="596">
        <f>B22-$B$30</f>
        <v>22465769.727469254</v>
      </c>
      <c r="C38" s="601">
        <f t="shared" si="17"/>
        <v>-0.24040035941210969</v>
      </c>
      <c r="D38" s="591" t="s">
        <v>775</v>
      </c>
      <c r="L38" s="596">
        <f>$B$22</f>
        <v>29575803.524711948</v>
      </c>
      <c r="M38" s="596">
        <f>$B$22</f>
        <v>29575803.524711948</v>
      </c>
      <c r="N38" s="595">
        <f>B38</f>
        <v>22465769.727469254</v>
      </c>
      <c r="O38" s="596">
        <f t="shared" ref="O38:T38" si="20">$B$22</f>
        <v>29575803.524711948</v>
      </c>
      <c r="P38" s="596">
        <f t="shared" si="20"/>
        <v>29575803.524711948</v>
      </c>
      <c r="Q38" s="596">
        <f t="shared" si="20"/>
        <v>29575803.524711948</v>
      </c>
      <c r="R38" s="596">
        <f t="shared" si="20"/>
        <v>29575803.524711948</v>
      </c>
      <c r="S38" s="596">
        <f t="shared" si="20"/>
        <v>29575803.524711948</v>
      </c>
      <c r="T38" s="596">
        <f t="shared" si="20"/>
        <v>29575803.524711948</v>
      </c>
    </row>
    <row r="39" spans="1:20" x14ac:dyDescent="0.2">
      <c r="A39" s="593" t="s">
        <v>762</v>
      </c>
      <c r="B39" s="596">
        <f>B23-$B$30</f>
        <v>-6506245.0370645681</v>
      </c>
      <c r="C39" s="601">
        <f t="shared" si="17"/>
        <v>-11.775697505771946</v>
      </c>
      <c r="L39" s="596">
        <f>$B$23</f>
        <v>603788.76017812605</v>
      </c>
      <c r="M39" s="596">
        <f t="shared" ref="M39:T39" si="21">$B$23</f>
        <v>603788.76017812605</v>
      </c>
      <c r="N39" s="596">
        <f t="shared" si="21"/>
        <v>603788.76017812605</v>
      </c>
      <c r="O39" s="595">
        <f>B39</f>
        <v>-6506245.0370645681</v>
      </c>
      <c r="P39" s="596">
        <f t="shared" si="21"/>
        <v>603788.76017812605</v>
      </c>
      <c r="Q39" s="596">
        <f t="shared" si="21"/>
        <v>603788.76017812605</v>
      </c>
      <c r="R39" s="596">
        <f t="shared" si="21"/>
        <v>603788.76017812605</v>
      </c>
      <c r="S39" s="596">
        <f t="shared" si="21"/>
        <v>603788.76017812605</v>
      </c>
      <c r="T39" s="596">
        <f t="shared" si="21"/>
        <v>603788.76017812605</v>
      </c>
    </row>
    <row r="40" spans="1:20" x14ac:dyDescent="0.2">
      <c r="A40" s="593" t="s">
        <v>763</v>
      </c>
      <c r="B40" s="596">
        <f>B24-$B$30</f>
        <v>-4956281.018231974</v>
      </c>
      <c r="C40" s="601">
        <f t="shared" si="17"/>
        <v>-3.3012302370695181</v>
      </c>
      <c r="L40" s="596">
        <f>$B$24</f>
        <v>2153752.7790107206</v>
      </c>
      <c r="M40" s="596">
        <f t="shared" ref="M40:T40" si="22">$B$24</f>
        <v>2153752.7790107206</v>
      </c>
      <c r="N40" s="596">
        <f t="shared" si="22"/>
        <v>2153752.7790107206</v>
      </c>
      <c r="O40" s="596">
        <f t="shared" si="22"/>
        <v>2153752.7790107206</v>
      </c>
      <c r="P40" s="595">
        <f>B40</f>
        <v>-4956281.018231974</v>
      </c>
      <c r="Q40" s="596">
        <f t="shared" si="22"/>
        <v>2153752.7790107206</v>
      </c>
      <c r="R40" s="596">
        <f t="shared" si="22"/>
        <v>2153752.7790107206</v>
      </c>
      <c r="S40" s="596">
        <f t="shared" si="22"/>
        <v>2153752.7790107206</v>
      </c>
      <c r="T40" s="596">
        <f t="shared" si="22"/>
        <v>2153752.7790107206</v>
      </c>
    </row>
    <row r="41" spans="1:20" x14ac:dyDescent="0.2">
      <c r="A41" s="593" t="s">
        <v>764</v>
      </c>
      <c r="B41" s="596">
        <f>B25-$B$30</f>
        <v>-5302742.7866715984</v>
      </c>
      <c r="C41" s="601">
        <f t="shared" si="17"/>
        <v>-3.9340835292463243</v>
      </c>
      <c r="L41" s="596">
        <f>$B$25</f>
        <v>1807291.0105710963</v>
      </c>
      <c r="M41" s="596">
        <f t="shared" ref="M41:T41" si="23">$B$25</f>
        <v>1807291.0105710963</v>
      </c>
      <c r="N41" s="596">
        <f t="shared" si="23"/>
        <v>1807291.0105710963</v>
      </c>
      <c r="O41" s="596">
        <f t="shared" si="23"/>
        <v>1807291.0105710963</v>
      </c>
      <c r="P41" s="596">
        <f t="shared" si="23"/>
        <v>1807291.0105710963</v>
      </c>
      <c r="Q41" s="595">
        <f>B41</f>
        <v>-5302742.7866715984</v>
      </c>
      <c r="R41" s="596">
        <f t="shared" si="23"/>
        <v>1807291.0105710963</v>
      </c>
      <c r="S41" s="596">
        <f t="shared" si="23"/>
        <v>1807291.0105710963</v>
      </c>
      <c r="T41" s="596">
        <f t="shared" si="23"/>
        <v>1807291.0105710963</v>
      </c>
    </row>
    <row r="42" spans="1:20" x14ac:dyDescent="0.2">
      <c r="A42" s="593" t="s">
        <v>203</v>
      </c>
      <c r="B42" s="596">
        <f t="shared" ref="B42:B43" si="24">B26-$B$30</f>
        <v>-6844828.5151147293</v>
      </c>
      <c r="C42" s="601">
        <f t="shared" si="17"/>
        <v>-26.809548211833924</v>
      </c>
      <c r="L42" s="596">
        <f>$B$26</f>
        <v>265205.28212796495</v>
      </c>
      <c r="M42" s="596">
        <f t="shared" ref="M42:S42" si="25">$B$26</f>
        <v>265205.28212796495</v>
      </c>
      <c r="N42" s="596">
        <f t="shared" si="25"/>
        <v>265205.28212796495</v>
      </c>
      <c r="O42" s="596">
        <f t="shared" si="25"/>
        <v>265205.28212796495</v>
      </c>
      <c r="P42" s="596">
        <f t="shared" si="25"/>
        <v>265205.28212796495</v>
      </c>
      <c r="Q42" s="596">
        <f t="shared" si="25"/>
        <v>265205.28212796495</v>
      </c>
      <c r="R42" s="595">
        <f>B42</f>
        <v>-6844828.5151147293</v>
      </c>
      <c r="S42" s="596">
        <f t="shared" si="25"/>
        <v>265205.28212796495</v>
      </c>
      <c r="T42" s="596">
        <f>$B$26</f>
        <v>265205.28212796495</v>
      </c>
    </row>
    <row r="43" spans="1:20" x14ac:dyDescent="0.2">
      <c r="A43" s="593" t="s">
        <v>204</v>
      </c>
      <c r="B43" s="596">
        <f t="shared" si="24"/>
        <v>-16722142.292291295</v>
      </c>
      <c r="C43" s="601">
        <f t="shared" si="17"/>
        <v>0.73969554140022709</v>
      </c>
      <c r="L43" s="596">
        <f>$B$27</f>
        <v>-9612108.4950485993</v>
      </c>
      <c r="M43" s="596">
        <f t="shared" ref="M43:T43" si="26">$B$27</f>
        <v>-9612108.4950485993</v>
      </c>
      <c r="N43" s="596">
        <f t="shared" si="26"/>
        <v>-9612108.4950485993</v>
      </c>
      <c r="O43" s="596">
        <f t="shared" si="26"/>
        <v>-9612108.4950485993</v>
      </c>
      <c r="P43" s="596">
        <f t="shared" si="26"/>
        <v>-9612108.4950485993</v>
      </c>
      <c r="Q43" s="596">
        <f t="shared" si="26"/>
        <v>-9612108.4950485993</v>
      </c>
      <c r="R43" s="596">
        <f t="shared" si="26"/>
        <v>-9612108.4950485993</v>
      </c>
      <c r="S43" s="595">
        <f>B43</f>
        <v>-16722142.292291295</v>
      </c>
      <c r="T43" s="596">
        <f t="shared" si="26"/>
        <v>-9612108.4950485993</v>
      </c>
    </row>
    <row r="44" spans="1:20" x14ac:dyDescent="0.2">
      <c r="A44" s="593" t="s">
        <v>205</v>
      </c>
      <c r="B44" s="596">
        <f>B28-$B$30</f>
        <v>-7106904.4235842014</v>
      </c>
      <c r="C44" s="601">
        <f t="shared" si="17"/>
        <v>-2272.0309471338328</v>
      </c>
      <c r="L44" s="596">
        <f>$B$28</f>
        <v>3129.3736584935182</v>
      </c>
      <c r="M44" s="596">
        <f t="shared" ref="M44:S44" si="27">$B$28</f>
        <v>3129.3736584935182</v>
      </c>
      <c r="N44" s="596">
        <f t="shared" si="27"/>
        <v>3129.3736584935182</v>
      </c>
      <c r="O44" s="596">
        <f t="shared" si="27"/>
        <v>3129.3736584935182</v>
      </c>
      <c r="P44" s="596">
        <f t="shared" si="27"/>
        <v>3129.3736584935182</v>
      </c>
      <c r="Q44" s="596">
        <f t="shared" si="27"/>
        <v>3129.3736584935182</v>
      </c>
      <c r="R44" s="596">
        <f t="shared" si="27"/>
        <v>3129.3736584935182</v>
      </c>
      <c r="S44" s="596">
        <f t="shared" si="27"/>
        <v>3129.3736584935182</v>
      </c>
      <c r="T44" s="595">
        <f>B44</f>
        <v>-7106904.4235842014</v>
      </c>
    </row>
    <row r="45" spans="1:20" ht="13.5" thickBot="1" x14ac:dyDescent="0.25">
      <c r="A45" s="591" t="s">
        <v>776</v>
      </c>
      <c r="L45" s="598">
        <f>$B$29</f>
        <v>21041260.889171865</v>
      </c>
      <c r="M45" s="598">
        <f t="shared" ref="M45:T45" si="28">$B$29</f>
        <v>21041260.889171865</v>
      </c>
      <c r="N45" s="598">
        <f t="shared" si="28"/>
        <v>21041260.889171865</v>
      </c>
      <c r="O45" s="598">
        <f t="shared" si="28"/>
        <v>21041260.889171865</v>
      </c>
      <c r="P45" s="598">
        <f t="shared" si="28"/>
        <v>21041260.889171865</v>
      </c>
      <c r="Q45" s="598">
        <f t="shared" si="28"/>
        <v>21041260.889171865</v>
      </c>
      <c r="R45" s="598">
        <f t="shared" si="28"/>
        <v>21041260.889171865</v>
      </c>
      <c r="S45" s="598">
        <f t="shared" si="28"/>
        <v>21041260.889171865</v>
      </c>
      <c r="T45" s="598">
        <f t="shared" si="28"/>
        <v>21041260.889171865</v>
      </c>
    </row>
    <row r="46" spans="1:20" ht="13.5" thickTop="1" x14ac:dyDescent="0.2">
      <c r="L46" s="600">
        <f>-L36-L37+L38+L39+L40+L41+L42+L43+L44+L45</f>
        <v>0</v>
      </c>
      <c r="M46" s="600">
        <f t="shared" ref="M46:T46" si="29">-M36-M37+M38+M39+M40+M41+M42+M43+M44+M45</f>
        <v>0</v>
      </c>
      <c r="N46" s="600">
        <f t="shared" si="29"/>
        <v>0</v>
      </c>
      <c r="O46" s="600">
        <f t="shared" si="29"/>
        <v>0</v>
      </c>
      <c r="P46" s="600">
        <f t="shared" si="29"/>
        <v>0</v>
      </c>
      <c r="Q46" s="600">
        <f t="shared" si="29"/>
        <v>0</v>
      </c>
      <c r="R46" s="600">
        <f t="shared" si="29"/>
        <v>0</v>
      </c>
      <c r="S46" s="600">
        <f t="shared" si="29"/>
        <v>0</v>
      </c>
      <c r="T46" s="600">
        <f t="shared" si="29"/>
        <v>0</v>
      </c>
    </row>
    <row r="52" spans="1:3" x14ac:dyDescent="0.2">
      <c r="A52" s="618"/>
      <c r="B52" s="619"/>
      <c r="C52" s="619"/>
    </row>
    <row r="53" spans="1:3" x14ac:dyDescent="0.2">
      <c r="A53" s="618"/>
      <c r="B53" s="620"/>
      <c r="C53" s="621"/>
    </row>
    <row r="54" spans="1:3" x14ac:dyDescent="0.2">
      <c r="A54" s="618"/>
      <c r="B54" s="620"/>
      <c r="C54" s="621"/>
    </row>
    <row r="55" spans="1:3" x14ac:dyDescent="0.2">
      <c r="A55" s="618"/>
      <c r="B55" s="620"/>
      <c r="C55" s="621"/>
    </row>
    <row r="56" spans="1:3" x14ac:dyDescent="0.2">
      <c r="A56" s="618"/>
      <c r="B56" s="620"/>
      <c r="C56" s="621"/>
    </row>
    <row r="57" spans="1:3" x14ac:dyDescent="0.2">
      <c r="A57" s="618"/>
      <c r="B57" s="620"/>
      <c r="C57" s="62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1816-DEC6-4A23-AD15-C240C45F2A67}">
  <sheetPr>
    <tabColor rgb="FFFFFF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007E-A556-4E91-A389-D5377FD83FE4}">
  <sheetPr>
    <tabColor rgb="FFFF5050"/>
  </sheetPr>
  <dimension ref="B1:DS241"/>
  <sheetViews>
    <sheetView zoomScale="90" zoomScaleNormal="90" workbookViewId="0"/>
  </sheetViews>
  <sheetFormatPr defaultColWidth="6.85546875" defaultRowHeight="11.25" x14ac:dyDescent="0.2"/>
  <cols>
    <col min="1" max="1" width="2.85546875" style="2" customWidth="1"/>
    <col min="2" max="2" width="50.140625" style="2" customWidth="1"/>
    <col min="3" max="9" width="13.85546875" style="2" customWidth="1"/>
    <col min="10" max="43" width="7.85546875" style="2" customWidth="1"/>
    <col min="44" max="54" width="7.7109375" style="2" bestFit="1" customWidth="1"/>
    <col min="55" max="16384" width="6.85546875" style="2"/>
  </cols>
  <sheetData>
    <row r="1" spans="2:8" ht="12" thickBot="1" x14ac:dyDescent="0.25"/>
    <row r="2" spans="2:8" x14ac:dyDescent="0.2">
      <c r="B2" s="55" t="s">
        <v>2</v>
      </c>
      <c r="C2" s="56"/>
      <c r="D2" s="56"/>
      <c r="E2" s="56"/>
      <c r="F2" s="56"/>
      <c r="G2" s="56"/>
      <c r="H2" s="57"/>
    </row>
    <row r="3" spans="2:8" x14ac:dyDescent="0.2">
      <c r="B3" s="58" t="s">
        <v>295</v>
      </c>
      <c r="C3" s="59"/>
      <c r="D3" s="59"/>
      <c r="E3" s="59"/>
      <c r="F3" s="40"/>
      <c r="H3" s="60"/>
    </row>
    <row r="4" spans="2:8" x14ac:dyDescent="0.2">
      <c r="B4" s="58" t="s">
        <v>298</v>
      </c>
      <c r="C4" s="59"/>
      <c r="D4" s="59"/>
      <c r="E4" s="59"/>
      <c r="F4" s="59"/>
      <c r="G4" s="59"/>
      <c r="H4" s="60"/>
    </row>
    <row r="5" spans="2:8" x14ac:dyDescent="0.2">
      <c r="B5" s="58" t="s">
        <v>79</v>
      </c>
      <c r="C5" s="59"/>
      <c r="D5" s="59"/>
      <c r="E5" s="59"/>
      <c r="F5" s="59"/>
      <c r="G5" s="59"/>
      <c r="H5" s="60"/>
    </row>
    <row r="6" spans="2:8" ht="12" thickBot="1" x14ac:dyDescent="0.25">
      <c r="B6" s="61" t="s">
        <v>294</v>
      </c>
      <c r="C6" s="62"/>
      <c r="D6" s="62"/>
      <c r="E6" s="62"/>
      <c r="F6" s="62"/>
      <c r="G6" s="62"/>
      <c r="H6" s="63"/>
    </row>
    <row r="8" spans="2:8" ht="17.25" customHeight="1" x14ac:dyDescent="0.2">
      <c r="B8" s="623" t="s">
        <v>46</v>
      </c>
      <c r="C8" s="623"/>
    </row>
    <row r="9" spans="2:8" x14ac:dyDescent="0.2">
      <c r="B9" s="29" t="s">
        <v>3</v>
      </c>
      <c r="C9" s="41">
        <v>0.04</v>
      </c>
    </row>
    <row r="10" spans="2:8" x14ac:dyDescent="0.2">
      <c r="B10" s="3" t="s">
        <v>4</v>
      </c>
      <c r="C10" s="42">
        <v>0.05</v>
      </c>
    </row>
    <row r="11" spans="2:8" x14ac:dyDescent="0.2">
      <c r="B11" s="3" t="s">
        <v>5</v>
      </c>
      <c r="C11" s="18">
        <v>2024</v>
      </c>
      <c r="D11" s="2" t="s">
        <v>8</v>
      </c>
    </row>
    <row r="12" spans="2:8" x14ac:dyDescent="0.2">
      <c r="B12" s="3" t="s">
        <v>173</v>
      </c>
      <c r="C12" s="43">
        <f>'02 Zostatková hodnota EMU550'!E21</f>
        <v>40</v>
      </c>
      <c r="D12" s="2" t="s">
        <v>495</v>
      </c>
    </row>
    <row r="13" spans="2:8" x14ac:dyDescent="0.2">
      <c r="B13" s="3" t="s">
        <v>265</v>
      </c>
      <c r="C13" s="111">
        <v>2026</v>
      </c>
      <c r="D13" s="2" t="s">
        <v>174</v>
      </c>
    </row>
    <row r="14" spans="2:8" x14ac:dyDescent="0.2">
      <c r="B14" s="3" t="s">
        <v>266</v>
      </c>
      <c r="C14" s="111">
        <v>2030</v>
      </c>
      <c r="D14" s="743" t="s">
        <v>292</v>
      </c>
      <c r="E14" s="744">
        <f>C14+1</f>
        <v>2031</v>
      </c>
      <c r="F14" s="745" t="s">
        <v>293</v>
      </c>
    </row>
    <row r="15" spans="2:8" x14ac:dyDescent="0.2">
      <c r="B15" s="3" t="s">
        <v>303</v>
      </c>
      <c r="C15" s="18">
        <f>C14-C13+1</f>
        <v>5</v>
      </c>
      <c r="F15" s="742" t="s">
        <v>297</v>
      </c>
    </row>
    <row r="16" spans="2:8" x14ac:dyDescent="0.2">
      <c r="B16" s="3" t="s">
        <v>304</v>
      </c>
      <c r="C16" s="18">
        <f>40-C15</f>
        <v>35</v>
      </c>
      <c r="F16" s="129"/>
    </row>
    <row r="17" spans="2:54" x14ac:dyDescent="0.2">
      <c r="B17" s="3" t="s">
        <v>175</v>
      </c>
      <c r="C17" s="18">
        <f>C13+C12-1</f>
        <v>2065</v>
      </c>
    </row>
    <row r="18" spans="2:54" x14ac:dyDescent="0.2">
      <c r="B18" s="3" t="s">
        <v>6</v>
      </c>
      <c r="C18" s="43" t="s">
        <v>0</v>
      </c>
    </row>
    <row r="22" spans="2:54" x14ac:dyDescent="0.2">
      <c r="B22" s="623" t="s">
        <v>80</v>
      </c>
      <c r="C22" s="137"/>
      <c r="D22" s="138">
        <v>2024</v>
      </c>
      <c r="E22" s="138">
        <v>2025</v>
      </c>
      <c r="F22" s="138">
        <v>2026</v>
      </c>
      <c r="G22" s="138">
        <v>2027</v>
      </c>
      <c r="H22" s="138">
        <v>2028</v>
      </c>
      <c r="I22" s="138">
        <v>2029</v>
      </c>
      <c r="J22" s="138">
        <v>2030</v>
      </c>
      <c r="K22" s="138">
        <v>2031</v>
      </c>
      <c r="L22" s="138">
        <v>2032</v>
      </c>
      <c r="M22" s="138">
        <v>2033</v>
      </c>
      <c r="N22" s="138">
        <v>2034</v>
      </c>
      <c r="O22" s="138">
        <v>2035</v>
      </c>
      <c r="P22" s="138">
        <v>2036</v>
      </c>
      <c r="Q22" s="138">
        <v>2037</v>
      </c>
      <c r="R22" s="138">
        <v>2038</v>
      </c>
      <c r="S22" s="138">
        <v>2039</v>
      </c>
      <c r="T22" s="138">
        <v>2040</v>
      </c>
      <c r="U22" s="138">
        <v>2041</v>
      </c>
      <c r="V22" s="138">
        <v>2042</v>
      </c>
      <c r="W22" s="138">
        <v>2043</v>
      </c>
      <c r="X22" s="138">
        <v>2044</v>
      </c>
      <c r="Y22" s="138">
        <v>2045</v>
      </c>
      <c r="Z22" s="138">
        <v>2046</v>
      </c>
      <c r="AA22" s="138">
        <v>2047</v>
      </c>
      <c r="AB22" s="138">
        <v>2048</v>
      </c>
      <c r="AC22" s="138">
        <v>2049</v>
      </c>
      <c r="AD22" s="138">
        <v>2050</v>
      </c>
      <c r="AE22" s="138">
        <v>2051</v>
      </c>
      <c r="AF22" s="138">
        <v>2052</v>
      </c>
      <c r="AG22" s="138">
        <v>2053</v>
      </c>
      <c r="AH22" s="138">
        <v>2054</v>
      </c>
      <c r="AI22" s="138">
        <v>2055</v>
      </c>
      <c r="AJ22" s="138">
        <v>2056</v>
      </c>
      <c r="AK22" s="138">
        <v>2057</v>
      </c>
      <c r="AL22" s="138">
        <v>2058</v>
      </c>
      <c r="AM22" s="138">
        <v>2059</v>
      </c>
      <c r="AN22" s="138">
        <v>2060</v>
      </c>
      <c r="AO22" s="138">
        <v>2061</v>
      </c>
      <c r="AP22" s="138">
        <v>2062</v>
      </c>
      <c r="AQ22" s="138">
        <v>2063</v>
      </c>
      <c r="AR22" s="138">
        <v>2064</v>
      </c>
      <c r="AS22" s="138">
        <v>2065</v>
      </c>
      <c r="AT22" s="138">
        <v>2066</v>
      </c>
      <c r="AU22" s="138">
        <v>2067</v>
      </c>
      <c r="AV22" s="138">
        <v>2068</v>
      </c>
      <c r="AW22" s="138">
        <v>2069</v>
      </c>
      <c r="AX22" s="138">
        <v>2070</v>
      </c>
      <c r="AY22" s="138">
        <v>2071</v>
      </c>
      <c r="AZ22" s="138">
        <v>2072</v>
      </c>
      <c r="BA22" s="138">
        <v>2073</v>
      </c>
      <c r="BB22" s="138">
        <v>2074</v>
      </c>
    </row>
    <row r="23" spans="2:54" x14ac:dyDescent="0.2">
      <c r="B23" s="623" t="s">
        <v>37</v>
      </c>
      <c r="C23" s="3"/>
      <c r="D23" s="79">
        <v>2.7E-2</v>
      </c>
      <c r="E23" s="79">
        <v>2.8000000000000001E-2</v>
      </c>
      <c r="F23" s="79">
        <v>2.1000000000000001E-2</v>
      </c>
      <c r="G23" s="79">
        <v>1.7000000000000001E-2</v>
      </c>
      <c r="H23" s="79">
        <v>1.7999999999999999E-2</v>
      </c>
      <c r="I23" s="79">
        <v>1.6E-2</v>
      </c>
      <c r="J23" s="79">
        <v>1.6E-2</v>
      </c>
      <c r="K23" s="79">
        <v>1.4999999999999999E-2</v>
      </c>
      <c r="L23" s="79">
        <v>1.4999999999999999E-2</v>
      </c>
      <c r="M23" s="79">
        <v>1.4999999999999999E-2</v>
      </c>
      <c r="N23" s="79">
        <v>1.4999999999999999E-2</v>
      </c>
      <c r="O23" s="79">
        <v>1.4999999999999999E-2</v>
      </c>
      <c r="P23" s="79">
        <v>1.4999999999999999E-2</v>
      </c>
      <c r="Q23" s="79">
        <v>1.4999999999999999E-2</v>
      </c>
      <c r="R23" s="79">
        <v>1.4999999999999999E-2</v>
      </c>
      <c r="S23" s="79">
        <v>1.4999999999999999E-2</v>
      </c>
      <c r="T23" s="79">
        <v>1.4999999999999999E-2</v>
      </c>
      <c r="U23" s="79">
        <v>1.2999999999999999E-2</v>
      </c>
      <c r="V23" s="79">
        <v>1.2999999999999999E-2</v>
      </c>
      <c r="W23" s="79">
        <v>1.2999999999999999E-2</v>
      </c>
      <c r="X23" s="79">
        <v>1.2999999999999999E-2</v>
      </c>
      <c r="Y23" s="79">
        <v>1.2999999999999999E-2</v>
      </c>
      <c r="Z23" s="79">
        <v>1.2999999999999999E-2</v>
      </c>
      <c r="AA23" s="79">
        <v>1.2999999999999999E-2</v>
      </c>
      <c r="AB23" s="79">
        <v>1.2999999999999999E-2</v>
      </c>
      <c r="AC23" s="79">
        <v>1.2999999999999999E-2</v>
      </c>
      <c r="AD23" s="79">
        <v>1.2999999999999999E-2</v>
      </c>
      <c r="AE23" s="79">
        <v>1.2E-2</v>
      </c>
      <c r="AF23" s="79">
        <v>1.2E-2</v>
      </c>
      <c r="AG23" s="79">
        <v>1.2E-2</v>
      </c>
      <c r="AH23" s="79">
        <v>1.2E-2</v>
      </c>
      <c r="AI23" s="79">
        <v>1.2E-2</v>
      </c>
      <c r="AJ23" s="79">
        <v>1.2E-2</v>
      </c>
      <c r="AK23" s="79">
        <v>1.2E-2</v>
      </c>
      <c r="AL23" s="79">
        <v>1.2E-2</v>
      </c>
      <c r="AM23" s="79">
        <v>1.2E-2</v>
      </c>
      <c r="AN23" s="79">
        <v>1.2E-2</v>
      </c>
      <c r="AO23" s="79">
        <v>1.2999999999999999E-2</v>
      </c>
      <c r="AP23" s="79">
        <v>1.2999999999999999E-2</v>
      </c>
      <c r="AQ23" s="79">
        <v>1.2999999999999999E-2</v>
      </c>
      <c r="AR23" s="79">
        <v>1.2999999999999999E-2</v>
      </c>
      <c r="AS23" s="79">
        <v>1.2999999999999999E-2</v>
      </c>
      <c r="AT23" s="79">
        <v>1.2999999999999999E-2</v>
      </c>
      <c r="AU23" s="79">
        <v>1.2999999999999999E-2</v>
      </c>
      <c r="AV23" s="79">
        <v>1.2999999999999999E-2</v>
      </c>
      <c r="AW23" s="79">
        <v>1.2999999999999999E-2</v>
      </c>
      <c r="AX23" s="79">
        <v>1.2999999999999999E-2</v>
      </c>
      <c r="AY23" s="79">
        <v>1.2999999999999999E-2</v>
      </c>
      <c r="AZ23" s="79">
        <v>1.2999999999999999E-2</v>
      </c>
      <c r="BA23" s="79">
        <v>1.2999999999999999E-2</v>
      </c>
      <c r="BB23" s="79">
        <v>1.2999999999999999E-2</v>
      </c>
    </row>
    <row r="24" spans="2:54" x14ac:dyDescent="0.2">
      <c r="B24" s="1" t="s">
        <v>346</v>
      </c>
    </row>
    <row r="25" spans="2:54" x14ac:dyDescent="0.2">
      <c r="B25" s="1"/>
    </row>
    <row r="26" spans="2:54" x14ac:dyDescent="0.2">
      <c r="B26" s="629" t="s">
        <v>307</v>
      </c>
      <c r="C26" s="630" t="s">
        <v>306</v>
      </c>
      <c r="D26" s="630" t="s">
        <v>225</v>
      </c>
      <c r="E26" s="630"/>
      <c r="F26" s="630"/>
      <c r="G26" s="630"/>
      <c r="H26" s="630"/>
      <c r="I26" s="630"/>
    </row>
    <row r="27" spans="2:54" x14ac:dyDescent="0.2">
      <c r="B27" s="629"/>
      <c r="C27" s="630"/>
      <c r="D27" s="136" t="s">
        <v>229</v>
      </c>
      <c r="E27" s="136" t="s">
        <v>229</v>
      </c>
      <c r="F27" s="136" t="s">
        <v>229</v>
      </c>
      <c r="G27" s="136" t="s">
        <v>216</v>
      </c>
      <c r="H27" s="136" t="s">
        <v>229</v>
      </c>
      <c r="I27" s="136" t="s">
        <v>232</v>
      </c>
    </row>
    <row r="28" spans="2:54" ht="22.5" x14ac:dyDescent="0.2">
      <c r="B28" s="629"/>
      <c r="C28" s="630"/>
      <c r="D28" s="139" t="s">
        <v>230</v>
      </c>
      <c r="E28" s="139" t="s">
        <v>231</v>
      </c>
      <c r="F28" s="139" t="s">
        <v>239</v>
      </c>
      <c r="G28" s="139" t="s">
        <v>240</v>
      </c>
      <c r="H28" s="139" t="s">
        <v>240</v>
      </c>
      <c r="I28" s="139" t="s">
        <v>233</v>
      </c>
    </row>
    <row r="29" spans="2:54" x14ac:dyDescent="0.2">
      <c r="B29" s="130" t="s">
        <v>305</v>
      </c>
      <c r="C29" s="131" t="s">
        <v>226</v>
      </c>
      <c r="D29" s="270">
        <v>6.6</v>
      </c>
      <c r="E29" s="269">
        <v>7.9</v>
      </c>
      <c r="F29" s="269">
        <v>13.2</v>
      </c>
      <c r="G29" s="269">
        <v>9.6</v>
      </c>
      <c r="H29" s="269">
        <v>8.4</v>
      </c>
      <c r="I29" s="269">
        <v>7.5</v>
      </c>
    </row>
    <row r="30" spans="2:54" x14ac:dyDescent="0.2">
      <c r="B30" s="130" t="s">
        <v>267</v>
      </c>
      <c r="C30" s="131" t="s">
        <v>227</v>
      </c>
      <c r="D30" s="270">
        <v>79.7</v>
      </c>
      <c r="E30" s="269">
        <v>79.7</v>
      </c>
      <c r="F30" s="269">
        <v>95.6</v>
      </c>
      <c r="G30" s="269">
        <v>79.7</v>
      </c>
      <c r="H30" s="269">
        <v>79.7</v>
      </c>
      <c r="I30" s="269">
        <v>79.7</v>
      </c>
    </row>
    <row r="31" spans="2:54" x14ac:dyDescent="0.2">
      <c r="B31" s="1" t="s">
        <v>481</v>
      </c>
    </row>
    <row r="33" spans="2:5" ht="33.75" x14ac:dyDescent="0.2">
      <c r="B33" s="140" t="s">
        <v>271</v>
      </c>
      <c r="C33" s="136" t="s">
        <v>272</v>
      </c>
    </row>
    <row r="34" spans="2:5" x14ac:dyDescent="0.2">
      <c r="B34" s="134" t="s">
        <v>268</v>
      </c>
      <c r="C34" s="179">
        <v>2.75E-2</v>
      </c>
    </row>
    <row r="35" spans="2:5" x14ac:dyDescent="0.2">
      <c r="B35" s="134" t="s">
        <v>269</v>
      </c>
      <c r="C35" s="179">
        <v>1.8200000000000001E-2</v>
      </c>
    </row>
    <row r="36" spans="2:5" x14ac:dyDescent="0.2">
      <c r="B36" s="134" t="s">
        <v>270</v>
      </c>
      <c r="C36" s="179">
        <v>2.46E-2</v>
      </c>
    </row>
    <row r="37" spans="2:5" x14ac:dyDescent="0.2">
      <c r="B37" s="1" t="s">
        <v>72</v>
      </c>
    </row>
    <row r="39" spans="2:5" ht="17.25" customHeight="1" x14ac:dyDescent="0.2">
      <c r="B39" s="623" t="s">
        <v>7</v>
      </c>
      <c r="C39" s="623"/>
      <c r="E39" s="2" t="s">
        <v>96</v>
      </c>
    </row>
    <row r="40" spans="2:5" x14ac:dyDescent="0.2">
      <c r="B40" s="29" t="s">
        <v>65</v>
      </c>
      <c r="C40" s="74">
        <v>0.9</v>
      </c>
      <c r="E40" s="2" t="s">
        <v>97</v>
      </c>
    </row>
    <row r="41" spans="2:5" x14ac:dyDescent="0.2">
      <c r="B41" s="3" t="s">
        <v>94</v>
      </c>
      <c r="C41" s="75">
        <v>0.54</v>
      </c>
    </row>
    <row r="42" spans="2:5" x14ac:dyDescent="0.2">
      <c r="B42" s="3" t="s">
        <v>93</v>
      </c>
      <c r="C42" s="75">
        <v>0.64</v>
      </c>
    </row>
    <row r="43" spans="2:5" x14ac:dyDescent="0.2">
      <c r="B43" s="3" t="s">
        <v>308</v>
      </c>
      <c r="C43" s="75">
        <v>0.99</v>
      </c>
    </row>
    <row r="44" spans="2:5" x14ac:dyDescent="0.2">
      <c r="B44" s="3" t="s">
        <v>66</v>
      </c>
      <c r="C44" s="75">
        <v>1</v>
      </c>
    </row>
    <row r="45" spans="2:5" x14ac:dyDescent="0.2">
      <c r="B45" s="1" t="s">
        <v>309</v>
      </c>
      <c r="C45" s="78"/>
    </row>
    <row r="46" spans="2:5" x14ac:dyDescent="0.2">
      <c r="B46" s="1"/>
      <c r="C46" s="78"/>
    </row>
    <row r="47" spans="2:5" ht="17.25" customHeight="1" x14ac:dyDescent="0.2">
      <c r="B47" s="135" t="s">
        <v>95</v>
      </c>
      <c r="C47" s="180">
        <v>0.9</v>
      </c>
      <c r="E47" s="2" t="s">
        <v>98</v>
      </c>
    </row>
    <row r="48" spans="2:5" x14ac:dyDescent="0.2">
      <c r="B48" s="1" t="s">
        <v>309</v>
      </c>
    </row>
    <row r="50" spans="2:54" ht="34.5" customHeight="1" x14ac:dyDescent="0.2">
      <c r="B50" s="141" t="s">
        <v>67</v>
      </c>
      <c r="C50" s="142" t="s">
        <v>197</v>
      </c>
      <c r="D50" s="142" t="s">
        <v>68</v>
      </c>
      <c r="E50" s="142" t="s">
        <v>69</v>
      </c>
    </row>
    <row r="51" spans="2:54" x14ac:dyDescent="0.2">
      <c r="B51" s="3" t="s">
        <v>101</v>
      </c>
      <c r="C51" s="69">
        <v>7.2999999999999995E-2</v>
      </c>
      <c r="D51" s="69">
        <v>0.24399999999999999</v>
      </c>
      <c r="E51" s="69">
        <v>0.68300000000000005</v>
      </c>
      <c r="F51" s="746">
        <f>SUM(C51:E51)</f>
        <v>1</v>
      </c>
    </row>
    <row r="52" spans="2:54" x14ac:dyDescent="0.2">
      <c r="B52" s="3" t="s">
        <v>73</v>
      </c>
      <c r="C52" s="69">
        <v>3.6999999999999998E-2</v>
      </c>
      <c r="D52" s="69">
        <v>0.33800000000000002</v>
      </c>
      <c r="E52" s="69">
        <v>0.625</v>
      </c>
      <c r="F52" s="746">
        <f t="shared" ref="F52:F54" si="0">SUM(C52:E52)</f>
        <v>1</v>
      </c>
    </row>
    <row r="53" spans="2:54" x14ac:dyDescent="0.2">
      <c r="B53" s="3" t="s">
        <v>70</v>
      </c>
      <c r="C53" s="69">
        <v>3.7999999999999999E-2</v>
      </c>
      <c r="D53" s="69">
        <v>0.39200000000000002</v>
      </c>
      <c r="E53" s="69">
        <v>0.56999999999999995</v>
      </c>
      <c r="F53" s="746">
        <f t="shared" si="0"/>
        <v>1</v>
      </c>
    </row>
    <row r="54" spans="2:54" x14ac:dyDescent="0.2">
      <c r="B54" s="3" t="s">
        <v>102</v>
      </c>
      <c r="C54" s="69">
        <v>4.2999999999999997E-2</v>
      </c>
      <c r="D54" s="69">
        <v>0.25600000000000001</v>
      </c>
      <c r="E54" s="69">
        <v>0.70099999999999996</v>
      </c>
      <c r="F54" s="746">
        <f t="shared" si="0"/>
        <v>1</v>
      </c>
    </row>
    <row r="55" spans="2:54" x14ac:dyDescent="0.2">
      <c r="B55" s="1" t="s">
        <v>482</v>
      </c>
    </row>
    <row r="57" spans="2:54" ht="17.25" customHeight="1" x14ac:dyDescent="0.2">
      <c r="B57" s="143" t="s">
        <v>105</v>
      </c>
      <c r="C57" s="138">
        <v>2024</v>
      </c>
      <c r="D57" s="138">
        <v>2025</v>
      </c>
      <c r="E57" s="138">
        <v>2026</v>
      </c>
      <c r="F57" s="138">
        <v>2027</v>
      </c>
      <c r="G57" s="138">
        <v>2028</v>
      </c>
      <c r="H57" s="138">
        <v>2029</v>
      </c>
      <c r="I57" s="138">
        <v>2030</v>
      </c>
      <c r="J57" s="138">
        <v>2031</v>
      </c>
      <c r="K57" s="138">
        <v>2032</v>
      </c>
      <c r="L57" s="138">
        <v>2033</v>
      </c>
      <c r="M57" s="138">
        <v>2034</v>
      </c>
      <c r="N57" s="138">
        <v>2035</v>
      </c>
      <c r="O57" s="138">
        <v>2036</v>
      </c>
      <c r="P57" s="138">
        <v>2037</v>
      </c>
      <c r="Q57" s="138">
        <v>2038</v>
      </c>
      <c r="R57" s="138">
        <v>2039</v>
      </c>
      <c r="S57" s="138">
        <v>2040</v>
      </c>
      <c r="T57" s="138">
        <v>2041</v>
      </c>
      <c r="U57" s="138">
        <v>2042</v>
      </c>
      <c r="V57" s="138">
        <v>2043</v>
      </c>
      <c r="W57" s="138">
        <v>2044</v>
      </c>
      <c r="X57" s="138">
        <v>2045</v>
      </c>
      <c r="Y57" s="138">
        <v>2046</v>
      </c>
      <c r="Z57" s="138">
        <v>2047</v>
      </c>
      <c r="AA57" s="138">
        <v>2048</v>
      </c>
      <c r="AB57" s="138">
        <v>2049</v>
      </c>
      <c r="AC57" s="138">
        <v>2050</v>
      </c>
      <c r="AD57" s="138">
        <v>2051</v>
      </c>
      <c r="AE57" s="138">
        <v>2052</v>
      </c>
      <c r="AF57" s="138">
        <v>2053</v>
      </c>
      <c r="AG57" s="138">
        <v>2054</v>
      </c>
      <c r="AH57" s="138">
        <v>2055</v>
      </c>
      <c r="AI57" s="138">
        <v>2056</v>
      </c>
      <c r="AJ57" s="138">
        <v>2057</v>
      </c>
      <c r="AK57" s="138">
        <v>2058</v>
      </c>
      <c r="AL57" s="138">
        <v>2059</v>
      </c>
      <c r="AM57" s="138">
        <v>2060</v>
      </c>
      <c r="AN57" s="138">
        <v>2061</v>
      </c>
      <c r="AO57" s="138">
        <v>2062</v>
      </c>
      <c r="AP57" s="138">
        <v>2063</v>
      </c>
      <c r="AQ57" s="138">
        <v>2064</v>
      </c>
      <c r="AR57" s="138">
        <v>2065</v>
      </c>
      <c r="AS57" s="138">
        <v>2066</v>
      </c>
      <c r="AT57" s="138">
        <v>2067</v>
      </c>
      <c r="AU57" s="138">
        <v>2068</v>
      </c>
      <c r="AV57" s="138">
        <v>2069</v>
      </c>
      <c r="AW57" s="138">
        <v>2070</v>
      </c>
      <c r="AX57" s="138">
        <v>2071</v>
      </c>
      <c r="AY57" s="138">
        <v>2072</v>
      </c>
      <c r="AZ57" s="138">
        <v>2073</v>
      </c>
      <c r="BA57" s="138">
        <v>2074</v>
      </c>
      <c r="BB57" s="138">
        <v>2075</v>
      </c>
    </row>
    <row r="58" spans="2:54" x14ac:dyDescent="0.2">
      <c r="B58" s="64" t="s">
        <v>147</v>
      </c>
      <c r="C58" s="65">
        <v>20.83</v>
      </c>
      <c r="D58" s="65">
        <f>ROUND(C58*(1+(0.8*D23)),2)</f>
        <v>21.28</v>
      </c>
      <c r="E58" s="65">
        <f t="shared" ref="E58:BB58" si="1">ROUND(D58*(1+(0.8*E23)),2)</f>
        <v>21.76</v>
      </c>
      <c r="F58" s="65">
        <f t="shared" si="1"/>
        <v>22.13</v>
      </c>
      <c r="G58" s="65">
        <f t="shared" si="1"/>
        <v>22.43</v>
      </c>
      <c r="H58" s="65">
        <f t="shared" si="1"/>
        <v>22.75</v>
      </c>
      <c r="I58" s="65">
        <f t="shared" si="1"/>
        <v>23.04</v>
      </c>
      <c r="J58" s="65">
        <f t="shared" si="1"/>
        <v>23.33</v>
      </c>
      <c r="K58" s="65">
        <f t="shared" si="1"/>
        <v>23.61</v>
      </c>
      <c r="L58" s="65">
        <f t="shared" si="1"/>
        <v>23.89</v>
      </c>
      <c r="M58" s="65">
        <f t="shared" si="1"/>
        <v>24.18</v>
      </c>
      <c r="N58" s="65">
        <f t="shared" si="1"/>
        <v>24.47</v>
      </c>
      <c r="O58" s="65">
        <f t="shared" si="1"/>
        <v>24.76</v>
      </c>
      <c r="P58" s="65">
        <f t="shared" si="1"/>
        <v>25.06</v>
      </c>
      <c r="Q58" s="65">
        <f t="shared" si="1"/>
        <v>25.36</v>
      </c>
      <c r="R58" s="65">
        <f t="shared" si="1"/>
        <v>25.66</v>
      </c>
      <c r="S58" s="65">
        <f t="shared" si="1"/>
        <v>25.97</v>
      </c>
      <c r="T58" s="65">
        <f t="shared" si="1"/>
        <v>26.28</v>
      </c>
      <c r="U58" s="65">
        <f t="shared" si="1"/>
        <v>26.55</v>
      </c>
      <c r="V58" s="65">
        <f t="shared" si="1"/>
        <v>26.83</v>
      </c>
      <c r="W58" s="65">
        <f t="shared" si="1"/>
        <v>27.11</v>
      </c>
      <c r="X58" s="65">
        <f t="shared" si="1"/>
        <v>27.39</v>
      </c>
      <c r="Y58" s="65">
        <f t="shared" si="1"/>
        <v>27.67</v>
      </c>
      <c r="Z58" s="65">
        <f t="shared" si="1"/>
        <v>27.96</v>
      </c>
      <c r="AA58" s="65">
        <f t="shared" si="1"/>
        <v>28.25</v>
      </c>
      <c r="AB58" s="65">
        <f t="shared" si="1"/>
        <v>28.54</v>
      </c>
      <c r="AC58" s="65">
        <f t="shared" si="1"/>
        <v>28.84</v>
      </c>
      <c r="AD58" s="65">
        <f t="shared" si="1"/>
        <v>29.14</v>
      </c>
      <c r="AE58" s="65">
        <f t="shared" si="1"/>
        <v>29.42</v>
      </c>
      <c r="AF58" s="65">
        <f t="shared" si="1"/>
        <v>29.7</v>
      </c>
      <c r="AG58" s="65">
        <f t="shared" si="1"/>
        <v>29.99</v>
      </c>
      <c r="AH58" s="65">
        <f t="shared" si="1"/>
        <v>30.28</v>
      </c>
      <c r="AI58" s="65">
        <f t="shared" si="1"/>
        <v>30.57</v>
      </c>
      <c r="AJ58" s="65">
        <f t="shared" si="1"/>
        <v>30.86</v>
      </c>
      <c r="AK58" s="65">
        <f t="shared" si="1"/>
        <v>31.16</v>
      </c>
      <c r="AL58" s="65">
        <f t="shared" si="1"/>
        <v>31.46</v>
      </c>
      <c r="AM58" s="65">
        <f t="shared" si="1"/>
        <v>31.76</v>
      </c>
      <c r="AN58" s="65">
        <f t="shared" si="1"/>
        <v>32.06</v>
      </c>
      <c r="AO58" s="65">
        <f t="shared" si="1"/>
        <v>32.39</v>
      </c>
      <c r="AP58" s="65">
        <f t="shared" si="1"/>
        <v>32.729999999999997</v>
      </c>
      <c r="AQ58" s="65">
        <f t="shared" si="1"/>
        <v>33.07</v>
      </c>
      <c r="AR58" s="65">
        <f t="shared" si="1"/>
        <v>33.409999999999997</v>
      </c>
      <c r="AS58" s="65">
        <f t="shared" si="1"/>
        <v>33.76</v>
      </c>
      <c r="AT58" s="65">
        <f t="shared" si="1"/>
        <v>34.11</v>
      </c>
      <c r="AU58" s="65">
        <f t="shared" si="1"/>
        <v>34.46</v>
      </c>
      <c r="AV58" s="65">
        <f t="shared" si="1"/>
        <v>34.82</v>
      </c>
      <c r="AW58" s="65">
        <f t="shared" si="1"/>
        <v>35.18</v>
      </c>
      <c r="AX58" s="65">
        <f t="shared" si="1"/>
        <v>35.549999999999997</v>
      </c>
      <c r="AY58" s="65">
        <f t="shared" si="1"/>
        <v>35.92</v>
      </c>
      <c r="AZ58" s="65">
        <f t="shared" si="1"/>
        <v>36.29</v>
      </c>
      <c r="BA58" s="65">
        <f t="shared" si="1"/>
        <v>36.67</v>
      </c>
      <c r="BB58" s="65">
        <f t="shared" si="1"/>
        <v>37.049999999999997</v>
      </c>
    </row>
    <row r="59" spans="2:54" x14ac:dyDescent="0.2">
      <c r="B59" s="44" t="s">
        <v>103</v>
      </c>
      <c r="C59" s="66">
        <v>9.83</v>
      </c>
      <c r="D59" s="66">
        <f>ROUND(C59*(1+(0.8*D23)),2)</f>
        <v>10.039999999999999</v>
      </c>
      <c r="E59" s="66">
        <f t="shared" ref="E59:BB59" si="2">ROUND(D59*(1+(0.8*E23)),2)</f>
        <v>10.26</v>
      </c>
      <c r="F59" s="66">
        <f t="shared" si="2"/>
        <v>10.43</v>
      </c>
      <c r="G59" s="66">
        <f t="shared" si="2"/>
        <v>10.57</v>
      </c>
      <c r="H59" s="66">
        <f t="shared" si="2"/>
        <v>10.72</v>
      </c>
      <c r="I59" s="66">
        <f t="shared" si="2"/>
        <v>10.86</v>
      </c>
      <c r="J59" s="66">
        <f t="shared" si="2"/>
        <v>11</v>
      </c>
      <c r="K59" s="66">
        <f t="shared" si="2"/>
        <v>11.13</v>
      </c>
      <c r="L59" s="66">
        <f t="shared" si="2"/>
        <v>11.26</v>
      </c>
      <c r="M59" s="66">
        <f t="shared" si="2"/>
        <v>11.4</v>
      </c>
      <c r="N59" s="66">
        <f t="shared" si="2"/>
        <v>11.54</v>
      </c>
      <c r="O59" s="66">
        <f t="shared" si="2"/>
        <v>11.68</v>
      </c>
      <c r="P59" s="66">
        <f t="shared" si="2"/>
        <v>11.82</v>
      </c>
      <c r="Q59" s="66">
        <f t="shared" si="2"/>
        <v>11.96</v>
      </c>
      <c r="R59" s="66">
        <f t="shared" si="2"/>
        <v>12.1</v>
      </c>
      <c r="S59" s="66">
        <f t="shared" si="2"/>
        <v>12.25</v>
      </c>
      <c r="T59" s="66">
        <f t="shared" si="2"/>
        <v>12.4</v>
      </c>
      <c r="U59" s="66">
        <f t="shared" si="2"/>
        <v>12.53</v>
      </c>
      <c r="V59" s="66">
        <f t="shared" si="2"/>
        <v>12.66</v>
      </c>
      <c r="W59" s="66">
        <f t="shared" si="2"/>
        <v>12.79</v>
      </c>
      <c r="X59" s="66">
        <f t="shared" si="2"/>
        <v>12.92</v>
      </c>
      <c r="Y59" s="66">
        <f t="shared" si="2"/>
        <v>13.05</v>
      </c>
      <c r="Z59" s="66">
        <f t="shared" si="2"/>
        <v>13.19</v>
      </c>
      <c r="AA59" s="66">
        <f t="shared" si="2"/>
        <v>13.33</v>
      </c>
      <c r="AB59" s="66">
        <f t="shared" si="2"/>
        <v>13.47</v>
      </c>
      <c r="AC59" s="66">
        <f t="shared" si="2"/>
        <v>13.61</v>
      </c>
      <c r="AD59" s="66">
        <f t="shared" si="2"/>
        <v>13.75</v>
      </c>
      <c r="AE59" s="66">
        <f t="shared" si="2"/>
        <v>13.88</v>
      </c>
      <c r="AF59" s="66">
        <f t="shared" si="2"/>
        <v>14.01</v>
      </c>
      <c r="AG59" s="66">
        <f t="shared" si="2"/>
        <v>14.14</v>
      </c>
      <c r="AH59" s="66">
        <f t="shared" si="2"/>
        <v>14.28</v>
      </c>
      <c r="AI59" s="66">
        <f t="shared" si="2"/>
        <v>14.42</v>
      </c>
      <c r="AJ59" s="66">
        <f t="shared" si="2"/>
        <v>14.56</v>
      </c>
      <c r="AK59" s="66">
        <f t="shared" si="2"/>
        <v>14.7</v>
      </c>
      <c r="AL59" s="66">
        <f t="shared" si="2"/>
        <v>14.84</v>
      </c>
      <c r="AM59" s="66">
        <f t="shared" si="2"/>
        <v>14.98</v>
      </c>
      <c r="AN59" s="66">
        <f t="shared" si="2"/>
        <v>15.12</v>
      </c>
      <c r="AO59" s="66">
        <f t="shared" si="2"/>
        <v>15.28</v>
      </c>
      <c r="AP59" s="66">
        <f t="shared" si="2"/>
        <v>15.44</v>
      </c>
      <c r="AQ59" s="66">
        <f t="shared" si="2"/>
        <v>15.6</v>
      </c>
      <c r="AR59" s="66">
        <f t="shared" si="2"/>
        <v>15.76</v>
      </c>
      <c r="AS59" s="66">
        <f t="shared" si="2"/>
        <v>15.92</v>
      </c>
      <c r="AT59" s="66">
        <f t="shared" si="2"/>
        <v>16.09</v>
      </c>
      <c r="AU59" s="66">
        <f t="shared" si="2"/>
        <v>16.260000000000002</v>
      </c>
      <c r="AV59" s="66">
        <f t="shared" si="2"/>
        <v>16.43</v>
      </c>
      <c r="AW59" s="66">
        <f t="shared" si="2"/>
        <v>16.600000000000001</v>
      </c>
      <c r="AX59" s="66">
        <f t="shared" si="2"/>
        <v>16.77</v>
      </c>
      <c r="AY59" s="66">
        <f t="shared" si="2"/>
        <v>16.940000000000001</v>
      </c>
      <c r="AZ59" s="66">
        <f t="shared" si="2"/>
        <v>17.12</v>
      </c>
      <c r="BA59" s="66">
        <f t="shared" si="2"/>
        <v>17.3</v>
      </c>
      <c r="BB59" s="66">
        <f t="shared" si="2"/>
        <v>17.48</v>
      </c>
    </row>
    <row r="60" spans="2:54" x14ac:dyDescent="0.2">
      <c r="B60" s="67" t="s">
        <v>104</v>
      </c>
      <c r="C60" s="66">
        <v>6.42</v>
      </c>
      <c r="D60" s="66">
        <f>ROUND(C60*(1+(0.8*D23)),2)</f>
        <v>6.56</v>
      </c>
      <c r="E60" s="66">
        <f t="shared" ref="E60:BB60" si="3">ROUND(D60*(1+(0.8*E23)),2)</f>
        <v>6.71</v>
      </c>
      <c r="F60" s="66">
        <f t="shared" si="3"/>
        <v>6.82</v>
      </c>
      <c r="G60" s="66">
        <f t="shared" si="3"/>
        <v>6.91</v>
      </c>
      <c r="H60" s="66">
        <f t="shared" si="3"/>
        <v>7.01</v>
      </c>
      <c r="I60" s="66">
        <f t="shared" si="3"/>
        <v>7.1</v>
      </c>
      <c r="J60" s="66">
        <f t="shared" si="3"/>
        <v>7.19</v>
      </c>
      <c r="K60" s="66">
        <f t="shared" si="3"/>
        <v>7.28</v>
      </c>
      <c r="L60" s="66">
        <f t="shared" si="3"/>
        <v>7.37</v>
      </c>
      <c r="M60" s="66">
        <f t="shared" si="3"/>
        <v>7.46</v>
      </c>
      <c r="N60" s="66">
        <f t="shared" si="3"/>
        <v>7.55</v>
      </c>
      <c r="O60" s="66">
        <f t="shared" si="3"/>
        <v>7.64</v>
      </c>
      <c r="P60" s="66">
        <f t="shared" si="3"/>
        <v>7.73</v>
      </c>
      <c r="Q60" s="66">
        <f t="shared" si="3"/>
        <v>7.82</v>
      </c>
      <c r="R60" s="66">
        <f t="shared" si="3"/>
        <v>7.91</v>
      </c>
      <c r="S60" s="66">
        <f t="shared" si="3"/>
        <v>8</v>
      </c>
      <c r="T60" s="66">
        <f t="shared" si="3"/>
        <v>8.1</v>
      </c>
      <c r="U60" s="66">
        <f t="shared" si="3"/>
        <v>8.18</v>
      </c>
      <c r="V60" s="66">
        <f t="shared" si="3"/>
        <v>8.27</v>
      </c>
      <c r="W60" s="66">
        <f t="shared" si="3"/>
        <v>8.36</v>
      </c>
      <c r="X60" s="66">
        <f t="shared" si="3"/>
        <v>8.4499999999999993</v>
      </c>
      <c r="Y60" s="66">
        <f t="shared" si="3"/>
        <v>8.5399999999999991</v>
      </c>
      <c r="Z60" s="66">
        <f t="shared" si="3"/>
        <v>8.6300000000000008</v>
      </c>
      <c r="AA60" s="66">
        <f t="shared" si="3"/>
        <v>8.7200000000000006</v>
      </c>
      <c r="AB60" s="66">
        <f t="shared" si="3"/>
        <v>8.81</v>
      </c>
      <c r="AC60" s="66">
        <f t="shared" si="3"/>
        <v>8.9</v>
      </c>
      <c r="AD60" s="66">
        <f t="shared" si="3"/>
        <v>8.99</v>
      </c>
      <c r="AE60" s="66">
        <f t="shared" si="3"/>
        <v>9.08</v>
      </c>
      <c r="AF60" s="66">
        <f t="shared" si="3"/>
        <v>9.17</v>
      </c>
      <c r="AG60" s="66">
        <f t="shared" si="3"/>
        <v>9.26</v>
      </c>
      <c r="AH60" s="66">
        <f t="shared" si="3"/>
        <v>9.35</v>
      </c>
      <c r="AI60" s="66">
        <f t="shared" si="3"/>
        <v>9.44</v>
      </c>
      <c r="AJ60" s="66">
        <f t="shared" si="3"/>
        <v>9.5299999999999994</v>
      </c>
      <c r="AK60" s="66">
        <f t="shared" si="3"/>
        <v>9.6199999999999992</v>
      </c>
      <c r="AL60" s="66">
        <f t="shared" si="3"/>
        <v>9.7100000000000009</v>
      </c>
      <c r="AM60" s="66">
        <f t="shared" si="3"/>
        <v>9.8000000000000007</v>
      </c>
      <c r="AN60" s="66">
        <f t="shared" si="3"/>
        <v>9.89</v>
      </c>
      <c r="AO60" s="66">
        <f t="shared" si="3"/>
        <v>9.99</v>
      </c>
      <c r="AP60" s="66">
        <f t="shared" si="3"/>
        <v>10.09</v>
      </c>
      <c r="AQ60" s="66">
        <f t="shared" si="3"/>
        <v>10.19</v>
      </c>
      <c r="AR60" s="66">
        <f t="shared" si="3"/>
        <v>10.3</v>
      </c>
      <c r="AS60" s="66">
        <f t="shared" si="3"/>
        <v>10.41</v>
      </c>
      <c r="AT60" s="66">
        <f t="shared" si="3"/>
        <v>10.52</v>
      </c>
      <c r="AU60" s="66">
        <f t="shared" si="3"/>
        <v>10.63</v>
      </c>
      <c r="AV60" s="66">
        <f t="shared" si="3"/>
        <v>10.74</v>
      </c>
      <c r="AW60" s="66">
        <f t="shared" si="3"/>
        <v>10.85</v>
      </c>
      <c r="AX60" s="66">
        <f t="shared" si="3"/>
        <v>10.96</v>
      </c>
      <c r="AY60" s="66">
        <f t="shared" si="3"/>
        <v>11.07</v>
      </c>
      <c r="AZ60" s="66">
        <f t="shared" si="3"/>
        <v>11.19</v>
      </c>
      <c r="BA60" s="66">
        <f t="shared" si="3"/>
        <v>11.31</v>
      </c>
      <c r="BB60" s="66">
        <f t="shared" si="3"/>
        <v>11.43</v>
      </c>
    </row>
    <row r="61" spans="2:54" x14ac:dyDescent="0.2">
      <c r="B61" s="1" t="s">
        <v>74</v>
      </c>
    </row>
    <row r="62" spans="2:54" x14ac:dyDescent="0.2">
      <c r="B62" s="1"/>
    </row>
    <row r="63" spans="2:54" x14ac:dyDescent="0.2">
      <c r="B63" s="15" t="s">
        <v>311</v>
      </c>
    </row>
    <row r="64" spans="2:54" x14ac:dyDescent="0.2">
      <c r="B64" s="182" t="s">
        <v>312</v>
      </c>
      <c r="C64" s="183" t="s">
        <v>313</v>
      </c>
      <c r="D64" s="183" t="s">
        <v>314</v>
      </c>
      <c r="E64" s="183" t="s">
        <v>315</v>
      </c>
      <c r="F64" s="183" t="s">
        <v>316</v>
      </c>
      <c r="G64" s="183" t="s">
        <v>317</v>
      </c>
      <c r="H64" s="183" t="s">
        <v>318</v>
      </c>
      <c r="I64" s="183" t="s">
        <v>319</v>
      </c>
      <c r="J64" s="183" t="s">
        <v>320</v>
      </c>
      <c r="K64" s="183" t="s">
        <v>321</v>
      </c>
      <c r="L64" s="183" t="s">
        <v>322</v>
      </c>
    </row>
    <row r="65" spans="2:14" x14ac:dyDescent="0.2">
      <c r="B65" s="182" t="s">
        <v>323</v>
      </c>
      <c r="C65" s="18">
        <v>2</v>
      </c>
      <c r="D65" s="18">
        <v>1.8</v>
      </c>
      <c r="E65" s="18">
        <v>1.5</v>
      </c>
      <c r="F65" s="18">
        <v>1.4</v>
      </c>
      <c r="G65" s="18">
        <v>1.2</v>
      </c>
      <c r="H65" s="18">
        <v>1</v>
      </c>
      <c r="I65" s="18">
        <v>0.9</v>
      </c>
      <c r="J65" s="18">
        <v>0.75</v>
      </c>
      <c r="K65" s="18">
        <v>0.6</v>
      </c>
      <c r="L65" s="18">
        <v>0.4</v>
      </c>
    </row>
    <row r="66" spans="2:14" ht="12.75" x14ac:dyDescent="0.2">
      <c r="B66" s="18"/>
      <c r="C66" s="631" t="s">
        <v>324</v>
      </c>
      <c r="D66" s="632"/>
      <c r="E66" s="632"/>
      <c r="F66" s="633"/>
      <c r="G66" s="634" t="s">
        <v>325</v>
      </c>
      <c r="H66" s="635"/>
      <c r="I66" s="635"/>
      <c r="J66" s="635"/>
      <c r="K66" s="635"/>
      <c r="L66" s="636"/>
    </row>
    <row r="67" spans="2:14" x14ac:dyDescent="0.2">
      <c r="B67" s="1" t="s">
        <v>310</v>
      </c>
    </row>
    <row r="68" spans="2:14" x14ac:dyDescent="0.2">
      <c r="B68" s="1"/>
    </row>
    <row r="69" spans="2:14" x14ac:dyDescent="0.2">
      <c r="B69" s="1"/>
      <c r="C69" s="185" t="s">
        <v>326</v>
      </c>
      <c r="D69" s="186"/>
      <c r="E69" s="186"/>
      <c r="F69" s="186"/>
      <c r="G69" s="186"/>
      <c r="H69" s="186"/>
      <c r="I69" s="186"/>
      <c r="J69" s="186"/>
      <c r="K69" s="186"/>
      <c r="L69" s="187"/>
      <c r="M69" s="187"/>
      <c r="N69" s="188" t="s">
        <v>327</v>
      </c>
    </row>
    <row r="70" spans="2:14" x14ac:dyDescent="0.2">
      <c r="B70" s="184" t="s">
        <v>328</v>
      </c>
      <c r="C70" s="181">
        <v>4</v>
      </c>
      <c r="D70" s="181">
        <v>5</v>
      </c>
      <c r="E70" s="181">
        <v>6</v>
      </c>
      <c r="F70" s="181">
        <v>7</v>
      </c>
      <c r="G70" s="181">
        <v>8</v>
      </c>
      <c r="H70" s="181">
        <v>9</v>
      </c>
      <c r="I70" s="181">
        <v>10</v>
      </c>
      <c r="J70" s="181">
        <v>11</v>
      </c>
      <c r="K70" s="181">
        <v>12</v>
      </c>
      <c r="L70" s="181">
        <v>13</v>
      </c>
      <c r="M70" s="181">
        <v>14</v>
      </c>
      <c r="N70" s="181">
        <v>15</v>
      </c>
    </row>
    <row r="71" spans="2:14" x14ac:dyDescent="0.2">
      <c r="B71" s="1" t="s">
        <v>329</v>
      </c>
    </row>
    <row r="72" spans="2:14" x14ac:dyDescent="0.2">
      <c r="B72" s="1"/>
    </row>
    <row r="73" spans="2:14" x14ac:dyDescent="0.2">
      <c r="B73" s="644" t="s">
        <v>241</v>
      </c>
      <c r="C73" s="630" t="s">
        <v>131</v>
      </c>
      <c r="D73" s="630" t="s">
        <v>225</v>
      </c>
      <c r="E73" s="630"/>
      <c r="F73" s="630"/>
      <c r="G73" s="630"/>
      <c r="H73" s="630"/>
      <c r="I73" s="630"/>
    </row>
    <row r="74" spans="2:14" x14ac:dyDescent="0.2">
      <c r="B74" s="645"/>
      <c r="C74" s="630"/>
      <c r="D74" s="139" t="s">
        <v>229</v>
      </c>
      <c r="E74" s="139" t="s">
        <v>229</v>
      </c>
      <c r="F74" s="139" t="s">
        <v>229</v>
      </c>
      <c r="G74" s="139" t="s">
        <v>216</v>
      </c>
      <c r="H74" s="139" t="s">
        <v>229</v>
      </c>
      <c r="I74" s="139" t="s">
        <v>232</v>
      </c>
    </row>
    <row r="75" spans="2:14" ht="22.5" x14ac:dyDescent="0.2">
      <c r="B75" s="144" t="s">
        <v>228</v>
      </c>
      <c r="C75" s="630"/>
      <c r="D75" s="139" t="s">
        <v>230</v>
      </c>
      <c r="E75" s="139" t="s">
        <v>231</v>
      </c>
      <c r="F75" s="139" t="s">
        <v>239</v>
      </c>
      <c r="G75" s="139" t="s">
        <v>240</v>
      </c>
      <c r="H75" s="139" t="s">
        <v>240</v>
      </c>
      <c r="I75" s="139" t="s">
        <v>233</v>
      </c>
    </row>
    <row r="76" spans="2:14" x14ac:dyDescent="0.2">
      <c r="B76" s="130" t="s">
        <v>234</v>
      </c>
      <c r="C76" s="131" t="s">
        <v>235</v>
      </c>
      <c r="D76" s="43" t="s">
        <v>236</v>
      </c>
      <c r="E76" s="131" t="s">
        <v>236</v>
      </c>
      <c r="F76" s="131" t="s">
        <v>236</v>
      </c>
      <c r="G76" s="269">
        <v>2.6</v>
      </c>
      <c r="H76" s="131" t="s">
        <v>236</v>
      </c>
      <c r="I76" s="269">
        <v>2.4</v>
      </c>
    </row>
    <row r="77" spans="2:14" x14ac:dyDescent="0.2">
      <c r="B77" s="130" t="s">
        <v>237</v>
      </c>
      <c r="C77" s="131" t="s">
        <v>238</v>
      </c>
      <c r="D77" s="270">
        <v>9.9</v>
      </c>
      <c r="E77" s="269">
        <v>10.3</v>
      </c>
      <c r="F77" s="269">
        <v>26</v>
      </c>
      <c r="G77" s="131" t="s">
        <v>236</v>
      </c>
      <c r="H77" s="269">
        <v>12.8</v>
      </c>
      <c r="I77" s="131" t="s">
        <v>236</v>
      </c>
    </row>
    <row r="78" spans="2:14" x14ac:dyDescent="0.2">
      <c r="B78" s="1" t="s">
        <v>483</v>
      </c>
    </row>
    <row r="80" spans="2:14" ht="12.75" x14ac:dyDescent="0.2">
      <c r="B80" s="626" t="s">
        <v>243</v>
      </c>
      <c r="C80" s="627"/>
      <c r="D80" s="627"/>
      <c r="E80" s="627"/>
      <c r="F80" s="628"/>
      <c r="G80" s="628"/>
    </row>
    <row r="81" spans="2:54" x14ac:dyDescent="0.2">
      <c r="B81" s="145" t="s">
        <v>92</v>
      </c>
      <c r="C81" s="139" t="s">
        <v>246</v>
      </c>
      <c r="D81" s="139" t="s">
        <v>247</v>
      </c>
      <c r="E81" s="139" t="s">
        <v>248</v>
      </c>
      <c r="F81" s="146" t="s">
        <v>133</v>
      </c>
      <c r="G81" s="146" t="s">
        <v>249</v>
      </c>
    </row>
    <row r="82" spans="2:54" x14ac:dyDescent="0.2">
      <c r="B82" s="46" t="s">
        <v>244</v>
      </c>
      <c r="C82" s="90">
        <v>1.1000000000000001</v>
      </c>
      <c r="D82" s="90">
        <v>63</v>
      </c>
      <c r="E82" s="90">
        <v>0.02</v>
      </c>
      <c r="F82" s="77">
        <v>4.8</v>
      </c>
      <c r="G82" s="77">
        <v>10</v>
      </c>
    </row>
    <row r="83" spans="2:54" x14ac:dyDescent="0.2">
      <c r="B83" s="89" t="s">
        <v>245</v>
      </c>
      <c r="C83" s="90">
        <v>2</v>
      </c>
      <c r="D83" s="90">
        <v>54.4</v>
      </c>
      <c r="E83" s="90">
        <v>0.02</v>
      </c>
      <c r="F83" s="77">
        <v>4.5999999999999996</v>
      </c>
      <c r="G83" s="77">
        <v>10</v>
      </c>
    </row>
    <row r="84" spans="2:54" x14ac:dyDescent="0.2">
      <c r="B84" s="46" t="s">
        <v>233</v>
      </c>
      <c r="C84" s="90">
        <v>1</v>
      </c>
      <c r="D84" s="90">
        <v>39.9</v>
      </c>
      <c r="E84" s="90">
        <v>0.02</v>
      </c>
      <c r="F84" s="77">
        <v>4.7</v>
      </c>
      <c r="G84" s="77">
        <v>10</v>
      </c>
    </row>
    <row r="85" spans="2:54" x14ac:dyDescent="0.2">
      <c r="B85" s="1" t="s">
        <v>331</v>
      </c>
    </row>
    <row r="86" spans="2:54" x14ac:dyDescent="0.2">
      <c r="B86" s="1"/>
    </row>
    <row r="87" spans="2:54" ht="22.5" x14ac:dyDescent="0.2">
      <c r="B87" s="143" t="s">
        <v>139</v>
      </c>
      <c r="C87" s="138">
        <v>2024</v>
      </c>
      <c r="D87" s="138">
        <v>2025</v>
      </c>
      <c r="E87" s="138">
        <v>2026</v>
      </c>
      <c r="F87" s="138">
        <v>2027</v>
      </c>
      <c r="G87" s="138">
        <v>2028</v>
      </c>
      <c r="H87" s="138">
        <v>2029</v>
      </c>
      <c r="I87" s="138">
        <v>2030</v>
      </c>
      <c r="J87" s="138">
        <v>2031</v>
      </c>
      <c r="K87" s="138">
        <v>2032</v>
      </c>
      <c r="L87" s="138">
        <v>2033</v>
      </c>
      <c r="M87" s="138">
        <v>2034</v>
      </c>
      <c r="N87" s="138">
        <v>2035</v>
      </c>
      <c r="O87" s="138">
        <v>2036</v>
      </c>
      <c r="P87" s="138">
        <v>2037</v>
      </c>
      <c r="Q87" s="138">
        <v>2038</v>
      </c>
      <c r="R87" s="138">
        <v>2039</v>
      </c>
      <c r="S87" s="138">
        <v>2040</v>
      </c>
      <c r="T87" s="138">
        <v>2041</v>
      </c>
      <c r="U87" s="138">
        <v>2042</v>
      </c>
      <c r="V87" s="138">
        <v>2043</v>
      </c>
      <c r="W87" s="138">
        <v>2044</v>
      </c>
      <c r="X87" s="138">
        <v>2045</v>
      </c>
      <c r="Y87" s="138">
        <v>2046</v>
      </c>
      <c r="Z87" s="138">
        <v>2047</v>
      </c>
      <c r="AA87" s="138">
        <v>2048</v>
      </c>
      <c r="AB87" s="138">
        <v>2049</v>
      </c>
      <c r="AC87" s="138">
        <v>2050</v>
      </c>
      <c r="AD87" s="138">
        <v>2051</v>
      </c>
      <c r="AE87" s="138">
        <v>2052</v>
      </c>
      <c r="AF87" s="138">
        <v>2053</v>
      </c>
      <c r="AG87" s="138">
        <v>2054</v>
      </c>
      <c r="AH87" s="138">
        <v>2055</v>
      </c>
      <c r="AI87" s="138">
        <v>2056</v>
      </c>
      <c r="AJ87" s="138">
        <v>2057</v>
      </c>
      <c r="AK87" s="138">
        <v>2058</v>
      </c>
      <c r="AL87" s="138">
        <v>2059</v>
      </c>
      <c r="AM87" s="138">
        <v>2060</v>
      </c>
      <c r="AN87" s="138">
        <v>2061</v>
      </c>
      <c r="AO87" s="138">
        <v>2062</v>
      </c>
      <c r="AP87" s="138">
        <v>2063</v>
      </c>
      <c r="AQ87" s="138">
        <v>2064</v>
      </c>
      <c r="AR87" s="138">
        <v>2065</v>
      </c>
      <c r="AS87" s="138">
        <v>2066</v>
      </c>
      <c r="AT87" s="138">
        <v>2067</v>
      </c>
      <c r="AU87" s="138">
        <v>2068</v>
      </c>
      <c r="AV87" s="138">
        <v>2069</v>
      </c>
      <c r="AW87" s="138">
        <v>2070</v>
      </c>
      <c r="AX87" s="138">
        <v>2071</v>
      </c>
      <c r="AY87" s="138">
        <v>2072</v>
      </c>
      <c r="AZ87" s="138">
        <v>2073</v>
      </c>
      <c r="BA87" s="138">
        <v>2074</v>
      </c>
      <c r="BB87" s="138">
        <v>2075</v>
      </c>
    </row>
    <row r="88" spans="2:54" x14ac:dyDescent="0.2">
      <c r="B88" s="45" t="s">
        <v>141</v>
      </c>
      <c r="C88" s="94">
        <v>162.1</v>
      </c>
      <c r="D88" s="94">
        <f>ROUND(C88*(1+(0.8*D23)),2)</f>
        <v>165.6</v>
      </c>
      <c r="E88" s="94">
        <f t="shared" ref="E88:BB88" si="4">ROUND(D88*(1+(0.8*E23)),2)</f>
        <v>169.31</v>
      </c>
      <c r="F88" s="94">
        <f t="shared" si="4"/>
        <v>172.15</v>
      </c>
      <c r="G88" s="94">
        <f t="shared" si="4"/>
        <v>174.49</v>
      </c>
      <c r="H88" s="94">
        <f t="shared" si="4"/>
        <v>177</v>
      </c>
      <c r="I88" s="94">
        <f t="shared" si="4"/>
        <v>179.27</v>
      </c>
      <c r="J88" s="94">
        <f t="shared" si="4"/>
        <v>181.56</v>
      </c>
      <c r="K88" s="94">
        <f t="shared" si="4"/>
        <v>183.74</v>
      </c>
      <c r="L88" s="94">
        <f t="shared" si="4"/>
        <v>185.94</v>
      </c>
      <c r="M88" s="94">
        <f t="shared" si="4"/>
        <v>188.17</v>
      </c>
      <c r="N88" s="94">
        <f t="shared" si="4"/>
        <v>190.43</v>
      </c>
      <c r="O88" s="94">
        <f t="shared" si="4"/>
        <v>192.72</v>
      </c>
      <c r="P88" s="94">
        <f t="shared" si="4"/>
        <v>195.03</v>
      </c>
      <c r="Q88" s="94">
        <f t="shared" si="4"/>
        <v>197.37</v>
      </c>
      <c r="R88" s="94">
        <f t="shared" si="4"/>
        <v>199.74</v>
      </c>
      <c r="S88" s="94">
        <f t="shared" si="4"/>
        <v>202.14</v>
      </c>
      <c r="T88" s="94">
        <f t="shared" si="4"/>
        <v>204.57</v>
      </c>
      <c r="U88" s="94">
        <f t="shared" si="4"/>
        <v>206.7</v>
      </c>
      <c r="V88" s="94">
        <f t="shared" si="4"/>
        <v>208.85</v>
      </c>
      <c r="W88" s="94">
        <f t="shared" si="4"/>
        <v>211.02</v>
      </c>
      <c r="X88" s="94">
        <f t="shared" si="4"/>
        <v>213.21</v>
      </c>
      <c r="Y88" s="94">
        <f t="shared" si="4"/>
        <v>215.43</v>
      </c>
      <c r="Z88" s="94">
        <f t="shared" si="4"/>
        <v>217.67</v>
      </c>
      <c r="AA88" s="94">
        <f t="shared" si="4"/>
        <v>219.93</v>
      </c>
      <c r="AB88" s="94">
        <f t="shared" si="4"/>
        <v>222.22</v>
      </c>
      <c r="AC88" s="94">
        <f t="shared" si="4"/>
        <v>224.53</v>
      </c>
      <c r="AD88" s="94">
        <f t="shared" si="4"/>
        <v>226.87</v>
      </c>
      <c r="AE88" s="94">
        <f t="shared" si="4"/>
        <v>229.05</v>
      </c>
      <c r="AF88" s="94">
        <f t="shared" si="4"/>
        <v>231.25</v>
      </c>
      <c r="AG88" s="94">
        <f t="shared" si="4"/>
        <v>233.47</v>
      </c>
      <c r="AH88" s="94">
        <f t="shared" si="4"/>
        <v>235.71</v>
      </c>
      <c r="AI88" s="94">
        <f t="shared" si="4"/>
        <v>237.97</v>
      </c>
      <c r="AJ88" s="94">
        <f t="shared" si="4"/>
        <v>240.25</v>
      </c>
      <c r="AK88" s="94">
        <f t="shared" si="4"/>
        <v>242.56</v>
      </c>
      <c r="AL88" s="94">
        <f t="shared" si="4"/>
        <v>244.89</v>
      </c>
      <c r="AM88" s="94">
        <f t="shared" si="4"/>
        <v>247.24</v>
      </c>
      <c r="AN88" s="94">
        <f t="shared" si="4"/>
        <v>249.61</v>
      </c>
      <c r="AO88" s="94">
        <f t="shared" si="4"/>
        <v>252.21</v>
      </c>
      <c r="AP88" s="94">
        <f t="shared" si="4"/>
        <v>254.83</v>
      </c>
      <c r="AQ88" s="94">
        <f t="shared" si="4"/>
        <v>257.48</v>
      </c>
      <c r="AR88" s="94">
        <f t="shared" si="4"/>
        <v>260.16000000000003</v>
      </c>
      <c r="AS88" s="94">
        <f t="shared" si="4"/>
        <v>262.87</v>
      </c>
      <c r="AT88" s="94">
        <f t="shared" si="4"/>
        <v>265.60000000000002</v>
      </c>
      <c r="AU88" s="94">
        <f t="shared" si="4"/>
        <v>268.36</v>
      </c>
      <c r="AV88" s="94">
        <f t="shared" si="4"/>
        <v>271.14999999999998</v>
      </c>
      <c r="AW88" s="94">
        <f t="shared" si="4"/>
        <v>273.97000000000003</v>
      </c>
      <c r="AX88" s="94">
        <f t="shared" si="4"/>
        <v>276.82</v>
      </c>
      <c r="AY88" s="94">
        <f t="shared" si="4"/>
        <v>279.7</v>
      </c>
      <c r="AZ88" s="94">
        <f t="shared" si="4"/>
        <v>282.61</v>
      </c>
      <c r="BA88" s="94">
        <f t="shared" si="4"/>
        <v>285.55</v>
      </c>
      <c r="BB88" s="94">
        <f t="shared" si="4"/>
        <v>288.52</v>
      </c>
    </row>
    <row r="89" spans="2:54" x14ac:dyDescent="0.2">
      <c r="B89" s="45" t="s">
        <v>140</v>
      </c>
      <c r="C89" s="94">
        <v>91.1</v>
      </c>
      <c r="D89" s="94">
        <f>ROUND(C89*(1+(0.8*D23)),2)</f>
        <v>93.07</v>
      </c>
      <c r="E89" s="94">
        <f t="shared" ref="E89:BB89" si="5">ROUND(D89*(1+(0.8*E23)),2)</f>
        <v>95.15</v>
      </c>
      <c r="F89" s="94">
        <f t="shared" si="5"/>
        <v>96.75</v>
      </c>
      <c r="G89" s="94">
        <f t="shared" si="5"/>
        <v>98.07</v>
      </c>
      <c r="H89" s="94">
        <f t="shared" si="5"/>
        <v>99.48</v>
      </c>
      <c r="I89" s="94">
        <f t="shared" si="5"/>
        <v>100.75</v>
      </c>
      <c r="J89" s="94">
        <f t="shared" si="5"/>
        <v>102.04</v>
      </c>
      <c r="K89" s="94">
        <f t="shared" si="5"/>
        <v>103.26</v>
      </c>
      <c r="L89" s="94">
        <f t="shared" si="5"/>
        <v>104.5</v>
      </c>
      <c r="M89" s="94">
        <f t="shared" si="5"/>
        <v>105.75</v>
      </c>
      <c r="N89" s="94">
        <f t="shared" si="5"/>
        <v>107.02</v>
      </c>
      <c r="O89" s="94">
        <f t="shared" si="5"/>
        <v>108.3</v>
      </c>
      <c r="P89" s="94">
        <f t="shared" si="5"/>
        <v>109.6</v>
      </c>
      <c r="Q89" s="94">
        <f t="shared" si="5"/>
        <v>110.92</v>
      </c>
      <c r="R89" s="94">
        <f t="shared" si="5"/>
        <v>112.25</v>
      </c>
      <c r="S89" s="94">
        <f t="shared" si="5"/>
        <v>113.6</v>
      </c>
      <c r="T89" s="94">
        <f t="shared" si="5"/>
        <v>114.96</v>
      </c>
      <c r="U89" s="94">
        <f t="shared" si="5"/>
        <v>116.16</v>
      </c>
      <c r="V89" s="94">
        <f t="shared" si="5"/>
        <v>117.37</v>
      </c>
      <c r="W89" s="94">
        <f t="shared" si="5"/>
        <v>118.59</v>
      </c>
      <c r="X89" s="94">
        <f t="shared" si="5"/>
        <v>119.82</v>
      </c>
      <c r="Y89" s="94">
        <f t="shared" si="5"/>
        <v>121.07</v>
      </c>
      <c r="Z89" s="94">
        <f t="shared" si="5"/>
        <v>122.33</v>
      </c>
      <c r="AA89" s="94">
        <f t="shared" si="5"/>
        <v>123.6</v>
      </c>
      <c r="AB89" s="94">
        <f t="shared" si="5"/>
        <v>124.89</v>
      </c>
      <c r="AC89" s="94">
        <f t="shared" si="5"/>
        <v>126.19</v>
      </c>
      <c r="AD89" s="94">
        <f t="shared" si="5"/>
        <v>127.5</v>
      </c>
      <c r="AE89" s="94">
        <f t="shared" si="5"/>
        <v>128.72</v>
      </c>
      <c r="AF89" s="94">
        <f t="shared" si="5"/>
        <v>129.96</v>
      </c>
      <c r="AG89" s="94">
        <f t="shared" si="5"/>
        <v>131.21</v>
      </c>
      <c r="AH89" s="94">
        <f t="shared" si="5"/>
        <v>132.47</v>
      </c>
      <c r="AI89" s="94">
        <f t="shared" si="5"/>
        <v>133.74</v>
      </c>
      <c r="AJ89" s="94">
        <f t="shared" si="5"/>
        <v>135.02000000000001</v>
      </c>
      <c r="AK89" s="94">
        <f t="shared" si="5"/>
        <v>136.32</v>
      </c>
      <c r="AL89" s="94">
        <f t="shared" si="5"/>
        <v>137.63</v>
      </c>
      <c r="AM89" s="94">
        <f t="shared" si="5"/>
        <v>138.94999999999999</v>
      </c>
      <c r="AN89" s="94">
        <f t="shared" si="5"/>
        <v>140.28</v>
      </c>
      <c r="AO89" s="94">
        <f t="shared" si="5"/>
        <v>141.74</v>
      </c>
      <c r="AP89" s="94">
        <f t="shared" si="5"/>
        <v>143.21</v>
      </c>
      <c r="AQ89" s="94">
        <f t="shared" si="5"/>
        <v>144.69999999999999</v>
      </c>
      <c r="AR89" s="94">
        <f t="shared" si="5"/>
        <v>146.19999999999999</v>
      </c>
      <c r="AS89" s="94">
        <f t="shared" si="5"/>
        <v>147.72</v>
      </c>
      <c r="AT89" s="94">
        <f t="shared" si="5"/>
        <v>149.26</v>
      </c>
      <c r="AU89" s="94">
        <f t="shared" si="5"/>
        <v>150.81</v>
      </c>
      <c r="AV89" s="94">
        <f t="shared" si="5"/>
        <v>152.38</v>
      </c>
      <c r="AW89" s="94">
        <f t="shared" si="5"/>
        <v>153.96</v>
      </c>
      <c r="AX89" s="94">
        <f t="shared" si="5"/>
        <v>155.56</v>
      </c>
      <c r="AY89" s="94">
        <f t="shared" si="5"/>
        <v>157.18</v>
      </c>
      <c r="AZ89" s="94">
        <f t="shared" si="5"/>
        <v>158.81</v>
      </c>
      <c r="BA89" s="94">
        <f t="shared" si="5"/>
        <v>160.46</v>
      </c>
      <c r="BB89" s="94">
        <f t="shared" si="5"/>
        <v>162.13</v>
      </c>
    </row>
    <row r="90" spans="2:54" x14ac:dyDescent="0.2">
      <c r="B90" s="45" t="s">
        <v>145</v>
      </c>
      <c r="C90" s="94">
        <v>38.299999999999997</v>
      </c>
      <c r="D90" s="94">
        <f>ROUND(C90*(1+(0.8*D23)),2)</f>
        <v>39.130000000000003</v>
      </c>
      <c r="E90" s="94">
        <f t="shared" ref="E90:BB90" si="6">ROUND(D90*(1+(0.8*E23)),2)</f>
        <v>40.01</v>
      </c>
      <c r="F90" s="94">
        <f t="shared" si="6"/>
        <v>40.68</v>
      </c>
      <c r="G90" s="94">
        <f t="shared" si="6"/>
        <v>41.23</v>
      </c>
      <c r="H90" s="94">
        <f t="shared" si="6"/>
        <v>41.82</v>
      </c>
      <c r="I90" s="94">
        <f t="shared" si="6"/>
        <v>42.36</v>
      </c>
      <c r="J90" s="94">
        <f t="shared" si="6"/>
        <v>42.9</v>
      </c>
      <c r="K90" s="94">
        <f t="shared" si="6"/>
        <v>43.41</v>
      </c>
      <c r="L90" s="94">
        <f t="shared" si="6"/>
        <v>43.93</v>
      </c>
      <c r="M90" s="94">
        <f t="shared" si="6"/>
        <v>44.46</v>
      </c>
      <c r="N90" s="94">
        <f t="shared" si="6"/>
        <v>44.99</v>
      </c>
      <c r="O90" s="94">
        <f t="shared" si="6"/>
        <v>45.53</v>
      </c>
      <c r="P90" s="94">
        <f t="shared" si="6"/>
        <v>46.08</v>
      </c>
      <c r="Q90" s="94">
        <f t="shared" si="6"/>
        <v>46.63</v>
      </c>
      <c r="R90" s="94">
        <f t="shared" si="6"/>
        <v>47.19</v>
      </c>
      <c r="S90" s="94">
        <f t="shared" si="6"/>
        <v>47.76</v>
      </c>
      <c r="T90" s="94">
        <f t="shared" si="6"/>
        <v>48.33</v>
      </c>
      <c r="U90" s="94">
        <f t="shared" si="6"/>
        <v>48.83</v>
      </c>
      <c r="V90" s="94">
        <f t="shared" si="6"/>
        <v>49.34</v>
      </c>
      <c r="W90" s="94">
        <f t="shared" si="6"/>
        <v>49.85</v>
      </c>
      <c r="X90" s="94">
        <f t="shared" si="6"/>
        <v>50.37</v>
      </c>
      <c r="Y90" s="94">
        <f t="shared" si="6"/>
        <v>50.89</v>
      </c>
      <c r="Z90" s="94">
        <f t="shared" si="6"/>
        <v>51.42</v>
      </c>
      <c r="AA90" s="94">
        <f t="shared" si="6"/>
        <v>51.95</v>
      </c>
      <c r="AB90" s="94">
        <f t="shared" si="6"/>
        <v>52.49</v>
      </c>
      <c r="AC90" s="94">
        <f t="shared" si="6"/>
        <v>53.04</v>
      </c>
      <c r="AD90" s="94">
        <f t="shared" si="6"/>
        <v>53.59</v>
      </c>
      <c r="AE90" s="94">
        <f t="shared" si="6"/>
        <v>54.1</v>
      </c>
      <c r="AF90" s="94">
        <f t="shared" si="6"/>
        <v>54.62</v>
      </c>
      <c r="AG90" s="94">
        <f t="shared" si="6"/>
        <v>55.14</v>
      </c>
      <c r="AH90" s="94">
        <f t="shared" si="6"/>
        <v>55.67</v>
      </c>
      <c r="AI90" s="94">
        <f t="shared" si="6"/>
        <v>56.2</v>
      </c>
      <c r="AJ90" s="94">
        <f t="shared" si="6"/>
        <v>56.74</v>
      </c>
      <c r="AK90" s="94">
        <f t="shared" si="6"/>
        <v>57.28</v>
      </c>
      <c r="AL90" s="94">
        <f t="shared" si="6"/>
        <v>57.83</v>
      </c>
      <c r="AM90" s="94">
        <f t="shared" si="6"/>
        <v>58.39</v>
      </c>
      <c r="AN90" s="94">
        <f t="shared" si="6"/>
        <v>58.95</v>
      </c>
      <c r="AO90" s="94">
        <f t="shared" si="6"/>
        <v>59.56</v>
      </c>
      <c r="AP90" s="94">
        <f t="shared" si="6"/>
        <v>60.18</v>
      </c>
      <c r="AQ90" s="94">
        <f t="shared" si="6"/>
        <v>60.81</v>
      </c>
      <c r="AR90" s="94">
        <f t="shared" si="6"/>
        <v>61.44</v>
      </c>
      <c r="AS90" s="94">
        <f t="shared" si="6"/>
        <v>62.08</v>
      </c>
      <c r="AT90" s="94">
        <f t="shared" si="6"/>
        <v>62.73</v>
      </c>
      <c r="AU90" s="94">
        <f t="shared" si="6"/>
        <v>63.38</v>
      </c>
      <c r="AV90" s="94">
        <f t="shared" si="6"/>
        <v>64.040000000000006</v>
      </c>
      <c r="AW90" s="94">
        <f t="shared" si="6"/>
        <v>64.709999999999994</v>
      </c>
      <c r="AX90" s="94">
        <f t="shared" si="6"/>
        <v>65.38</v>
      </c>
      <c r="AY90" s="94">
        <f t="shared" si="6"/>
        <v>66.06</v>
      </c>
      <c r="AZ90" s="94">
        <f t="shared" si="6"/>
        <v>66.75</v>
      </c>
      <c r="BA90" s="94">
        <f t="shared" si="6"/>
        <v>67.44</v>
      </c>
      <c r="BB90" s="94">
        <f t="shared" si="6"/>
        <v>68.14</v>
      </c>
    </row>
    <row r="91" spans="2:54" x14ac:dyDescent="0.2">
      <c r="B91" s="45" t="s">
        <v>146</v>
      </c>
      <c r="C91" s="94">
        <v>22.7</v>
      </c>
      <c r="D91" s="94">
        <f>ROUND(C91*(1+(0.8*D23)),2)</f>
        <v>23.19</v>
      </c>
      <c r="E91" s="94">
        <f t="shared" ref="E91:BB91" si="7">ROUND(D91*(1+(0.8*E23)),2)</f>
        <v>23.71</v>
      </c>
      <c r="F91" s="94">
        <f t="shared" si="7"/>
        <v>24.11</v>
      </c>
      <c r="G91" s="94">
        <f t="shared" si="7"/>
        <v>24.44</v>
      </c>
      <c r="H91" s="94">
        <f t="shared" si="7"/>
        <v>24.79</v>
      </c>
      <c r="I91" s="94">
        <f t="shared" si="7"/>
        <v>25.11</v>
      </c>
      <c r="J91" s="94">
        <f t="shared" si="7"/>
        <v>25.43</v>
      </c>
      <c r="K91" s="94">
        <f t="shared" si="7"/>
        <v>25.74</v>
      </c>
      <c r="L91" s="94">
        <f t="shared" si="7"/>
        <v>26.05</v>
      </c>
      <c r="M91" s="94">
        <f t="shared" si="7"/>
        <v>26.36</v>
      </c>
      <c r="N91" s="94">
        <f t="shared" si="7"/>
        <v>26.68</v>
      </c>
      <c r="O91" s="94">
        <f t="shared" si="7"/>
        <v>27</v>
      </c>
      <c r="P91" s="94">
        <f t="shared" si="7"/>
        <v>27.32</v>
      </c>
      <c r="Q91" s="94">
        <f t="shared" si="7"/>
        <v>27.65</v>
      </c>
      <c r="R91" s="94">
        <f t="shared" si="7"/>
        <v>27.98</v>
      </c>
      <c r="S91" s="94">
        <f t="shared" si="7"/>
        <v>28.32</v>
      </c>
      <c r="T91" s="94">
        <f t="shared" si="7"/>
        <v>28.66</v>
      </c>
      <c r="U91" s="94">
        <f t="shared" si="7"/>
        <v>28.96</v>
      </c>
      <c r="V91" s="94">
        <f t="shared" si="7"/>
        <v>29.26</v>
      </c>
      <c r="W91" s="94">
        <f t="shared" si="7"/>
        <v>29.56</v>
      </c>
      <c r="X91" s="94">
        <f t="shared" si="7"/>
        <v>29.87</v>
      </c>
      <c r="Y91" s="94">
        <f t="shared" si="7"/>
        <v>30.18</v>
      </c>
      <c r="Z91" s="94">
        <f t="shared" si="7"/>
        <v>30.49</v>
      </c>
      <c r="AA91" s="94">
        <f t="shared" si="7"/>
        <v>30.81</v>
      </c>
      <c r="AB91" s="94">
        <f t="shared" si="7"/>
        <v>31.13</v>
      </c>
      <c r="AC91" s="94">
        <f t="shared" si="7"/>
        <v>31.45</v>
      </c>
      <c r="AD91" s="94">
        <f t="shared" si="7"/>
        <v>31.78</v>
      </c>
      <c r="AE91" s="94">
        <f t="shared" si="7"/>
        <v>32.090000000000003</v>
      </c>
      <c r="AF91" s="94">
        <f t="shared" si="7"/>
        <v>32.4</v>
      </c>
      <c r="AG91" s="94">
        <f t="shared" si="7"/>
        <v>32.71</v>
      </c>
      <c r="AH91" s="94">
        <f t="shared" si="7"/>
        <v>33.020000000000003</v>
      </c>
      <c r="AI91" s="94">
        <f t="shared" si="7"/>
        <v>33.340000000000003</v>
      </c>
      <c r="AJ91" s="94">
        <f t="shared" si="7"/>
        <v>33.659999999999997</v>
      </c>
      <c r="AK91" s="94">
        <f t="shared" si="7"/>
        <v>33.979999999999997</v>
      </c>
      <c r="AL91" s="94">
        <f t="shared" si="7"/>
        <v>34.31</v>
      </c>
      <c r="AM91" s="94">
        <f t="shared" si="7"/>
        <v>34.64</v>
      </c>
      <c r="AN91" s="94">
        <f t="shared" si="7"/>
        <v>34.97</v>
      </c>
      <c r="AO91" s="94">
        <f t="shared" si="7"/>
        <v>35.33</v>
      </c>
      <c r="AP91" s="94">
        <f t="shared" si="7"/>
        <v>35.700000000000003</v>
      </c>
      <c r="AQ91" s="94">
        <f t="shared" si="7"/>
        <v>36.07</v>
      </c>
      <c r="AR91" s="94">
        <f t="shared" si="7"/>
        <v>36.450000000000003</v>
      </c>
      <c r="AS91" s="94">
        <f t="shared" si="7"/>
        <v>36.83</v>
      </c>
      <c r="AT91" s="94">
        <f t="shared" si="7"/>
        <v>37.21</v>
      </c>
      <c r="AU91" s="94">
        <f t="shared" si="7"/>
        <v>37.6</v>
      </c>
      <c r="AV91" s="94">
        <f t="shared" si="7"/>
        <v>37.99</v>
      </c>
      <c r="AW91" s="94">
        <f t="shared" si="7"/>
        <v>38.39</v>
      </c>
      <c r="AX91" s="94">
        <f t="shared" si="7"/>
        <v>38.79</v>
      </c>
      <c r="AY91" s="94">
        <f t="shared" si="7"/>
        <v>39.19</v>
      </c>
      <c r="AZ91" s="94">
        <f t="shared" si="7"/>
        <v>39.6</v>
      </c>
      <c r="BA91" s="94">
        <f t="shared" si="7"/>
        <v>40.01</v>
      </c>
      <c r="BB91" s="94">
        <f t="shared" si="7"/>
        <v>40.43</v>
      </c>
    </row>
    <row r="92" spans="2:54" x14ac:dyDescent="0.2">
      <c r="B92" s="45" t="s">
        <v>144</v>
      </c>
      <c r="C92" s="94">
        <v>15.6</v>
      </c>
      <c r="D92" s="94">
        <f>ROUND(C92*(1+(0.8*D23)),2)</f>
        <v>15.94</v>
      </c>
      <c r="E92" s="94">
        <f t="shared" ref="E92:BB92" si="8">ROUND(D92*(1+(0.8*E23)),2)</f>
        <v>16.3</v>
      </c>
      <c r="F92" s="94">
        <f t="shared" si="8"/>
        <v>16.57</v>
      </c>
      <c r="G92" s="94">
        <f t="shared" si="8"/>
        <v>16.8</v>
      </c>
      <c r="H92" s="94">
        <f t="shared" si="8"/>
        <v>17.04</v>
      </c>
      <c r="I92" s="94">
        <f t="shared" si="8"/>
        <v>17.260000000000002</v>
      </c>
      <c r="J92" s="94">
        <f t="shared" si="8"/>
        <v>17.48</v>
      </c>
      <c r="K92" s="94">
        <f t="shared" si="8"/>
        <v>17.690000000000001</v>
      </c>
      <c r="L92" s="94">
        <f t="shared" si="8"/>
        <v>17.899999999999999</v>
      </c>
      <c r="M92" s="94">
        <f t="shared" si="8"/>
        <v>18.11</v>
      </c>
      <c r="N92" s="94">
        <f t="shared" si="8"/>
        <v>18.329999999999998</v>
      </c>
      <c r="O92" s="94">
        <f t="shared" si="8"/>
        <v>18.55</v>
      </c>
      <c r="P92" s="94">
        <f t="shared" si="8"/>
        <v>18.77</v>
      </c>
      <c r="Q92" s="94">
        <f t="shared" si="8"/>
        <v>19</v>
      </c>
      <c r="R92" s="94">
        <f t="shared" si="8"/>
        <v>19.23</v>
      </c>
      <c r="S92" s="94">
        <f t="shared" si="8"/>
        <v>19.46</v>
      </c>
      <c r="T92" s="94">
        <f t="shared" si="8"/>
        <v>19.690000000000001</v>
      </c>
      <c r="U92" s="94">
        <f t="shared" si="8"/>
        <v>19.89</v>
      </c>
      <c r="V92" s="94">
        <f t="shared" si="8"/>
        <v>20.100000000000001</v>
      </c>
      <c r="W92" s="94">
        <f t="shared" si="8"/>
        <v>20.309999999999999</v>
      </c>
      <c r="X92" s="94">
        <f t="shared" si="8"/>
        <v>20.52</v>
      </c>
      <c r="Y92" s="94">
        <f t="shared" si="8"/>
        <v>20.73</v>
      </c>
      <c r="Z92" s="94">
        <f t="shared" si="8"/>
        <v>20.95</v>
      </c>
      <c r="AA92" s="94">
        <f t="shared" si="8"/>
        <v>21.17</v>
      </c>
      <c r="AB92" s="94">
        <f t="shared" si="8"/>
        <v>21.39</v>
      </c>
      <c r="AC92" s="94">
        <f t="shared" si="8"/>
        <v>21.61</v>
      </c>
      <c r="AD92" s="94">
        <f t="shared" si="8"/>
        <v>21.83</v>
      </c>
      <c r="AE92" s="94">
        <f t="shared" si="8"/>
        <v>22.04</v>
      </c>
      <c r="AF92" s="94">
        <f t="shared" si="8"/>
        <v>22.25</v>
      </c>
      <c r="AG92" s="94">
        <f t="shared" si="8"/>
        <v>22.46</v>
      </c>
      <c r="AH92" s="94">
        <f t="shared" si="8"/>
        <v>22.68</v>
      </c>
      <c r="AI92" s="94">
        <f t="shared" si="8"/>
        <v>22.9</v>
      </c>
      <c r="AJ92" s="94">
        <f t="shared" si="8"/>
        <v>23.12</v>
      </c>
      <c r="AK92" s="94">
        <f t="shared" si="8"/>
        <v>23.34</v>
      </c>
      <c r="AL92" s="94">
        <f t="shared" si="8"/>
        <v>23.56</v>
      </c>
      <c r="AM92" s="94">
        <f t="shared" si="8"/>
        <v>23.79</v>
      </c>
      <c r="AN92" s="94">
        <f t="shared" si="8"/>
        <v>24.02</v>
      </c>
      <c r="AO92" s="94">
        <f t="shared" si="8"/>
        <v>24.27</v>
      </c>
      <c r="AP92" s="94">
        <f t="shared" si="8"/>
        <v>24.52</v>
      </c>
      <c r="AQ92" s="94">
        <f t="shared" si="8"/>
        <v>24.78</v>
      </c>
      <c r="AR92" s="94">
        <f t="shared" si="8"/>
        <v>25.04</v>
      </c>
      <c r="AS92" s="94">
        <f t="shared" si="8"/>
        <v>25.3</v>
      </c>
      <c r="AT92" s="94">
        <f t="shared" si="8"/>
        <v>25.56</v>
      </c>
      <c r="AU92" s="94">
        <f t="shared" si="8"/>
        <v>25.83</v>
      </c>
      <c r="AV92" s="94">
        <f t="shared" si="8"/>
        <v>26.1</v>
      </c>
      <c r="AW92" s="94">
        <f t="shared" si="8"/>
        <v>26.37</v>
      </c>
      <c r="AX92" s="94">
        <f t="shared" si="8"/>
        <v>26.64</v>
      </c>
      <c r="AY92" s="94">
        <f t="shared" si="8"/>
        <v>26.92</v>
      </c>
      <c r="AZ92" s="94">
        <f t="shared" si="8"/>
        <v>27.2</v>
      </c>
      <c r="BA92" s="94">
        <f t="shared" si="8"/>
        <v>27.48</v>
      </c>
      <c r="BB92" s="94">
        <f t="shared" si="8"/>
        <v>27.77</v>
      </c>
    </row>
    <row r="93" spans="2:54" x14ac:dyDescent="0.2">
      <c r="B93" s="45" t="s">
        <v>142</v>
      </c>
      <c r="C93" s="94">
        <v>1.1000000000000001</v>
      </c>
      <c r="D93" s="94">
        <f>ROUND(C93*(1+(0.8*D23)),2)</f>
        <v>1.1200000000000001</v>
      </c>
      <c r="E93" s="94">
        <f t="shared" ref="E93:BB93" si="9">ROUND(D93*(1+(0.8*E23)),2)</f>
        <v>1.1499999999999999</v>
      </c>
      <c r="F93" s="94">
        <f t="shared" si="9"/>
        <v>1.17</v>
      </c>
      <c r="G93" s="94">
        <f t="shared" si="9"/>
        <v>1.19</v>
      </c>
      <c r="H93" s="94">
        <f t="shared" si="9"/>
        <v>1.21</v>
      </c>
      <c r="I93" s="94">
        <f t="shared" si="9"/>
        <v>1.23</v>
      </c>
      <c r="J93" s="94">
        <f t="shared" si="9"/>
        <v>1.25</v>
      </c>
      <c r="K93" s="94">
        <f t="shared" si="9"/>
        <v>1.27</v>
      </c>
      <c r="L93" s="94">
        <f t="shared" si="9"/>
        <v>1.29</v>
      </c>
      <c r="M93" s="94">
        <f t="shared" si="9"/>
        <v>1.31</v>
      </c>
      <c r="N93" s="94">
        <f t="shared" si="9"/>
        <v>1.33</v>
      </c>
      <c r="O93" s="94">
        <f t="shared" si="9"/>
        <v>1.35</v>
      </c>
      <c r="P93" s="94">
        <f t="shared" si="9"/>
        <v>1.37</v>
      </c>
      <c r="Q93" s="94">
        <f t="shared" si="9"/>
        <v>1.39</v>
      </c>
      <c r="R93" s="94">
        <f t="shared" si="9"/>
        <v>1.41</v>
      </c>
      <c r="S93" s="94">
        <f t="shared" si="9"/>
        <v>1.43</v>
      </c>
      <c r="T93" s="94">
        <f t="shared" si="9"/>
        <v>1.45</v>
      </c>
      <c r="U93" s="94">
        <f t="shared" si="9"/>
        <v>1.47</v>
      </c>
      <c r="V93" s="94">
        <f t="shared" si="9"/>
        <v>1.49</v>
      </c>
      <c r="W93" s="94">
        <f t="shared" si="9"/>
        <v>1.51</v>
      </c>
      <c r="X93" s="94">
        <f t="shared" si="9"/>
        <v>1.53</v>
      </c>
      <c r="Y93" s="94">
        <f t="shared" si="9"/>
        <v>1.55</v>
      </c>
      <c r="Z93" s="94">
        <f t="shared" si="9"/>
        <v>1.57</v>
      </c>
      <c r="AA93" s="94">
        <f t="shared" si="9"/>
        <v>1.59</v>
      </c>
      <c r="AB93" s="94">
        <f t="shared" si="9"/>
        <v>1.61</v>
      </c>
      <c r="AC93" s="94">
        <f t="shared" si="9"/>
        <v>1.63</v>
      </c>
      <c r="AD93" s="94">
        <f t="shared" si="9"/>
        <v>1.65</v>
      </c>
      <c r="AE93" s="94">
        <f t="shared" si="9"/>
        <v>1.67</v>
      </c>
      <c r="AF93" s="94">
        <f t="shared" si="9"/>
        <v>1.69</v>
      </c>
      <c r="AG93" s="94">
        <f t="shared" si="9"/>
        <v>1.71</v>
      </c>
      <c r="AH93" s="94">
        <f t="shared" si="9"/>
        <v>1.73</v>
      </c>
      <c r="AI93" s="94">
        <f t="shared" si="9"/>
        <v>1.75</v>
      </c>
      <c r="AJ93" s="94">
        <f t="shared" si="9"/>
        <v>1.77</v>
      </c>
      <c r="AK93" s="94">
        <f t="shared" si="9"/>
        <v>1.79</v>
      </c>
      <c r="AL93" s="94">
        <f t="shared" si="9"/>
        <v>1.81</v>
      </c>
      <c r="AM93" s="94">
        <f t="shared" si="9"/>
        <v>1.83</v>
      </c>
      <c r="AN93" s="94">
        <f t="shared" si="9"/>
        <v>1.85</v>
      </c>
      <c r="AO93" s="94">
        <f t="shared" si="9"/>
        <v>1.87</v>
      </c>
      <c r="AP93" s="94">
        <f t="shared" si="9"/>
        <v>1.89</v>
      </c>
      <c r="AQ93" s="94">
        <f t="shared" si="9"/>
        <v>1.91</v>
      </c>
      <c r="AR93" s="94">
        <f t="shared" si="9"/>
        <v>1.93</v>
      </c>
      <c r="AS93" s="94">
        <f t="shared" si="9"/>
        <v>1.95</v>
      </c>
      <c r="AT93" s="94">
        <f t="shared" si="9"/>
        <v>1.97</v>
      </c>
      <c r="AU93" s="94">
        <f t="shared" si="9"/>
        <v>1.99</v>
      </c>
      <c r="AV93" s="94">
        <f t="shared" si="9"/>
        <v>2.0099999999999998</v>
      </c>
      <c r="AW93" s="94">
        <f t="shared" si="9"/>
        <v>2.0299999999999998</v>
      </c>
      <c r="AX93" s="94">
        <f t="shared" si="9"/>
        <v>2.0499999999999998</v>
      </c>
      <c r="AY93" s="94">
        <f t="shared" si="9"/>
        <v>2.0699999999999998</v>
      </c>
      <c r="AZ93" s="94">
        <f t="shared" si="9"/>
        <v>2.09</v>
      </c>
      <c r="BA93" s="94">
        <f t="shared" si="9"/>
        <v>2.11</v>
      </c>
      <c r="BB93" s="94">
        <f t="shared" si="9"/>
        <v>2.13</v>
      </c>
    </row>
    <row r="94" spans="2:54" x14ac:dyDescent="0.2">
      <c r="B94" s="45" t="s">
        <v>143</v>
      </c>
      <c r="C94" s="94">
        <v>37.700000000000003</v>
      </c>
      <c r="D94" s="94">
        <f>ROUND(C94*(1+(0.8*D23)),2)</f>
        <v>38.51</v>
      </c>
      <c r="E94" s="94">
        <f t="shared" ref="E94:BB94" si="10">ROUND(D94*(1+(0.8*E23)),2)</f>
        <v>39.369999999999997</v>
      </c>
      <c r="F94" s="94">
        <f t="shared" si="10"/>
        <v>40.03</v>
      </c>
      <c r="G94" s="94">
        <f t="shared" si="10"/>
        <v>40.57</v>
      </c>
      <c r="H94" s="94">
        <f t="shared" si="10"/>
        <v>41.15</v>
      </c>
      <c r="I94" s="94">
        <f t="shared" si="10"/>
        <v>41.68</v>
      </c>
      <c r="J94" s="94">
        <f t="shared" si="10"/>
        <v>42.21</v>
      </c>
      <c r="K94" s="94">
        <f t="shared" si="10"/>
        <v>42.72</v>
      </c>
      <c r="L94" s="94">
        <f t="shared" si="10"/>
        <v>43.23</v>
      </c>
      <c r="M94" s="94">
        <f t="shared" si="10"/>
        <v>43.75</v>
      </c>
      <c r="N94" s="94">
        <f t="shared" si="10"/>
        <v>44.28</v>
      </c>
      <c r="O94" s="94">
        <f t="shared" si="10"/>
        <v>44.81</v>
      </c>
      <c r="P94" s="94">
        <f t="shared" si="10"/>
        <v>45.35</v>
      </c>
      <c r="Q94" s="94">
        <f t="shared" si="10"/>
        <v>45.89</v>
      </c>
      <c r="R94" s="94">
        <f t="shared" si="10"/>
        <v>46.44</v>
      </c>
      <c r="S94" s="94">
        <f t="shared" si="10"/>
        <v>47</v>
      </c>
      <c r="T94" s="94">
        <f t="shared" si="10"/>
        <v>47.56</v>
      </c>
      <c r="U94" s="94">
        <f t="shared" si="10"/>
        <v>48.05</v>
      </c>
      <c r="V94" s="94">
        <f t="shared" si="10"/>
        <v>48.55</v>
      </c>
      <c r="W94" s="94">
        <f t="shared" si="10"/>
        <v>49.05</v>
      </c>
      <c r="X94" s="94">
        <f t="shared" si="10"/>
        <v>49.56</v>
      </c>
      <c r="Y94" s="94">
        <f t="shared" si="10"/>
        <v>50.08</v>
      </c>
      <c r="Z94" s="94">
        <f t="shared" si="10"/>
        <v>50.6</v>
      </c>
      <c r="AA94" s="94">
        <f t="shared" si="10"/>
        <v>51.13</v>
      </c>
      <c r="AB94" s="94">
        <f t="shared" si="10"/>
        <v>51.66</v>
      </c>
      <c r="AC94" s="94">
        <f t="shared" si="10"/>
        <v>52.2</v>
      </c>
      <c r="AD94" s="94">
        <f t="shared" si="10"/>
        <v>52.74</v>
      </c>
      <c r="AE94" s="94">
        <f t="shared" si="10"/>
        <v>53.25</v>
      </c>
      <c r="AF94" s="94">
        <f t="shared" si="10"/>
        <v>53.76</v>
      </c>
      <c r="AG94" s="94">
        <f t="shared" si="10"/>
        <v>54.28</v>
      </c>
      <c r="AH94" s="94">
        <f t="shared" si="10"/>
        <v>54.8</v>
      </c>
      <c r="AI94" s="94">
        <f t="shared" si="10"/>
        <v>55.33</v>
      </c>
      <c r="AJ94" s="94">
        <f t="shared" si="10"/>
        <v>55.86</v>
      </c>
      <c r="AK94" s="94">
        <f t="shared" si="10"/>
        <v>56.4</v>
      </c>
      <c r="AL94" s="94">
        <f t="shared" si="10"/>
        <v>56.94</v>
      </c>
      <c r="AM94" s="94">
        <f t="shared" si="10"/>
        <v>57.49</v>
      </c>
      <c r="AN94" s="94">
        <f t="shared" si="10"/>
        <v>58.04</v>
      </c>
      <c r="AO94" s="94">
        <f t="shared" si="10"/>
        <v>58.64</v>
      </c>
      <c r="AP94" s="94">
        <f t="shared" si="10"/>
        <v>59.25</v>
      </c>
      <c r="AQ94" s="94">
        <f t="shared" si="10"/>
        <v>59.87</v>
      </c>
      <c r="AR94" s="94">
        <f t="shared" si="10"/>
        <v>60.49</v>
      </c>
      <c r="AS94" s="94">
        <f t="shared" si="10"/>
        <v>61.12</v>
      </c>
      <c r="AT94" s="94">
        <f t="shared" si="10"/>
        <v>61.76</v>
      </c>
      <c r="AU94" s="94">
        <f t="shared" si="10"/>
        <v>62.4</v>
      </c>
      <c r="AV94" s="94">
        <f t="shared" si="10"/>
        <v>63.05</v>
      </c>
      <c r="AW94" s="94">
        <f t="shared" si="10"/>
        <v>63.71</v>
      </c>
      <c r="AX94" s="94">
        <f t="shared" si="10"/>
        <v>64.37</v>
      </c>
      <c r="AY94" s="94">
        <f t="shared" si="10"/>
        <v>65.040000000000006</v>
      </c>
      <c r="AZ94" s="94">
        <f t="shared" si="10"/>
        <v>65.72</v>
      </c>
      <c r="BA94" s="94">
        <f t="shared" si="10"/>
        <v>66.400000000000006</v>
      </c>
      <c r="BB94" s="94">
        <f t="shared" si="10"/>
        <v>67.09</v>
      </c>
    </row>
    <row r="95" spans="2:54" x14ac:dyDescent="0.2">
      <c r="B95" s="1" t="s">
        <v>484</v>
      </c>
    </row>
    <row r="96" spans="2:54" x14ac:dyDescent="0.2">
      <c r="B96" s="1"/>
    </row>
    <row r="97" spans="2:7" ht="16.5" customHeight="1" x14ac:dyDescent="0.2">
      <c r="B97" s="143" t="s">
        <v>127</v>
      </c>
      <c r="C97" s="147" t="s">
        <v>130</v>
      </c>
      <c r="D97" s="147" t="s">
        <v>131</v>
      </c>
    </row>
    <row r="98" spans="2:7" x14ac:dyDescent="0.2">
      <c r="B98" s="64" t="s">
        <v>109</v>
      </c>
      <c r="C98" s="74">
        <v>0.72</v>
      </c>
      <c r="D98" s="3" t="s">
        <v>129</v>
      </c>
    </row>
    <row r="99" spans="2:7" x14ac:dyDescent="0.2">
      <c r="B99" s="44" t="s">
        <v>110</v>
      </c>
      <c r="C99" s="75">
        <v>0.82</v>
      </c>
      <c r="D99" s="3" t="s">
        <v>129</v>
      </c>
    </row>
    <row r="100" spans="2:7" x14ac:dyDescent="0.2">
      <c r="B100" s="44" t="s">
        <v>128</v>
      </c>
      <c r="C100" s="75">
        <v>0.7</v>
      </c>
      <c r="D100" s="3" t="s">
        <v>132</v>
      </c>
    </row>
    <row r="101" spans="2:7" x14ac:dyDescent="0.2">
      <c r="B101" s="1" t="s">
        <v>332</v>
      </c>
    </row>
    <row r="102" spans="2:7" x14ac:dyDescent="0.2">
      <c r="B102" s="1"/>
    </row>
    <row r="103" spans="2:7" ht="16.5" customHeight="1" x14ac:dyDescent="0.2">
      <c r="B103" s="626" t="s">
        <v>250</v>
      </c>
      <c r="C103" s="627"/>
      <c r="D103" s="627"/>
      <c r="E103" s="627"/>
      <c r="F103"/>
      <c r="G103"/>
    </row>
    <row r="104" spans="2:7" ht="12.75" customHeight="1" x14ac:dyDescent="0.2">
      <c r="B104" s="145" t="s">
        <v>92</v>
      </c>
      <c r="C104" s="139" t="s">
        <v>251</v>
      </c>
      <c r="D104" s="139" t="s">
        <v>252</v>
      </c>
      <c r="E104" s="139" t="s">
        <v>253</v>
      </c>
      <c r="F104" s="98"/>
      <c r="G104" s="98"/>
    </row>
    <row r="105" spans="2:7" x14ac:dyDescent="0.2">
      <c r="B105" s="46" t="s">
        <v>244</v>
      </c>
      <c r="C105" s="99">
        <v>3140</v>
      </c>
      <c r="D105" s="90">
        <v>0.182</v>
      </c>
      <c r="E105" s="90">
        <v>2.4E-2</v>
      </c>
      <c r="F105" s="97"/>
      <c r="G105" s="97"/>
    </row>
    <row r="106" spans="2:7" x14ac:dyDescent="0.2">
      <c r="B106" s="89" t="s">
        <v>245</v>
      </c>
      <c r="C106" s="99">
        <v>3190</v>
      </c>
      <c r="D106" s="90">
        <v>0.17599999999999999</v>
      </c>
      <c r="E106" s="90">
        <v>2.4E-2</v>
      </c>
      <c r="F106" s="97"/>
      <c r="G106" s="97"/>
    </row>
    <row r="107" spans="2:7" x14ac:dyDescent="0.2">
      <c r="B107" s="46" t="s">
        <v>233</v>
      </c>
      <c r="C107" s="99">
        <v>3140</v>
      </c>
      <c r="D107" s="90">
        <v>0.17899999999999999</v>
      </c>
      <c r="E107" s="90">
        <v>2.4E-2</v>
      </c>
      <c r="F107" s="97"/>
      <c r="G107" s="97"/>
    </row>
    <row r="108" spans="2:7" x14ac:dyDescent="0.2">
      <c r="B108" s="102" t="s">
        <v>334</v>
      </c>
      <c r="C108" s="96"/>
      <c r="D108" s="96"/>
      <c r="E108" s="96"/>
      <c r="F108" s="97"/>
      <c r="G108" s="97"/>
    </row>
    <row r="109" spans="2:7" x14ac:dyDescent="0.2">
      <c r="B109" s="95"/>
      <c r="C109" s="96"/>
      <c r="D109" s="96"/>
      <c r="E109" s="96"/>
      <c r="F109" s="97"/>
      <c r="G109" s="97"/>
    </row>
    <row r="110" spans="2:7" ht="17.25" customHeight="1" x14ac:dyDescent="0.2">
      <c r="B110" s="641" t="s">
        <v>257</v>
      </c>
      <c r="C110" s="642"/>
      <c r="D110" s="643"/>
      <c r="E110" s="96"/>
      <c r="F110" s="97"/>
      <c r="G110" s="97"/>
    </row>
    <row r="111" spans="2:7" ht="22.5" x14ac:dyDescent="0.2">
      <c r="B111" s="146" t="s">
        <v>254</v>
      </c>
      <c r="C111" s="139" t="s">
        <v>255</v>
      </c>
      <c r="D111" s="139" t="s">
        <v>256</v>
      </c>
      <c r="E111" s="96"/>
      <c r="F111" s="97"/>
      <c r="G111" s="97"/>
    </row>
    <row r="112" spans="2:7" x14ac:dyDescent="0.2">
      <c r="B112" s="43">
        <v>206</v>
      </c>
      <c r="C112" s="131">
        <v>210</v>
      </c>
      <c r="D112" s="131">
        <v>216</v>
      </c>
      <c r="E112" s="96"/>
      <c r="F112" s="97"/>
      <c r="G112" s="97"/>
    </row>
    <row r="113" spans="2:54" x14ac:dyDescent="0.2">
      <c r="B113" s="102" t="s">
        <v>337</v>
      </c>
      <c r="C113" s="96"/>
      <c r="D113" s="96"/>
      <c r="E113" s="96"/>
      <c r="F113" s="97"/>
      <c r="G113" s="97"/>
    </row>
    <row r="114" spans="2:54" x14ac:dyDescent="0.2">
      <c r="B114" s="95"/>
      <c r="C114" s="96"/>
      <c r="D114" s="96"/>
      <c r="E114" s="96"/>
      <c r="F114" s="97"/>
      <c r="G114" s="97"/>
    </row>
    <row r="115" spans="2:54" ht="16.5" customHeight="1" x14ac:dyDescent="0.2">
      <c r="B115" s="624" t="s">
        <v>258</v>
      </c>
      <c r="C115" s="625"/>
      <c r="D115" s="625"/>
      <c r="E115" s="625"/>
      <c r="F115" s="97"/>
      <c r="G115" s="97"/>
    </row>
    <row r="116" spans="2:54" x14ac:dyDescent="0.2">
      <c r="B116" s="148"/>
      <c r="C116" s="139" t="s">
        <v>251</v>
      </c>
      <c r="D116" s="139" t="s">
        <v>252</v>
      </c>
      <c r="E116" s="139" t="s">
        <v>253</v>
      </c>
      <c r="F116" s="97"/>
      <c r="G116" s="97"/>
    </row>
    <row r="117" spans="2:54" x14ac:dyDescent="0.2">
      <c r="B117" s="46" t="s">
        <v>153</v>
      </c>
      <c r="C117" s="99">
        <v>1</v>
      </c>
      <c r="D117" s="99">
        <v>25</v>
      </c>
      <c r="E117" s="99">
        <v>298</v>
      </c>
      <c r="F117" s="97"/>
      <c r="G117" s="97"/>
    </row>
    <row r="118" spans="2:54" x14ac:dyDescent="0.2">
      <c r="B118" s="102" t="s">
        <v>335</v>
      </c>
      <c r="C118" s="96"/>
      <c r="D118" s="96"/>
      <c r="E118" s="96"/>
      <c r="F118" s="97"/>
      <c r="G118" s="97"/>
    </row>
    <row r="119" spans="2:54" x14ac:dyDescent="0.2">
      <c r="B119" s="102"/>
      <c r="C119" s="96"/>
      <c r="D119" s="96"/>
      <c r="E119" s="96"/>
      <c r="F119" s="97"/>
      <c r="G119" s="97"/>
    </row>
    <row r="120" spans="2:54" ht="16.5" customHeight="1" x14ac:dyDescent="0.2">
      <c r="B120" s="143" t="s">
        <v>154</v>
      </c>
      <c r="C120" s="138">
        <v>2024</v>
      </c>
      <c r="D120" s="138">
        <v>2025</v>
      </c>
      <c r="E120" s="138">
        <v>2026</v>
      </c>
      <c r="F120" s="138">
        <v>2027</v>
      </c>
      <c r="G120" s="138">
        <v>2028</v>
      </c>
      <c r="H120" s="138">
        <v>2029</v>
      </c>
      <c r="I120" s="138">
        <v>2030</v>
      </c>
      <c r="J120" s="138">
        <v>2031</v>
      </c>
      <c r="K120" s="138">
        <v>2032</v>
      </c>
      <c r="L120" s="138">
        <v>2033</v>
      </c>
      <c r="M120" s="138">
        <v>2034</v>
      </c>
      <c r="N120" s="138">
        <v>2035</v>
      </c>
      <c r="O120" s="138">
        <v>2036</v>
      </c>
      <c r="P120" s="138">
        <v>2037</v>
      </c>
      <c r="Q120" s="138">
        <v>2038</v>
      </c>
      <c r="R120" s="138">
        <v>2039</v>
      </c>
      <c r="S120" s="138">
        <v>2040</v>
      </c>
      <c r="T120" s="138">
        <v>2041</v>
      </c>
      <c r="U120" s="138">
        <v>2042</v>
      </c>
      <c r="V120" s="138">
        <v>2043</v>
      </c>
      <c r="W120" s="138">
        <v>2044</v>
      </c>
      <c r="X120" s="138">
        <v>2045</v>
      </c>
      <c r="Y120" s="138">
        <v>2046</v>
      </c>
      <c r="Z120" s="138">
        <v>2047</v>
      </c>
      <c r="AA120" s="138">
        <v>2048</v>
      </c>
      <c r="AB120" s="138">
        <v>2049</v>
      </c>
      <c r="AC120" s="138">
        <v>2050</v>
      </c>
      <c r="AD120" s="138">
        <v>2051</v>
      </c>
      <c r="AE120" s="138">
        <v>2052</v>
      </c>
      <c r="AF120" s="138">
        <v>2053</v>
      </c>
      <c r="AG120" s="138">
        <v>2054</v>
      </c>
      <c r="AH120" s="138">
        <v>2055</v>
      </c>
      <c r="AI120" s="138">
        <v>2056</v>
      </c>
      <c r="AJ120" s="138">
        <v>2057</v>
      </c>
      <c r="AK120" s="138">
        <v>2058</v>
      </c>
      <c r="AL120" s="138">
        <v>2059</v>
      </c>
      <c r="AM120" s="138">
        <v>2060</v>
      </c>
      <c r="AN120" s="138">
        <v>2061</v>
      </c>
      <c r="AO120" s="138">
        <v>2062</v>
      </c>
      <c r="AP120" s="138">
        <v>2063</v>
      </c>
      <c r="AQ120" s="138">
        <v>2064</v>
      </c>
      <c r="AR120" s="138">
        <v>2065</v>
      </c>
      <c r="AS120" s="138">
        <v>2066</v>
      </c>
      <c r="AT120" s="138">
        <v>2067</v>
      </c>
      <c r="AU120" s="138">
        <v>2068</v>
      </c>
      <c r="AV120" s="138">
        <v>2069</v>
      </c>
      <c r="AW120" s="138">
        <v>2070</v>
      </c>
      <c r="AX120" s="138">
        <v>2071</v>
      </c>
      <c r="AY120" s="138">
        <v>2072</v>
      </c>
      <c r="AZ120" s="138">
        <v>2073</v>
      </c>
      <c r="BA120" s="138">
        <v>2074</v>
      </c>
      <c r="BB120" s="138">
        <v>2075</v>
      </c>
    </row>
    <row r="121" spans="2:54" x14ac:dyDescent="0.2">
      <c r="B121" s="46" t="s">
        <v>336</v>
      </c>
      <c r="C121" s="94">
        <v>183.3</v>
      </c>
      <c r="D121" s="149">
        <v>230.8</v>
      </c>
      <c r="E121" s="94">
        <f>ROUND(D121+($I$121-$D$121)/5,1)</f>
        <v>254.6</v>
      </c>
      <c r="F121" s="94">
        <f t="shared" ref="F121:H121" si="11">ROUND(E121+($I$121-$D$121)/5,1)</f>
        <v>278.39999999999998</v>
      </c>
      <c r="G121" s="94">
        <f t="shared" si="11"/>
        <v>302.2</v>
      </c>
      <c r="H121" s="94">
        <f t="shared" si="11"/>
        <v>326</v>
      </c>
      <c r="I121" s="149">
        <v>349.8</v>
      </c>
      <c r="J121" s="94">
        <f>ROUND(I121+($N$121-$I$121)/5,1)</f>
        <v>389</v>
      </c>
      <c r="K121" s="94">
        <f t="shared" ref="K121:M121" si="12">ROUND(J121+($N$121-$I$121)/5,1)</f>
        <v>428.2</v>
      </c>
      <c r="L121" s="94">
        <f t="shared" si="12"/>
        <v>467.4</v>
      </c>
      <c r="M121" s="94">
        <f t="shared" si="12"/>
        <v>506.6</v>
      </c>
      <c r="N121" s="149">
        <v>545.6</v>
      </c>
      <c r="O121" s="94">
        <f>ROUND(N121+($S$121-$N$121)/5,1)</f>
        <v>583.4</v>
      </c>
      <c r="P121" s="94">
        <f t="shared" ref="P121:R121" si="13">ROUND(O121+($S$121-$N$121)/5,1)</f>
        <v>621.20000000000005</v>
      </c>
      <c r="Q121" s="94">
        <f t="shared" si="13"/>
        <v>659</v>
      </c>
      <c r="R121" s="94">
        <f t="shared" si="13"/>
        <v>696.8</v>
      </c>
      <c r="S121" s="149">
        <v>734.5</v>
      </c>
      <c r="T121" s="94">
        <f>ROUND(S121+($X$121-$S$121)/5,1)</f>
        <v>772.3</v>
      </c>
      <c r="U121" s="94">
        <f t="shared" ref="U121:W121" si="14">ROUND(T121+($X$121-$S$121)/5,1)</f>
        <v>810.1</v>
      </c>
      <c r="V121" s="94">
        <f t="shared" si="14"/>
        <v>847.9</v>
      </c>
      <c r="W121" s="94">
        <f t="shared" si="14"/>
        <v>885.7</v>
      </c>
      <c r="X121" s="149">
        <v>923.4</v>
      </c>
      <c r="Y121" s="94">
        <f>ROUND(X121+($AC$121-$X$121)/5,1)</f>
        <v>962.6</v>
      </c>
      <c r="Z121" s="94">
        <f t="shared" ref="Z121:AB121" si="15">ROUND(Y121+($AC$121-$X$121)/5,1)</f>
        <v>1001.8</v>
      </c>
      <c r="AA121" s="94">
        <f t="shared" si="15"/>
        <v>1041</v>
      </c>
      <c r="AB121" s="94">
        <f t="shared" si="15"/>
        <v>1080.2</v>
      </c>
      <c r="AC121" s="149">
        <v>1119.2</v>
      </c>
      <c r="AD121" s="94">
        <f>ROUND(AC121*(1+(0.8*AD23)),1)</f>
        <v>1130.8</v>
      </c>
      <c r="AE121" s="94">
        <f t="shared" ref="AE121:BB121" si="16">ROUND(AD121*(1+(0.8*AE23)),1)</f>
        <v>1141.7</v>
      </c>
      <c r="AF121" s="94">
        <f t="shared" si="16"/>
        <v>1152.7</v>
      </c>
      <c r="AG121" s="94">
        <f t="shared" si="16"/>
        <v>1163.8</v>
      </c>
      <c r="AH121" s="94">
        <f t="shared" si="16"/>
        <v>1175</v>
      </c>
      <c r="AI121" s="94">
        <f t="shared" si="16"/>
        <v>1186.3</v>
      </c>
      <c r="AJ121" s="94">
        <f t="shared" si="16"/>
        <v>1197.7</v>
      </c>
      <c r="AK121" s="94">
        <f t="shared" si="16"/>
        <v>1209.2</v>
      </c>
      <c r="AL121" s="94">
        <f t="shared" si="16"/>
        <v>1220.8</v>
      </c>
      <c r="AM121" s="94">
        <f t="shared" si="16"/>
        <v>1232.5</v>
      </c>
      <c r="AN121" s="94">
        <f t="shared" si="16"/>
        <v>1244.3</v>
      </c>
      <c r="AO121" s="94">
        <f t="shared" si="16"/>
        <v>1257.2</v>
      </c>
      <c r="AP121" s="94">
        <f t="shared" si="16"/>
        <v>1270.3</v>
      </c>
      <c r="AQ121" s="94">
        <f t="shared" si="16"/>
        <v>1283.5</v>
      </c>
      <c r="AR121" s="94">
        <f t="shared" si="16"/>
        <v>1296.8</v>
      </c>
      <c r="AS121" s="94">
        <f t="shared" si="16"/>
        <v>1310.3</v>
      </c>
      <c r="AT121" s="94">
        <f t="shared" si="16"/>
        <v>1323.9</v>
      </c>
      <c r="AU121" s="94">
        <f t="shared" si="16"/>
        <v>1337.7</v>
      </c>
      <c r="AV121" s="94">
        <f t="shared" si="16"/>
        <v>1351.6</v>
      </c>
      <c r="AW121" s="94">
        <f t="shared" si="16"/>
        <v>1365.7</v>
      </c>
      <c r="AX121" s="94">
        <f t="shared" si="16"/>
        <v>1379.9</v>
      </c>
      <c r="AY121" s="94">
        <f t="shared" si="16"/>
        <v>1394.3</v>
      </c>
      <c r="AZ121" s="94">
        <f t="shared" si="16"/>
        <v>1408.8</v>
      </c>
      <c r="BA121" s="94">
        <f t="shared" si="16"/>
        <v>1423.5</v>
      </c>
      <c r="BB121" s="94">
        <f t="shared" si="16"/>
        <v>1438.3</v>
      </c>
    </row>
    <row r="122" spans="2:54" x14ac:dyDescent="0.2">
      <c r="B122" s="1" t="s">
        <v>370</v>
      </c>
      <c r="AQ122" s="68"/>
    </row>
    <row r="123" spans="2:54" x14ac:dyDescent="0.2">
      <c r="AQ123" s="68"/>
    </row>
    <row r="124" spans="2:54" ht="22.5" x14ac:dyDescent="0.2">
      <c r="B124" s="143" t="s">
        <v>155</v>
      </c>
      <c r="C124" s="138">
        <v>2024</v>
      </c>
      <c r="D124" s="138">
        <v>2025</v>
      </c>
      <c r="E124" s="138">
        <v>2026</v>
      </c>
      <c r="F124" s="138">
        <v>2027</v>
      </c>
      <c r="G124" s="138">
        <v>2028</v>
      </c>
      <c r="H124" s="138">
        <v>2029</v>
      </c>
      <c r="I124" s="138">
        <v>2030</v>
      </c>
      <c r="J124" s="138">
        <v>2031</v>
      </c>
      <c r="K124" s="138">
        <v>2032</v>
      </c>
      <c r="L124" s="138">
        <v>2033</v>
      </c>
      <c r="M124" s="138">
        <v>2034</v>
      </c>
      <c r="N124" s="138">
        <v>2035</v>
      </c>
      <c r="O124" s="138">
        <v>2036</v>
      </c>
      <c r="P124" s="138">
        <v>2037</v>
      </c>
      <c r="Q124" s="138">
        <v>2038</v>
      </c>
      <c r="R124" s="138">
        <v>2039</v>
      </c>
      <c r="S124" s="138">
        <v>2040</v>
      </c>
      <c r="T124" s="138">
        <v>2041</v>
      </c>
      <c r="U124" s="138">
        <v>2042</v>
      </c>
      <c r="V124" s="138">
        <v>2043</v>
      </c>
      <c r="W124" s="138">
        <v>2044</v>
      </c>
      <c r="X124" s="138">
        <v>2045</v>
      </c>
      <c r="Y124" s="138">
        <v>2046</v>
      </c>
      <c r="Z124" s="138">
        <v>2047</v>
      </c>
      <c r="AA124" s="138">
        <v>2048</v>
      </c>
      <c r="AB124" s="138">
        <v>2049</v>
      </c>
      <c r="AC124" s="138">
        <v>2050</v>
      </c>
      <c r="AD124" s="138">
        <v>2051</v>
      </c>
      <c r="AE124" s="138">
        <v>2052</v>
      </c>
      <c r="AF124" s="138">
        <v>2053</v>
      </c>
      <c r="AG124" s="138">
        <v>2054</v>
      </c>
      <c r="AH124" s="138">
        <v>2055</v>
      </c>
      <c r="AI124" s="138">
        <v>2056</v>
      </c>
      <c r="AJ124" s="138">
        <v>2057</v>
      </c>
      <c r="AK124" s="138">
        <v>2058</v>
      </c>
      <c r="AL124" s="138">
        <v>2059</v>
      </c>
      <c r="AM124" s="138">
        <v>2060</v>
      </c>
      <c r="AN124" s="138">
        <v>2061</v>
      </c>
      <c r="AO124" s="138">
        <v>2062</v>
      </c>
      <c r="AP124" s="138">
        <v>2063</v>
      </c>
      <c r="AQ124" s="138">
        <v>2064</v>
      </c>
      <c r="AR124" s="138">
        <v>2065</v>
      </c>
      <c r="AS124" s="138">
        <v>2066</v>
      </c>
      <c r="AT124" s="138">
        <v>2067</v>
      </c>
      <c r="AU124" s="138">
        <v>2068</v>
      </c>
      <c r="AV124" s="138">
        <v>2069</v>
      </c>
      <c r="AW124" s="138">
        <v>2070</v>
      </c>
      <c r="AX124" s="138">
        <v>2071</v>
      </c>
      <c r="AY124" s="138">
        <v>2072</v>
      </c>
      <c r="AZ124" s="138">
        <v>2073</v>
      </c>
      <c r="BA124" s="138">
        <v>2074</v>
      </c>
      <c r="BB124" s="138">
        <v>2075</v>
      </c>
    </row>
    <row r="125" spans="2:54" x14ac:dyDescent="0.2">
      <c r="B125" s="45" t="s">
        <v>259</v>
      </c>
      <c r="C125" s="103">
        <f>98.06*0.01</f>
        <v>0.98060000000000003</v>
      </c>
      <c r="D125" s="103">
        <f>ROUND(C125*(1+(0.8*D23)),4)</f>
        <v>1.0018</v>
      </c>
      <c r="E125" s="103">
        <f t="shared" ref="E125:BB125" si="17">ROUND(D125*(1+(0.8*E23)),4)</f>
        <v>1.0242</v>
      </c>
      <c r="F125" s="103">
        <f t="shared" si="17"/>
        <v>1.0414000000000001</v>
      </c>
      <c r="G125" s="103">
        <f t="shared" si="17"/>
        <v>1.0556000000000001</v>
      </c>
      <c r="H125" s="103">
        <f t="shared" si="17"/>
        <v>1.0708</v>
      </c>
      <c r="I125" s="103">
        <f t="shared" si="17"/>
        <v>1.0845</v>
      </c>
      <c r="J125" s="103">
        <f t="shared" si="17"/>
        <v>1.0984</v>
      </c>
      <c r="K125" s="103">
        <f t="shared" si="17"/>
        <v>1.1115999999999999</v>
      </c>
      <c r="L125" s="103">
        <f t="shared" si="17"/>
        <v>1.1249</v>
      </c>
      <c r="M125" s="103">
        <f t="shared" si="17"/>
        <v>1.1384000000000001</v>
      </c>
      <c r="N125" s="103">
        <f t="shared" si="17"/>
        <v>1.1520999999999999</v>
      </c>
      <c r="O125" s="103">
        <f t="shared" si="17"/>
        <v>1.1658999999999999</v>
      </c>
      <c r="P125" s="103">
        <f t="shared" si="17"/>
        <v>1.1798999999999999</v>
      </c>
      <c r="Q125" s="103">
        <f t="shared" si="17"/>
        <v>1.1940999999999999</v>
      </c>
      <c r="R125" s="103">
        <f t="shared" si="17"/>
        <v>1.2083999999999999</v>
      </c>
      <c r="S125" s="103">
        <f t="shared" si="17"/>
        <v>1.2229000000000001</v>
      </c>
      <c r="T125" s="103">
        <f t="shared" si="17"/>
        <v>1.2376</v>
      </c>
      <c r="U125" s="103">
        <f t="shared" si="17"/>
        <v>1.2504999999999999</v>
      </c>
      <c r="V125" s="103">
        <f t="shared" si="17"/>
        <v>1.2635000000000001</v>
      </c>
      <c r="W125" s="103">
        <f t="shared" si="17"/>
        <v>1.2766</v>
      </c>
      <c r="X125" s="103">
        <f t="shared" si="17"/>
        <v>1.2899</v>
      </c>
      <c r="Y125" s="103">
        <f t="shared" si="17"/>
        <v>1.3032999999999999</v>
      </c>
      <c r="Z125" s="103">
        <f t="shared" si="17"/>
        <v>1.3169</v>
      </c>
      <c r="AA125" s="103">
        <f t="shared" si="17"/>
        <v>1.3306</v>
      </c>
      <c r="AB125" s="103">
        <f t="shared" si="17"/>
        <v>1.3444</v>
      </c>
      <c r="AC125" s="103">
        <f t="shared" si="17"/>
        <v>1.3584000000000001</v>
      </c>
      <c r="AD125" s="103">
        <f t="shared" si="17"/>
        <v>1.3725000000000001</v>
      </c>
      <c r="AE125" s="103">
        <f t="shared" si="17"/>
        <v>1.3856999999999999</v>
      </c>
      <c r="AF125" s="103">
        <f t="shared" si="17"/>
        <v>1.399</v>
      </c>
      <c r="AG125" s="103">
        <f t="shared" si="17"/>
        <v>1.4124000000000001</v>
      </c>
      <c r="AH125" s="103">
        <f t="shared" si="17"/>
        <v>1.4259999999999999</v>
      </c>
      <c r="AI125" s="103">
        <f t="shared" si="17"/>
        <v>1.4397</v>
      </c>
      <c r="AJ125" s="103">
        <f t="shared" si="17"/>
        <v>1.4535</v>
      </c>
      <c r="AK125" s="103">
        <f t="shared" si="17"/>
        <v>1.4675</v>
      </c>
      <c r="AL125" s="103">
        <f t="shared" si="17"/>
        <v>1.4816</v>
      </c>
      <c r="AM125" s="103">
        <f t="shared" si="17"/>
        <v>1.4958</v>
      </c>
      <c r="AN125" s="103">
        <f t="shared" si="17"/>
        <v>1.5102</v>
      </c>
      <c r="AO125" s="103">
        <f t="shared" si="17"/>
        <v>1.5259</v>
      </c>
      <c r="AP125" s="103">
        <f t="shared" si="17"/>
        <v>1.5418000000000001</v>
      </c>
      <c r="AQ125" s="103">
        <f t="shared" si="17"/>
        <v>1.5578000000000001</v>
      </c>
      <c r="AR125" s="103">
        <f t="shared" si="17"/>
        <v>1.5740000000000001</v>
      </c>
      <c r="AS125" s="103">
        <f t="shared" si="17"/>
        <v>1.5904</v>
      </c>
      <c r="AT125" s="103">
        <f t="shared" si="17"/>
        <v>1.6069</v>
      </c>
      <c r="AU125" s="103">
        <f t="shared" si="17"/>
        <v>1.6235999999999999</v>
      </c>
      <c r="AV125" s="103">
        <f t="shared" si="17"/>
        <v>1.6405000000000001</v>
      </c>
      <c r="AW125" s="103">
        <f t="shared" si="17"/>
        <v>1.6576</v>
      </c>
      <c r="AX125" s="103">
        <f t="shared" si="17"/>
        <v>1.6748000000000001</v>
      </c>
      <c r="AY125" s="103">
        <f t="shared" si="17"/>
        <v>1.6921999999999999</v>
      </c>
      <c r="AZ125" s="103">
        <f t="shared" si="17"/>
        <v>1.7098</v>
      </c>
      <c r="BA125" s="103">
        <f t="shared" si="17"/>
        <v>1.7276</v>
      </c>
      <c r="BB125" s="103">
        <f t="shared" si="17"/>
        <v>1.7456</v>
      </c>
    </row>
    <row r="126" spans="2:54" x14ac:dyDescent="0.2">
      <c r="B126" s="45" t="s">
        <v>260</v>
      </c>
      <c r="C126" s="103">
        <f>43.25*0.01</f>
        <v>0.4325</v>
      </c>
      <c r="D126" s="103">
        <f>ROUND(C126*(1+(0.8*D23)),4)</f>
        <v>0.44180000000000003</v>
      </c>
      <c r="E126" s="103">
        <f t="shared" ref="E126:BB126" si="18">ROUND(D126*(1+(0.8*E23)),4)</f>
        <v>0.45169999999999999</v>
      </c>
      <c r="F126" s="103">
        <f t="shared" si="18"/>
        <v>0.45929999999999999</v>
      </c>
      <c r="G126" s="103">
        <f t="shared" si="18"/>
        <v>0.46550000000000002</v>
      </c>
      <c r="H126" s="103">
        <f t="shared" si="18"/>
        <v>0.47220000000000001</v>
      </c>
      <c r="I126" s="103">
        <f t="shared" si="18"/>
        <v>0.47820000000000001</v>
      </c>
      <c r="J126" s="103">
        <f t="shared" si="18"/>
        <v>0.48430000000000001</v>
      </c>
      <c r="K126" s="103">
        <f t="shared" si="18"/>
        <v>0.49009999999999998</v>
      </c>
      <c r="L126" s="103">
        <f t="shared" si="18"/>
        <v>0.496</v>
      </c>
      <c r="M126" s="103">
        <f t="shared" si="18"/>
        <v>0.502</v>
      </c>
      <c r="N126" s="103">
        <f t="shared" si="18"/>
        <v>0.50800000000000001</v>
      </c>
      <c r="O126" s="103">
        <f t="shared" si="18"/>
        <v>0.5141</v>
      </c>
      <c r="P126" s="103">
        <f t="shared" si="18"/>
        <v>0.52029999999999998</v>
      </c>
      <c r="Q126" s="103">
        <f t="shared" si="18"/>
        <v>0.52649999999999997</v>
      </c>
      <c r="R126" s="103">
        <f t="shared" si="18"/>
        <v>0.53280000000000005</v>
      </c>
      <c r="S126" s="103">
        <f t="shared" si="18"/>
        <v>0.53920000000000001</v>
      </c>
      <c r="T126" s="103">
        <f t="shared" si="18"/>
        <v>0.54569999999999996</v>
      </c>
      <c r="U126" s="103">
        <f t="shared" si="18"/>
        <v>0.5514</v>
      </c>
      <c r="V126" s="103">
        <f t="shared" si="18"/>
        <v>0.55710000000000004</v>
      </c>
      <c r="W126" s="103">
        <f t="shared" si="18"/>
        <v>0.56289999999999996</v>
      </c>
      <c r="X126" s="103">
        <f t="shared" si="18"/>
        <v>0.56879999999999997</v>
      </c>
      <c r="Y126" s="103">
        <f t="shared" si="18"/>
        <v>0.57469999999999999</v>
      </c>
      <c r="Z126" s="103">
        <f t="shared" si="18"/>
        <v>0.58069999999999999</v>
      </c>
      <c r="AA126" s="103">
        <f t="shared" si="18"/>
        <v>0.5867</v>
      </c>
      <c r="AB126" s="103">
        <f t="shared" si="18"/>
        <v>0.59279999999999999</v>
      </c>
      <c r="AC126" s="103">
        <f t="shared" si="18"/>
        <v>0.59899999999999998</v>
      </c>
      <c r="AD126" s="103">
        <f t="shared" si="18"/>
        <v>0.60519999999999996</v>
      </c>
      <c r="AE126" s="103">
        <f t="shared" si="18"/>
        <v>0.61099999999999999</v>
      </c>
      <c r="AF126" s="103">
        <f t="shared" si="18"/>
        <v>0.6169</v>
      </c>
      <c r="AG126" s="103">
        <f t="shared" si="18"/>
        <v>0.62280000000000002</v>
      </c>
      <c r="AH126" s="103">
        <f t="shared" si="18"/>
        <v>0.62880000000000003</v>
      </c>
      <c r="AI126" s="103">
        <f t="shared" si="18"/>
        <v>0.63480000000000003</v>
      </c>
      <c r="AJ126" s="103">
        <f t="shared" si="18"/>
        <v>0.64090000000000003</v>
      </c>
      <c r="AK126" s="103">
        <f t="shared" si="18"/>
        <v>0.64710000000000001</v>
      </c>
      <c r="AL126" s="103">
        <f t="shared" si="18"/>
        <v>0.65329999999999999</v>
      </c>
      <c r="AM126" s="103">
        <f t="shared" si="18"/>
        <v>0.65959999999999996</v>
      </c>
      <c r="AN126" s="103">
        <f t="shared" si="18"/>
        <v>0.66590000000000005</v>
      </c>
      <c r="AO126" s="103">
        <f t="shared" si="18"/>
        <v>0.67279999999999995</v>
      </c>
      <c r="AP126" s="103">
        <f t="shared" si="18"/>
        <v>0.67979999999999996</v>
      </c>
      <c r="AQ126" s="103">
        <f t="shared" si="18"/>
        <v>0.68689999999999996</v>
      </c>
      <c r="AR126" s="103">
        <f t="shared" si="18"/>
        <v>0.69399999999999995</v>
      </c>
      <c r="AS126" s="103">
        <f t="shared" si="18"/>
        <v>0.70120000000000005</v>
      </c>
      <c r="AT126" s="103">
        <f t="shared" si="18"/>
        <v>0.70850000000000002</v>
      </c>
      <c r="AU126" s="103">
        <f t="shared" si="18"/>
        <v>0.71589999999999998</v>
      </c>
      <c r="AV126" s="103">
        <f t="shared" si="18"/>
        <v>0.72330000000000005</v>
      </c>
      <c r="AW126" s="103">
        <f t="shared" si="18"/>
        <v>0.73080000000000001</v>
      </c>
      <c r="AX126" s="103">
        <f t="shared" si="18"/>
        <v>0.73839999999999995</v>
      </c>
      <c r="AY126" s="103">
        <f t="shared" si="18"/>
        <v>0.74609999999999999</v>
      </c>
      <c r="AZ126" s="103">
        <f t="shared" si="18"/>
        <v>0.75390000000000001</v>
      </c>
      <c r="BA126" s="103">
        <f t="shared" si="18"/>
        <v>0.76170000000000004</v>
      </c>
      <c r="BB126" s="103">
        <f t="shared" si="18"/>
        <v>0.76959999999999995</v>
      </c>
    </row>
    <row r="127" spans="2:54" x14ac:dyDescent="0.2">
      <c r="B127" s="45" t="s">
        <v>261</v>
      </c>
      <c r="C127" s="103">
        <f>6.24*0.01</f>
        <v>6.2400000000000004E-2</v>
      </c>
      <c r="D127" s="103">
        <f>ROUND(C127*(1+(0.8*D23)),4)</f>
        <v>6.3700000000000007E-2</v>
      </c>
      <c r="E127" s="103">
        <f t="shared" ref="E127:BB127" si="19">ROUND(D127*(1+(0.8*E23)),4)</f>
        <v>6.5100000000000005E-2</v>
      </c>
      <c r="F127" s="103">
        <f t="shared" si="19"/>
        <v>6.6199999999999995E-2</v>
      </c>
      <c r="G127" s="103">
        <f t="shared" si="19"/>
        <v>6.7100000000000007E-2</v>
      </c>
      <c r="H127" s="103">
        <f t="shared" si="19"/>
        <v>6.8099999999999994E-2</v>
      </c>
      <c r="I127" s="103">
        <f t="shared" si="19"/>
        <v>6.9000000000000006E-2</v>
      </c>
      <c r="J127" s="103">
        <f t="shared" si="19"/>
        <v>6.9900000000000004E-2</v>
      </c>
      <c r="K127" s="103">
        <f t="shared" si="19"/>
        <v>7.0699999999999999E-2</v>
      </c>
      <c r="L127" s="103">
        <f t="shared" si="19"/>
        <v>7.1499999999999994E-2</v>
      </c>
      <c r="M127" s="103">
        <f t="shared" si="19"/>
        <v>7.2400000000000006E-2</v>
      </c>
      <c r="N127" s="103">
        <f t="shared" si="19"/>
        <v>7.3300000000000004E-2</v>
      </c>
      <c r="O127" s="103">
        <f t="shared" si="19"/>
        <v>7.4200000000000002E-2</v>
      </c>
      <c r="P127" s="103">
        <f t="shared" si="19"/>
        <v>7.51E-2</v>
      </c>
      <c r="Q127" s="103">
        <f t="shared" si="19"/>
        <v>7.5999999999999998E-2</v>
      </c>
      <c r="R127" s="103">
        <f t="shared" si="19"/>
        <v>7.6899999999999996E-2</v>
      </c>
      <c r="S127" s="103">
        <f t="shared" si="19"/>
        <v>7.7799999999999994E-2</v>
      </c>
      <c r="T127" s="103">
        <f t="shared" si="19"/>
        <v>7.8700000000000006E-2</v>
      </c>
      <c r="U127" s="103">
        <f t="shared" si="19"/>
        <v>7.9500000000000001E-2</v>
      </c>
      <c r="V127" s="103">
        <f t="shared" si="19"/>
        <v>8.0299999999999996E-2</v>
      </c>
      <c r="W127" s="103">
        <f t="shared" si="19"/>
        <v>8.1100000000000005E-2</v>
      </c>
      <c r="X127" s="103">
        <f t="shared" si="19"/>
        <v>8.1900000000000001E-2</v>
      </c>
      <c r="Y127" s="103">
        <f t="shared" si="19"/>
        <v>8.2799999999999999E-2</v>
      </c>
      <c r="Z127" s="103">
        <f t="shared" si="19"/>
        <v>8.3699999999999997E-2</v>
      </c>
      <c r="AA127" s="103">
        <f t="shared" si="19"/>
        <v>8.4599999999999995E-2</v>
      </c>
      <c r="AB127" s="103">
        <f t="shared" si="19"/>
        <v>8.5500000000000007E-2</v>
      </c>
      <c r="AC127" s="103">
        <f t="shared" si="19"/>
        <v>8.6400000000000005E-2</v>
      </c>
      <c r="AD127" s="103">
        <f t="shared" si="19"/>
        <v>8.7300000000000003E-2</v>
      </c>
      <c r="AE127" s="103">
        <f t="shared" si="19"/>
        <v>8.8099999999999998E-2</v>
      </c>
      <c r="AF127" s="103">
        <f t="shared" si="19"/>
        <v>8.8900000000000007E-2</v>
      </c>
      <c r="AG127" s="103">
        <f t="shared" si="19"/>
        <v>8.9800000000000005E-2</v>
      </c>
      <c r="AH127" s="103">
        <f t="shared" si="19"/>
        <v>9.0700000000000003E-2</v>
      </c>
      <c r="AI127" s="103">
        <f t="shared" si="19"/>
        <v>9.1600000000000001E-2</v>
      </c>
      <c r="AJ127" s="103">
        <f t="shared" si="19"/>
        <v>9.2499999999999999E-2</v>
      </c>
      <c r="AK127" s="103">
        <f t="shared" si="19"/>
        <v>9.3399999999999997E-2</v>
      </c>
      <c r="AL127" s="103">
        <f t="shared" si="19"/>
        <v>9.4299999999999995E-2</v>
      </c>
      <c r="AM127" s="103">
        <f t="shared" si="19"/>
        <v>9.5200000000000007E-2</v>
      </c>
      <c r="AN127" s="103">
        <f t="shared" si="19"/>
        <v>9.6100000000000005E-2</v>
      </c>
      <c r="AO127" s="103">
        <f t="shared" si="19"/>
        <v>9.7100000000000006E-2</v>
      </c>
      <c r="AP127" s="103">
        <f t="shared" si="19"/>
        <v>9.8100000000000007E-2</v>
      </c>
      <c r="AQ127" s="103">
        <f t="shared" si="19"/>
        <v>9.9099999999999994E-2</v>
      </c>
      <c r="AR127" s="103">
        <f t="shared" si="19"/>
        <v>0.10009999999999999</v>
      </c>
      <c r="AS127" s="103">
        <f t="shared" si="19"/>
        <v>0.1011</v>
      </c>
      <c r="AT127" s="103">
        <f t="shared" si="19"/>
        <v>0.1022</v>
      </c>
      <c r="AU127" s="103">
        <f t="shared" si="19"/>
        <v>0.1033</v>
      </c>
      <c r="AV127" s="103">
        <f t="shared" si="19"/>
        <v>0.10440000000000001</v>
      </c>
      <c r="AW127" s="103">
        <f t="shared" si="19"/>
        <v>0.1055</v>
      </c>
      <c r="AX127" s="103">
        <f t="shared" si="19"/>
        <v>0.1066</v>
      </c>
      <c r="AY127" s="103">
        <f t="shared" si="19"/>
        <v>0.1077</v>
      </c>
      <c r="AZ127" s="103">
        <f t="shared" si="19"/>
        <v>0.10879999999999999</v>
      </c>
      <c r="BA127" s="103">
        <f t="shared" si="19"/>
        <v>0.1099</v>
      </c>
      <c r="BB127" s="103">
        <f t="shared" si="19"/>
        <v>0.111</v>
      </c>
    </row>
    <row r="128" spans="2:54" x14ac:dyDescent="0.2">
      <c r="B128" s="1" t="s">
        <v>485</v>
      </c>
    </row>
    <row r="131" spans="2:8" ht="27.75" x14ac:dyDescent="0.4">
      <c r="B131" s="132" t="s">
        <v>262</v>
      </c>
    </row>
    <row r="134" spans="2:8" x14ac:dyDescent="0.2">
      <c r="B134" s="15" t="s">
        <v>338</v>
      </c>
      <c r="C134" s="15"/>
      <c r="D134" s="15"/>
      <c r="E134" s="15"/>
      <c r="F134" s="15"/>
      <c r="G134" s="15"/>
      <c r="H134" s="15"/>
    </row>
    <row r="135" spans="2:8" ht="17.25" customHeight="1" x14ac:dyDescent="0.2">
      <c r="B135" s="189" t="s">
        <v>89</v>
      </c>
      <c r="C135" s="190" t="s">
        <v>90</v>
      </c>
    </row>
    <row r="136" spans="2:8" x14ac:dyDescent="0.2">
      <c r="B136" s="3" t="s">
        <v>82</v>
      </c>
      <c r="C136" s="191">
        <v>7</v>
      </c>
      <c r="E136" s="2" t="s">
        <v>91</v>
      </c>
    </row>
    <row r="137" spans="2:8" x14ac:dyDescent="0.2">
      <c r="B137" s="3" t="s">
        <v>83</v>
      </c>
      <c r="C137" s="191">
        <v>5.8</v>
      </c>
      <c r="E137" s="2" t="s">
        <v>339</v>
      </c>
    </row>
    <row r="138" spans="2:8" x14ac:dyDescent="0.2">
      <c r="B138" s="3" t="s">
        <v>84</v>
      </c>
      <c r="C138" s="191">
        <v>139.4</v>
      </c>
    </row>
    <row r="139" spans="2:8" x14ac:dyDescent="0.2">
      <c r="B139" s="3" t="s">
        <v>340</v>
      </c>
      <c r="C139" s="191">
        <v>61.1</v>
      </c>
    </row>
    <row r="140" spans="2:8" x14ac:dyDescent="0.2">
      <c r="B140" s="3" t="s">
        <v>85</v>
      </c>
      <c r="C140" s="191">
        <v>6.2</v>
      </c>
    </row>
    <row r="141" spans="2:8" x14ac:dyDescent="0.2">
      <c r="B141" s="3" t="s">
        <v>86</v>
      </c>
      <c r="C141" s="191">
        <v>5.4</v>
      </c>
    </row>
    <row r="142" spans="2:8" x14ac:dyDescent="0.2">
      <c r="B142" s="3" t="s">
        <v>341</v>
      </c>
      <c r="C142" s="191">
        <v>124.8</v>
      </c>
    </row>
    <row r="143" spans="2:8" x14ac:dyDescent="0.2">
      <c r="B143" s="3" t="s">
        <v>342</v>
      </c>
      <c r="C143" s="191">
        <v>46.5</v>
      </c>
    </row>
    <row r="144" spans="2:8" x14ac:dyDescent="0.2">
      <c r="B144" s="3" t="s">
        <v>87</v>
      </c>
      <c r="C144" s="191">
        <v>5.0999999999999996</v>
      </c>
    </row>
    <row r="145" spans="2:123" x14ac:dyDescent="0.2">
      <c r="B145" s="3" t="s">
        <v>88</v>
      </c>
      <c r="C145" s="191">
        <v>3.9</v>
      </c>
    </row>
    <row r="146" spans="2:123" x14ac:dyDescent="0.2">
      <c r="B146" s="3" t="s">
        <v>343</v>
      </c>
      <c r="C146" s="191">
        <v>46.5</v>
      </c>
    </row>
    <row r="147" spans="2:123" x14ac:dyDescent="0.2">
      <c r="B147" s="3" t="s">
        <v>81</v>
      </c>
      <c r="C147" s="191">
        <v>164.3</v>
      </c>
    </row>
    <row r="148" spans="2:123" x14ac:dyDescent="0.2">
      <c r="B148" s="1" t="s">
        <v>486</v>
      </c>
      <c r="C148" s="78"/>
    </row>
    <row r="150" spans="2:123" ht="17.25" customHeight="1" x14ac:dyDescent="0.2">
      <c r="B150" s="646" t="s">
        <v>99</v>
      </c>
      <c r="C150" s="646"/>
    </row>
    <row r="151" spans="2:123" x14ac:dyDescent="0.2">
      <c r="B151" s="3" t="s">
        <v>344</v>
      </c>
      <c r="C151" s="75">
        <v>1.34</v>
      </c>
    </row>
    <row r="152" spans="2:123" x14ac:dyDescent="0.2">
      <c r="B152" s="3" t="s">
        <v>345</v>
      </c>
      <c r="C152" s="75">
        <v>1.51</v>
      </c>
    </row>
    <row r="153" spans="2:123" x14ac:dyDescent="0.2">
      <c r="B153" s="3" t="s">
        <v>100</v>
      </c>
      <c r="C153" s="192">
        <v>22</v>
      </c>
    </row>
    <row r="154" spans="2:123" x14ac:dyDescent="0.2">
      <c r="B154" s="1" t="s">
        <v>71</v>
      </c>
    </row>
    <row r="156" spans="2:123" ht="22.5" x14ac:dyDescent="0.2">
      <c r="B156" s="173" t="s">
        <v>111</v>
      </c>
      <c r="C156" s="174" t="s">
        <v>106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1"/>
    </row>
    <row r="157" spans="2:123" ht="17.25" customHeight="1" x14ac:dyDescent="0.2">
      <c r="B157" s="83" t="s">
        <v>92</v>
      </c>
      <c r="C157" s="193">
        <v>10</v>
      </c>
      <c r="D157" s="193">
        <v>11</v>
      </c>
      <c r="E157" s="193">
        <v>12</v>
      </c>
      <c r="F157" s="193">
        <v>13</v>
      </c>
      <c r="G157" s="193">
        <v>14</v>
      </c>
      <c r="H157" s="193">
        <v>15</v>
      </c>
      <c r="I157" s="193">
        <v>16</v>
      </c>
      <c r="J157" s="193">
        <v>17</v>
      </c>
      <c r="K157" s="193">
        <v>18</v>
      </c>
      <c r="L157" s="193">
        <v>19</v>
      </c>
      <c r="M157" s="193">
        <v>20</v>
      </c>
      <c r="N157" s="193">
        <v>21</v>
      </c>
      <c r="O157" s="193">
        <v>22</v>
      </c>
      <c r="P157" s="193">
        <v>23</v>
      </c>
      <c r="Q157" s="193">
        <v>24</v>
      </c>
      <c r="R157" s="193">
        <v>25</v>
      </c>
      <c r="S157" s="193">
        <v>26</v>
      </c>
      <c r="T157" s="193">
        <v>27</v>
      </c>
      <c r="U157" s="193">
        <v>28</v>
      </c>
      <c r="V157" s="193">
        <v>29</v>
      </c>
      <c r="W157" s="193">
        <v>30</v>
      </c>
      <c r="X157" s="193">
        <v>31</v>
      </c>
      <c r="Y157" s="193">
        <v>32</v>
      </c>
      <c r="Z157" s="193">
        <v>33</v>
      </c>
      <c r="AA157" s="193">
        <v>34</v>
      </c>
      <c r="AB157" s="193">
        <v>35</v>
      </c>
      <c r="AC157" s="193">
        <v>36</v>
      </c>
      <c r="AD157" s="193">
        <v>37</v>
      </c>
      <c r="AE157" s="193">
        <v>38</v>
      </c>
      <c r="AF157" s="193">
        <v>39</v>
      </c>
      <c r="AG157" s="193">
        <v>40</v>
      </c>
      <c r="AH157" s="193">
        <v>41</v>
      </c>
      <c r="AI157" s="193">
        <v>42</v>
      </c>
      <c r="AJ157" s="193">
        <v>43</v>
      </c>
      <c r="AK157" s="193">
        <v>44</v>
      </c>
      <c r="AL157" s="193">
        <v>45</v>
      </c>
      <c r="AM157" s="193">
        <v>46</v>
      </c>
      <c r="AN157" s="193">
        <v>47</v>
      </c>
      <c r="AO157" s="193">
        <v>48</v>
      </c>
      <c r="AP157" s="193">
        <v>49</v>
      </c>
      <c r="AQ157" s="193">
        <v>50</v>
      </c>
      <c r="AR157" s="193">
        <v>51</v>
      </c>
      <c r="AS157" s="193">
        <v>52</v>
      </c>
      <c r="AT157" s="193">
        <v>53</v>
      </c>
      <c r="AU157" s="193">
        <v>54</v>
      </c>
      <c r="AV157" s="193">
        <v>55</v>
      </c>
      <c r="AW157" s="193">
        <v>56</v>
      </c>
      <c r="AX157" s="193">
        <v>57</v>
      </c>
      <c r="AY157" s="193">
        <v>58</v>
      </c>
      <c r="AZ157" s="193">
        <v>59</v>
      </c>
      <c r="BA157" s="193">
        <v>60</v>
      </c>
      <c r="BB157" s="193">
        <v>61</v>
      </c>
      <c r="BC157" s="193">
        <v>62</v>
      </c>
      <c r="BD157" s="193">
        <v>63</v>
      </c>
      <c r="BE157" s="193">
        <v>64</v>
      </c>
      <c r="BF157" s="193">
        <v>65</v>
      </c>
      <c r="BG157" s="193">
        <v>66</v>
      </c>
      <c r="BH157" s="193">
        <v>67</v>
      </c>
      <c r="BI157" s="193">
        <v>68</v>
      </c>
      <c r="BJ157" s="193">
        <v>69</v>
      </c>
      <c r="BK157" s="193">
        <v>70</v>
      </c>
      <c r="BL157" s="193">
        <v>71</v>
      </c>
      <c r="BM157" s="193">
        <v>72</v>
      </c>
      <c r="BN157" s="193">
        <v>73</v>
      </c>
      <c r="BO157" s="193">
        <v>74</v>
      </c>
      <c r="BP157" s="193">
        <v>75</v>
      </c>
      <c r="BQ157" s="193">
        <v>76</v>
      </c>
      <c r="BR157" s="193">
        <v>77</v>
      </c>
      <c r="BS157" s="193">
        <v>78</v>
      </c>
      <c r="BT157" s="193">
        <v>79</v>
      </c>
      <c r="BU157" s="193">
        <v>80</v>
      </c>
      <c r="BV157" s="193">
        <v>81</v>
      </c>
      <c r="BW157" s="193">
        <v>82</v>
      </c>
      <c r="BX157" s="193">
        <v>83</v>
      </c>
      <c r="BY157" s="193">
        <v>84</v>
      </c>
      <c r="BZ157" s="193">
        <v>85</v>
      </c>
      <c r="CA157" s="193">
        <v>86</v>
      </c>
      <c r="CB157" s="193">
        <v>87</v>
      </c>
      <c r="CC157" s="193">
        <v>88</v>
      </c>
      <c r="CD157" s="193">
        <v>89</v>
      </c>
      <c r="CE157" s="193">
        <v>90</v>
      </c>
      <c r="CF157" s="193">
        <v>91</v>
      </c>
      <c r="CG157" s="193">
        <v>92</v>
      </c>
      <c r="CH157" s="193">
        <v>93</v>
      </c>
      <c r="CI157" s="193">
        <v>94</v>
      </c>
      <c r="CJ157" s="193">
        <v>95</v>
      </c>
      <c r="CK157" s="193">
        <v>96</v>
      </c>
      <c r="CL157" s="193">
        <v>97</v>
      </c>
      <c r="CM157" s="193">
        <v>98</v>
      </c>
      <c r="CN157" s="193">
        <v>99</v>
      </c>
      <c r="CO157" s="193">
        <v>100</v>
      </c>
      <c r="CP157" s="193">
        <v>101</v>
      </c>
      <c r="CQ157" s="193">
        <v>102</v>
      </c>
      <c r="CR157" s="193">
        <v>103</v>
      </c>
      <c r="CS157" s="193">
        <v>104</v>
      </c>
      <c r="CT157" s="193">
        <v>105</v>
      </c>
      <c r="CU157" s="193">
        <v>106</v>
      </c>
      <c r="CV157" s="193">
        <v>107</v>
      </c>
      <c r="CW157" s="193">
        <v>108</v>
      </c>
      <c r="CX157" s="193">
        <v>109</v>
      </c>
      <c r="CY157" s="193">
        <v>110</v>
      </c>
      <c r="CZ157" s="193">
        <v>111</v>
      </c>
      <c r="DA157" s="193">
        <v>112</v>
      </c>
      <c r="DB157" s="193">
        <v>113</v>
      </c>
      <c r="DC157" s="193">
        <v>114</v>
      </c>
      <c r="DD157" s="193">
        <v>115</v>
      </c>
      <c r="DE157" s="193">
        <v>116</v>
      </c>
      <c r="DF157" s="193">
        <v>117</v>
      </c>
      <c r="DG157" s="193">
        <v>118</v>
      </c>
      <c r="DH157" s="193">
        <v>119</v>
      </c>
      <c r="DI157" s="193">
        <v>120</v>
      </c>
      <c r="DJ157" s="193">
        <v>121</v>
      </c>
      <c r="DK157" s="193">
        <v>122</v>
      </c>
      <c r="DL157" s="193">
        <v>123</v>
      </c>
      <c r="DM157" s="193">
        <v>124</v>
      </c>
      <c r="DN157" s="193">
        <v>125</v>
      </c>
      <c r="DO157" s="193">
        <v>126</v>
      </c>
      <c r="DP157" s="193">
        <v>127</v>
      </c>
      <c r="DQ157" s="193">
        <v>128</v>
      </c>
      <c r="DR157" s="193">
        <v>129</v>
      </c>
      <c r="DS157" s="193">
        <v>130</v>
      </c>
    </row>
    <row r="158" spans="2:123" x14ac:dyDescent="0.2">
      <c r="B158" s="3" t="s">
        <v>107</v>
      </c>
      <c r="C158" s="72">
        <v>0.128</v>
      </c>
      <c r="D158" s="73">
        <v>0.123</v>
      </c>
      <c r="E158" s="73">
        <v>0.11799999999999999</v>
      </c>
      <c r="F158" s="73">
        <v>0.115</v>
      </c>
      <c r="G158" s="73">
        <v>0.111</v>
      </c>
      <c r="H158" s="73">
        <v>0.108</v>
      </c>
      <c r="I158" s="73">
        <v>0.106</v>
      </c>
      <c r="J158" s="73">
        <v>0.10299999999999999</v>
      </c>
      <c r="K158" s="73">
        <v>0.10100000000000001</v>
      </c>
      <c r="L158" s="73">
        <v>9.9000000000000005E-2</v>
      </c>
      <c r="M158" s="72">
        <v>9.7000000000000003E-2</v>
      </c>
      <c r="N158" s="73">
        <v>9.5000000000000001E-2</v>
      </c>
      <c r="O158" s="73">
        <v>9.2999999999999999E-2</v>
      </c>
      <c r="P158" s="73">
        <v>9.1999999999999998E-2</v>
      </c>
      <c r="Q158" s="73">
        <v>0.09</v>
      </c>
      <c r="R158" s="73">
        <v>8.8999999999999996E-2</v>
      </c>
      <c r="S158" s="73">
        <v>8.6999999999999994E-2</v>
      </c>
      <c r="T158" s="73">
        <v>8.5999999999999993E-2</v>
      </c>
      <c r="U158" s="73">
        <v>8.5000000000000006E-2</v>
      </c>
      <c r="V158" s="73">
        <v>8.4000000000000005E-2</v>
      </c>
      <c r="W158" s="72">
        <v>8.2000000000000003E-2</v>
      </c>
      <c r="X158" s="73">
        <v>8.1000000000000003E-2</v>
      </c>
      <c r="Y158" s="73">
        <v>0.08</v>
      </c>
      <c r="Z158" s="73">
        <v>7.9000000000000001E-2</v>
      </c>
      <c r="AA158" s="73">
        <v>7.8E-2</v>
      </c>
      <c r="AB158" s="73">
        <v>7.6999999999999999E-2</v>
      </c>
      <c r="AC158" s="73">
        <v>7.5999999999999998E-2</v>
      </c>
      <c r="AD158" s="73">
        <v>7.4999999999999997E-2</v>
      </c>
      <c r="AE158" s="73">
        <v>7.4999999999999997E-2</v>
      </c>
      <c r="AF158" s="73">
        <v>7.3999999999999996E-2</v>
      </c>
      <c r="AG158" s="72">
        <v>7.2999999999999995E-2</v>
      </c>
      <c r="AH158" s="73">
        <v>7.1999999999999995E-2</v>
      </c>
      <c r="AI158" s="73">
        <v>7.0999999999999994E-2</v>
      </c>
      <c r="AJ158" s="73">
        <v>7.0999999999999994E-2</v>
      </c>
      <c r="AK158" s="73">
        <v>7.0000000000000007E-2</v>
      </c>
      <c r="AL158" s="73">
        <v>6.9000000000000006E-2</v>
      </c>
      <c r="AM158" s="73">
        <v>6.9000000000000006E-2</v>
      </c>
      <c r="AN158" s="73">
        <v>6.8000000000000005E-2</v>
      </c>
      <c r="AO158" s="73">
        <v>6.7000000000000004E-2</v>
      </c>
      <c r="AP158" s="73">
        <v>6.7000000000000004E-2</v>
      </c>
      <c r="AQ158" s="72">
        <v>6.6000000000000003E-2</v>
      </c>
      <c r="AR158" s="73">
        <v>6.6000000000000003E-2</v>
      </c>
      <c r="AS158" s="73">
        <v>6.5000000000000002E-2</v>
      </c>
      <c r="AT158" s="73">
        <v>6.5000000000000002E-2</v>
      </c>
      <c r="AU158" s="73">
        <v>6.4000000000000001E-2</v>
      </c>
      <c r="AV158" s="73">
        <v>6.4000000000000001E-2</v>
      </c>
      <c r="AW158" s="73">
        <v>6.3E-2</v>
      </c>
      <c r="AX158" s="73">
        <v>6.3E-2</v>
      </c>
      <c r="AY158" s="73">
        <v>6.3E-2</v>
      </c>
      <c r="AZ158" s="73">
        <v>6.2E-2</v>
      </c>
      <c r="BA158" s="72">
        <v>6.2E-2</v>
      </c>
      <c r="BB158" s="73">
        <v>6.2E-2</v>
      </c>
      <c r="BC158" s="73">
        <v>6.0999999999999999E-2</v>
      </c>
      <c r="BD158" s="73">
        <v>6.0999999999999999E-2</v>
      </c>
      <c r="BE158" s="73">
        <v>6.0999999999999999E-2</v>
      </c>
      <c r="BF158" s="73">
        <v>0.06</v>
      </c>
      <c r="BG158" s="73">
        <v>0.06</v>
      </c>
      <c r="BH158" s="73">
        <v>0.06</v>
      </c>
      <c r="BI158" s="73">
        <v>0.06</v>
      </c>
      <c r="BJ158" s="73">
        <v>5.8999999999999997E-2</v>
      </c>
      <c r="BK158" s="72">
        <v>5.8999999999999997E-2</v>
      </c>
      <c r="BL158" s="73">
        <v>5.8999999999999997E-2</v>
      </c>
      <c r="BM158" s="73">
        <v>5.8999999999999997E-2</v>
      </c>
      <c r="BN158" s="73">
        <v>5.8999999999999997E-2</v>
      </c>
      <c r="BO158" s="73">
        <v>5.8999999999999997E-2</v>
      </c>
      <c r="BP158" s="73">
        <v>5.8999999999999997E-2</v>
      </c>
      <c r="BQ158" s="73">
        <v>5.8000000000000003E-2</v>
      </c>
      <c r="BR158" s="73">
        <v>5.8000000000000003E-2</v>
      </c>
      <c r="BS158" s="73">
        <v>5.8000000000000003E-2</v>
      </c>
      <c r="BT158" s="73">
        <v>5.8000000000000003E-2</v>
      </c>
      <c r="BU158" s="72">
        <v>5.8000000000000003E-2</v>
      </c>
      <c r="BV158" s="73">
        <v>5.8000000000000003E-2</v>
      </c>
      <c r="BW158" s="73">
        <v>5.8000000000000003E-2</v>
      </c>
      <c r="BX158" s="73">
        <v>5.8000000000000003E-2</v>
      </c>
      <c r="BY158" s="73">
        <v>5.8000000000000003E-2</v>
      </c>
      <c r="BZ158" s="73">
        <v>5.8000000000000003E-2</v>
      </c>
      <c r="CA158" s="73">
        <v>5.8000000000000003E-2</v>
      </c>
      <c r="CB158" s="73">
        <v>5.8999999999999997E-2</v>
      </c>
      <c r="CC158" s="73">
        <v>5.8999999999999997E-2</v>
      </c>
      <c r="CD158" s="73">
        <v>5.8999999999999997E-2</v>
      </c>
      <c r="CE158" s="72">
        <v>5.8999999999999997E-2</v>
      </c>
      <c r="CF158" s="73">
        <v>5.8999999999999997E-2</v>
      </c>
      <c r="CG158" s="73">
        <v>5.8999999999999997E-2</v>
      </c>
      <c r="CH158" s="73">
        <v>5.8999999999999997E-2</v>
      </c>
      <c r="CI158" s="73">
        <v>0.06</v>
      </c>
      <c r="CJ158" s="73">
        <v>0.06</v>
      </c>
      <c r="CK158" s="73">
        <v>0.06</v>
      </c>
      <c r="CL158" s="73">
        <v>0.06</v>
      </c>
      <c r="CM158" s="73">
        <v>0.06</v>
      </c>
      <c r="CN158" s="73">
        <v>6.0999999999999999E-2</v>
      </c>
      <c r="CO158" s="72">
        <v>6.0999999999999999E-2</v>
      </c>
      <c r="CP158" s="73">
        <v>6.0999999999999999E-2</v>
      </c>
      <c r="CQ158" s="73">
        <v>6.2E-2</v>
      </c>
      <c r="CR158" s="73">
        <v>6.2E-2</v>
      </c>
      <c r="CS158" s="73">
        <v>6.2E-2</v>
      </c>
      <c r="CT158" s="73">
        <v>6.3E-2</v>
      </c>
      <c r="CU158" s="73">
        <v>6.3E-2</v>
      </c>
      <c r="CV158" s="73">
        <v>6.3E-2</v>
      </c>
      <c r="CW158" s="73">
        <v>6.4000000000000001E-2</v>
      </c>
      <c r="CX158" s="73">
        <v>6.4000000000000001E-2</v>
      </c>
      <c r="CY158" s="72">
        <v>6.5000000000000002E-2</v>
      </c>
      <c r="CZ158" s="73">
        <v>6.5000000000000002E-2</v>
      </c>
      <c r="DA158" s="73">
        <v>6.5000000000000002E-2</v>
      </c>
      <c r="DB158" s="73">
        <v>6.6000000000000003E-2</v>
      </c>
      <c r="DC158" s="73">
        <v>6.6000000000000003E-2</v>
      </c>
      <c r="DD158" s="73">
        <v>6.7000000000000004E-2</v>
      </c>
      <c r="DE158" s="73">
        <v>6.7000000000000004E-2</v>
      </c>
      <c r="DF158" s="73">
        <v>6.8000000000000005E-2</v>
      </c>
      <c r="DG158" s="73">
        <v>6.8000000000000005E-2</v>
      </c>
      <c r="DH158" s="73">
        <v>6.9000000000000006E-2</v>
      </c>
      <c r="DI158" s="72">
        <v>7.0000000000000007E-2</v>
      </c>
      <c r="DJ158" s="73">
        <v>7.0000000000000007E-2</v>
      </c>
      <c r="DK158" s="73">
        <v>7.0999999999999994E-2</v>
      </c>
      <c r="DL158" s="73">
        <v>7.0999999999999994E-2</v>
      </c>
      <c r="DM158" s="73">
        <v>7.1999999999999995E-2</v>
      </c>
      <c r="DN158" s="73">
        <v>7.2999999999999995E-2</v>
      </c>
      <c r="DO158" s="73">
        <v>7.2999999999999995E-2</v>
      </c>
      <c r="DP158" s="73">
        <v>7.3999999999999996E-2</v>
      </c>
      <c r="DQ158" s="73">
        <v>7.4999999999999997E-2</v>
      </c>
      <c r="DR158" s="73">
        <v>7.4999999999999997E-2</v>
      </c>
      <c r="DS158" s="72">
        <v>7.5999999999999998E-2</v>
      </c>
    </row>
    <row r="159" spans="2:123" x14ac:dyDescent="0.2">
      <c r="B159" s="3" t="s">
        <v>108</v>
      </c>
      <c r="C159" s="72">
        <v>0.109</v>
      </c>
      <c r="D159" s="73">
        <v>0.104</v>
      </c>
      <c r="E159" s="73">
        <v>0.1</v>
      </c>
      <c r="F159" s="73">
        <v>9.6000000000000002E-2</v>
      </c>
      <c r="G159" s="73">
        <v>9.2999999999999999E-2</v>
      </c>
      <c r="H159" s="73">
        <v>9.0999999999999998E-2</v>
      </c>
      <c r="I159" s="73">
        <v>8.7999999999999995E-2</v>
      </c>
      <c r="J159" s="73">
        <v>8.5999999999999993E-2</v>
      </c>
      <c r="K159" s="73">
        <v>8.4000000000000005E-2</v>
      </c>
      <c r="L159" s="73">
        <v>8.2000000000000003E-2</v>
      </c>
      <c r="M159" s="72">
        <v>0.08</v>
      </c>
      <c r="N159" s="73">
        <v>7.9000000000000001E-2</v>
      </c>
      <c r="O159" s="73">
        <v>7.6999999999999999E-2</v>
      </c>
      <c r="P159" s="73">
        <v>7.5999999999999998E-2</v>
      </c>
      <c r="Q159" s="73">
        <v>7.4999999999999997E-2</v>
      </c>
      <c r="R159" s="73">
        <v>7.3999999999999996E-2</v>
      </c>
      <c r="S159" s="73">
        <v>7.1999999999999995E-2</v>
      </c>
      <c r="T159" s="73">
        <v>7.0999999999999994E-2</v>
      </c>
      <c r="U159" s="73">
        <v>7.0000000000000007E-2</v>
      </c>
      <c r="V159" s="73">
        <v>6.9000000000000006E-2</v>
      </c>
      <c r="W159" s="72">
        <v>6.8000000000000005E-2</v>
      </c>
      <c r="X159" s="73">
        <v>6.8000000000000005E-2</v>
      </c>
      <c r="Y159" s="73">
        <v>6.7000000000000004E-2</v>
      </c>
      <c r="Z159" s="73">
        <v>6.6000000000000003E-2</v>
      </c>
      <c r="AA159" s="73">
        <v>6.5000000000000002E-2</v>
      </c>
      <c r="AB159" s="73">
        <v>6.5000000000000002E-2</v>
      </c>
      <c r="AC159" s="73">
        <v>6.4000000000000001E-2</v>
      </c>
      <c r="AD159" s="73">
        <v>6.3E-2</v>
      </c>
      <c r="AE159" s="73">
        <v>6.3E-2</v>
      </c>
      <c r="AF159" s="73">
        <v>6.2E-2</v>
      </c>
      <c r="AG159" s="72">
        <v>6.2E-2</v>
      </c>
      <c r="AH159" s="73">
        <v>6.0999999999999999E-2</v>
      </c>
      <c r="AI159" s="73">
        <v>0.06</v>
      </c>
      <c r="AJ159" s="73">
        <v>0.06</v>
      </c>
      <c r="AK159" s="73">
        <v>0.06</v>
      </c>
      <c r="AL159" s="73">
        <v>5.8999999999999997E-2</v>
      </c>
      <c r="AM159" s="73">
        <v>5.8999999999999997E-2</v>
      </c>
      <c r="AN159" s="73">
        <v>5.8000000000000003E-2</v>
      </c>
      <c r="AO159" s="73">
        <v>5.8000000000000003E-2</v>
      </c>
      <c r="AP159" s="73">
        <v>5.8000000000000003E-2</v>
      </c>
      <c r="AQ159" s="72">
        <v>5.7000000000000002E-2</v>
      </c>
      <c r="AR159" s="73">
        <v>5.7000000000000002E-2</v>
      </c>
      <c r="AS159" s="73">
        <v>5.7000000000000002E-2</v>
      </c>
      <c r="AT159" s="73">
        <v>5.6000000000000001E-2</v>
      </c>
      <c r="AU159" s="73">
        <v>5.6000000000000001E-2</v>
      </c>
      <c r="AV159" s="73">
        <v>5.6000000000000001E-2</v>
      </c>
      <c r="AW159" s="73">
        <v>5.5E-2</v>
      </c>
      <c r="AX159" s="73">
        <v>5.5E-2</v>
      </c>
      <c r="AY159" s="73">
        <v>5.5E-2</v>
      </c>
      <c r="AZ159" s="73">
        <v>5.5E-2</v>
      </c>
      <c r="BA159" s="72">
        <v>5.5E-2</v>
      </c>
      <c r="BB159" s="73">
        <v>5.3999999999999999E-2</v>
      </c>
      <c r="BC159" s="73">
        <v>5.3999999999999999E-2</v>
      </c>
      <c r="BD159" s="73">
        <v>5.3999999999999999E-2</v>
      </c>
      <c r="BE159" s="73">
        <v>5.3999999999999999E-2</v>
      </c>
      <c r="BF159" s="73">
        <v>5.3999999999999999E-2</v>
      </c>
      <c r="BG159" s="73">
        <v>5.3999999999999999E-2</v>
      </c>
      <c r="BH159" s="73">
        <v>5.3999999999999999E-2</v>
      </c>
      <c r="BI159" s="73">
        <v>5.3999999999999999E-2</v>
      </c>
      <c r="BJ159" s="73">
        <v>5.3999999999999999E-2</v>
      </c>
      <c r="BK159" s="72">
        <v>5.2999999999999999E-2</v>
      </c>
      <c r="BL159" s="73">
        <v>5.2999999999999999E-2</v>
      </c>
      <c r="BM159" s="73">
        <v>5.2999999999999999E-2</v>
      </c>
      <c r="BN159" s="73">
        <v>5.2999999999999999E-2</v>
      </c>
      <c r="BO159" s="73">
        <v>5.2999999999999999E-2</v>
      </c>
      <c r="BP159" s="73">
        <v>5.2999999999999999E-2</v>
      </c>
      <c r="BQ159" s="73">
        <v>5.2999999999999999E-2</v>
      </c>
      <c r="BR159" s="73">
        <v>5.2999999999999999E-2</v>
      </c>
      <c r="BS159" s="73">
        <v>5.3999999999999999E-2</v>
      </c>
      <c r="BT159" s="73">
        <v>5.3999999999999999E-2</v>
      </c>
      <c r="BU159" s="72">
        <v>5.3999999999999999E-2</v>
      </c>
      <c r="BV159" s="73">
        <v>5.3999999999999999E-2</v>
      </c>
      <c r="BW159" s="73">
        <v>5.3999999999999999E-2</v>
      </c>
      <c r="BX159" s="73">
        <v>5.3999999999999999E-2</v>
      </c>
      <c r="BY159" s="73">
        <v>5.3999999999999999E-2</v>
      </c>
      <c r="BZ159" s="73">
        <v>5.3999999999999999E-2</v>
      </c>
      <c r="CA159" s="73">
        <v>5.3999999999999999E-2</v>
      </c>
      <c r="CB159" s="73">
        <v>5.3999999999999999E-2</v>
      </c>
      <c r="CC159" s="73">
        <v>5.5E-2</v>
      </c>
      <c r="CD159" s="73">
        <v>5.5E-2</v>
      </c>
      <c r="CE159" s="72">
        <v>5.5E-2</v>
      </c>
      <c r="CF159" s="73">
        <v>5.5E-2</v>
      </c>
      <c r="CG159" s="73">
        <v>5.5E-2</v>
      </c>
      <c r="CH159" s="73">
        <v>5.6000000000000001E-2</v>
      </c>
      <c r="CI159" s="73">
        <v>5.6000000000000001E-2</v>
      </c>
      <c r="CJ159" s="73">
        <v>5.6000000000000001E-2</v>
      </c>
      <c r="CK159" s="73">
        <v>5.6000000000000001E-2</v>
      </c>
      <c r="CL159" s="73">
        <v>5.7000000000000002E-2</v>
      </c>
      <c r="CM159" s="73">
        <v>5.7000000000000002E-2</v>
      </c>
      <c r="CN159" s="73">
        <v>5.7000000000000002E-2</v>
      </c>
      <c r="CO159" s="72">
        <v>5.7000000000000002E-2</v>
      </c>
      <c r="CP159" s="73">
        <v>5.8000000000000003E-2</v>
      </c>
      <c r="CQ159" s="73">
        <v>5.8000000000000003E-2</v>
      </c>
      <c r="CR159" s="73">
        <v>5.8000000000000003E-2</v>
      </c>
      <c r="CS159" s="73">
        <v>5.8999999999999997E-2</v>
      </c>
      <c r="CT159" s="73">
        <v>5.8999999999999997E-2</v>
      </c>
      <c r="CU159" s="73">
        <v>5.8999999999999997E-2</v>
      </c>
      <c r="CV159" s="73">
        <v>0.06</v>
      </c>
      <c r="CW159" s="73">
        <v>0.06</v>
      </c>
      <c r="CX159" s="73">
        <v>6.0999999999999999E-2</v>
      </c>
      <c r="CY159" s="72">
        <v>6.0999999999999999E-2</v>
      </c>
      <c r="CZ159" s="73">
        <v>6.0999999999999999E-2</v>
      </c>
      <c r="DA159" s="73">
        <v>6.2E-2</v>
      </c>
      <c r="DB159" s="73">
        <v>6.2E-2</v>
      </c>
      <c r="DC159" s="73">
        <v>6.3E-2</v>
      </c>
      <c r="DD159" s="73">
        <v>6.3E-2</v>
      </c>
      <c r="DE159" s="73">
        <v>6.4000000000000001E-2</v>
      </c>
      <c r="DF159" s="73">
        <v>6.4000000000000001E-2</v>
      </c>
      <c r="DG159" s="73">
        <v>6.5000000000000002E-2</v>
      </c>
      <c r="DH159" s="73">
        <v>6.5000000000000002E-2</v>
      </c>
      <c r="DI159" s="72">
        <v>6.6000000000000003E-2</v>
      </c>
      <c r="DJ159" s="73">
        <v>6.6000000000000003E-2</v>
      </c>
      <c r="DK159" s="73">
        <v>6.7000000000000004E-2</v>
      </c>
      <c r="DL159" s="73">
        <v>6.7000000000000004E-2</v>
      </c>
      <c r="DM159" s="73">
        <v>6.8000000000000005E-2</v>
      </c>
      <c r="DN159" s="73">
        <v>6.8000000000000005E-2</v>
      </c>
      <c r="DO159" s="73">
        <v>6.9000000000000006E-2</v>
      </c>
      <c r="DP159" s="73">
        <v>7.0000000000000007E-2</v>
      </c>
      <c r="DQ159" s="73">
        <v>7.0000000000000007E-2</v>
      </c>
      <c r="DR159" s="73">
        <v>7.0999999999999994E-2</v>
      </c>
      <c r="DS159" s="72">
        <v>7.0999999999999994E-2</v>
      </c>
    </row>
    <row r="160" spans="2:123" x14ac:dyDescent="0.2">
      <c r="B160" s="5" t="s">
        <v>347</v>
      </c>
      <c r="C160" s="194">
        <v>10.872999999999999</v>
      </c>
      <c r="D160" s="195">
        <v>10.939</v>
      </c>
      <c r="E160" s="195">
        <v>11.005000000000001</v>
      </c>
      <c r="F160" s="195">
        <v>11.071</v>
      </c>
      <c r="G160" s="195">
        <v>11.137</v>
      </c>
      <c r="H160" s="195">
        <v>11.202999999999999</v>
      </c>
      <c r="I160" s="195">
        <v>11.269</v>
      </c>
      <c r="J160" s="195">
        <v>11.335000000000001</v>
      </c>
      <c r="K160" s="195">
        <v>11.401</v>
      </c>
      <c r="L160" s="195">
        <v>11.467000000000001</v>
      </c>
      <c r="M160" s="194">
        <v>11.532999999999999</v>
      </c>
      <c r="N160" s="195">
        <v>11.605</v>
      </c>
      <c r="O160" s="195">
        <v>11.676</v>
      </c>
      <c r="P160" s="195">
        <v>11.747999999999999</v>
      </c>
      <c r="Q160" s="195">
        <v>11.819000000000001</v>
      </c>
      <c r="R160" s="195">
        <v>11.891</v>
      </c>
      <c r="S160" s="195">
        <v>11.962</v>
      </c>
      <c r="T160" s="195">
        <v>12.034000000000001</v>
      </c>
      <c r="U160" s="195">
        <v>12.105</v>
      </c>
      <c r="V160" s="195">
        <v>12.177</v>
      </c>
      <c r="W160" s="194">
        <v>12.247999999999999</v>
      </c>
      <c r="X160" s="195">
        <v>12.324999999999999</v>
      </c>
      <c r="Y160" s="195">
        <v>12.401999999999999</v>
      </c>
      <c r="Z160" s="195">
        <v>12.478999999999999</v>
      </c>
      <c r="AA160" s="195">
        <v>12.555999999999999</v>
      </c>
      <c r="AB160" s="195">
        <v>12.632999999999999</v>
      </c>
      <c r="AC160" s="195">
        <v>12.71</v>
      </c>
      <c r="AD160" s="195">
        <v>12.787000000000001</v>
      </c>
      <c r="AE160" s="195">
        <v>12.864000000000001</v>
      </c>
      <c r="AF160" s="195">
        <v>12.941000000000001</v>
      </c>
      <c r="AG160" s="194">
        <v>13.018000000000001</v>
      </c>
      <c r="AH160" s="195">
        <v>13.101000000000001</v>
      </c>
      <c r="AI160" s="195">
        <v>13.183</v>
      </c>
      <c r="AJ160" s="195">
        <v>13.266</v>
      </c>
      <c r="AK160" s="195">
        <v>13.349</v>
      </c>
      <c r="AL160" s="195">
        <v>13.430999999999999</v>
      </c>
      <c r="AM160" s="195">
        <v>13.513999999999999</v>
      </c>
      <c r="AN160" s="195">
        <v>13.596</v>
      </c>
      <c r="AO160" s="195">
        <v>13.679</v>
      </c>
      <c r="AP160" s="195">
        <v>13.760999999999999</v>
      </c>
      <c r="AQ160" s="194">
        <v>13.843999999999999</v>
      </c>
      <c r="AR160" s="195">
        <v>13.932</v>
      </c>
      <c r="AS160" s="195">
        <v>14.02</v>
      </c>
      <c r="AT160" s="195">
        <v>14.108000000000001</v>
      </c>
      <c r="AU160" s="195">
        <v>14.196</v>
      </c>
      <c r="AV160" s="195">
        <v>14.284000000000001</v>
      </c>
      <c r="AW160" s="195">
        <v>14.372</v>
      </c>
      <c r="AX160" s="195">
        <v>14.46</v>
      </c>
      <c r="AY160" s="195">
        <v>14.548</v>
      </c>
      <c r="AZ160" s="195">
        <v>14.635999999999999</v>
      </c>
      <c r="BA160" s="194">
        <v>14.724</v>
      </c>
      <c r="BB160" s="195">
        <v>14.817</v>
      </c>
      <c r="BC160" s="195">
        <v>14.911</v>
      </c>
      <c r="BD160" s="195">
        <v>15.004</v>
      </c>
      <c r="BE160" s="195">
        <v>15.098000000000001</v>
      </c>
      <c r="BF160" s="195">
        <v>15.191000000000001</v>
      </c>
      <c r="BG160" s="195">
        <v>15.285</v>
      </c>
      <c r="BH160" s="195">
        <v>15.378</v>
      </c>
      <c r="BI160" s="195">
        <v>15.472</v>
      </c>
      <c r="BJ160" s="195">
        <v>15.565</v>
      </c>
      <c r="BK160" s="194">
        <v>15.659000000000001</v>
      </c>
      <c r="BL160" s="195">
        <v>15.757999999999999</v>
      </c>
      <c r="BM160" s="195">
        <v>15.856999999999999</v>
      </c>
      <c r="BN160" s="195">
        <v>15.956</v>
      </c>
      <c r="BO160" s="195">
        <v>16.055</v>
      </c>
      <c r="BP160" s="195">
        <v>16.154</v>
      </c>
      <c r="BQ160" s="195">
        <v>16.253</v>
      </c>
      <c r="BR160" s="195">
        <v>16.352</v>
      </c>
      <c r="BS160" s="195">
        <v>16.451000000000001</v>
      </c>
      <c r="BT160" s="195">
        <v>16.55</v>
      </c>
      <c r="BU160" s="194">
        <v>16.649000000000001</v>
      </c>
      <c r="BV160" s="195">
        <v>16.759</v>
      </c>
      <c r="BW160" s="195">
        <v>16.869</v>
      </c>
      <c r="BX160" s="195">
        <v>16.978999999999999</v>
      </c>
      <c r="BY160" s="195">
        <v>17.088999999999999</v>
      </c>
      <c r="BZ160" s="195">
        <v>17.199000000000002</v>
      </c>
      <c r="CA160" s="195">
        <v>17.309000000000001</v>
      </c>
      <c r="CB160" s="195">
        <v>17.419</v>
      </c>
      <c r="CC160" s="195">
        <v>17.529</v>
      </c>
      <c r="CD160" s="195">
        <v>17.638999999999999</v>
      </c>
      <c r="CE160" s="194">
        <v>17.748999999999999</v>
      </c>
      <c r="CF160" s="195">
        <v>17.859000000000002</v>
      </c>
      <c r="CG160" s="195">
        <v>17.969000000000001</v>
      </c>
      <c r="CH160" s="195">
        <v>18.079000000000001</v>
      </c>
      <c r="CI160" s="195">
        <v>18.189</v>
      </c>
      <c r="CJ160" s="195">
        <v>18.298999999999999</v>
      </c>
      <c r="CK160" s="195">
        <v>18.408999999999999</v>
      </c>
      <c r="CL160" s="195">
        <v>18.518999999999998</v>
      </c>
      <c r="CM160" s="195">
        <v>18.629000000000001</v>
      </c>
      <c r="CN160" s="195">
        <v>18.739000000000001</v>
      </c>
      <c r="CO160" s="194">
        <v>18.849</v>
      </c>
      <c r="CP160" s="195">
        <v>19.013999999999999</v>
      </c>
      <c r="CQ160" s="195">
        <v>19.178999999999998</v>
      </c>
      <c r="CR160" s="195">
        <v>19.344000000000001</v>
      </c>
      <c r="CS160" s="195">
        <v>19.509</v>
      </c>
      <c r="CT160" s="195">
        <v>19.675000000000001</v>
      </c>
      <c r="CU160" s="195">
        <v>19.84</v>
      </c>
      <c r="CV160" s="195">
        <v>20.004999999999999</v>
      </c>
      <c r="CW160" s="195">
        <v>20.170000000000002</v>
      </c>
      <c r="CX160" s="195">
        <v>20.335000000000001</v>
      </c>
      <c r="CY160" s="194">
        <v>20.5</v>
      </c>
      <c r="CZ160" s="195">
        <v>20.884</v>
      </c>
      <c r="DA160" s="195">
        <v>21.266999999999999</v>
      </c>
      <c r="DB160" s="195">
        <v>21.651</v>
      </c>
      <c r="DC160" s="195">
        <v>22.035</v>
      </c>
      <c r="DD160" s="195">
        <v>22.417999999999999</v>
      </c>
      <c r="DE160" s="195">
        <v>22.802</v>
      </c>
      <c r="DF160" s="195">
        <v>23.186</v>
      </c>
      <c r="DG160" s="195">
        <v>23.57</v>
      </c>
      <c r="DH160" s="195">
        <v>23.952999999999999</v>
      </c>
      <c r="DI160" s="194">
        <v>24.337</v>
      </c>
      <c r="DJ160" s="195">
        <v>24.72</v>
      </c>
      <c r="DK160" s="195">
        <v>25.103000000000002</v>
      </c>
      <c r="DL160" s="195">
        <v>25.486000000000001</v>
      </c>
      <c r="DM160" s="195">
        <v>25.869</v>
      </c>
      <c r="DN160" s="195">
        <v>26.251999999999999</v>
      </c>
      <c r="DO160" s="195">
        <v>26.635000000000002</v>
      </c>
      <c r="DP160" s="195">
        <v>27.018000000000001</v>
      </c>
      <c r="DQ160" s="195">
        <v>27.401</v>
      </c>
      <c r="DR160" s="195">
        <v>27.783999999999999</v>
      </c>
      <c r="DS160" s="194">
        <v>28.167000000000002</v>
      </c>
    </row>
    <row r="161" spans="2:123" x14ac:dyDescent="0.2">
      <c r="B161" s="3" t="s">
        <v>73</v>
      </c>
      <c r="C161" s="72">
        <v>0.60199999999999998</v>
      </c>
      <c r="D161" s="73">
        <v>0.56899999999999995</v>
      </c>
      <c r="E161" s="73">
        <v>0.54100000000000004</v>
      </c>
      <c r="F161" s="73">
        <v>0.51700000000000002</v>
      </c>
      <c r="G161" s="73">
        <v>0.496</v>
      </c>
      <c r="H161" s="73">
        <v>0.47699999999999998</v>
      </c>
      <c r="I161" s="73">
        <v>0.46100000000000002</v>
      </c>
      <c r="J161" s="73">
        <v>0.44600000000000001</v>
      </c>
      <c r="K161" s="73">
        <v>0.432</v>
      </c>
      <c r="L161" s="73">
        <v>0.42</v>
      </c>
      <c r="M161" s="72">
        <v>0.40899999999999997</v>
      </c>
      <c r="N161" s="73">
        <v>0.39900000000000002</v>
      </c>
      <c r="O161" s="73">
        <v>0.38900000000000001</v>
      </c>
      <c r="P161" s="73">
        <v>0.38100000000000001</v>
      </c>
      <c r="Q161" s="73">
        <v>0.372</v>
      </c>
      <c r="R161" s="73">
        <v>0.36499999999999999</v>
      </c>
      <c r="S161" s="73">
        <v>0.35799999999999998</v>
      </c>
      <c r="T161" s="73">
        <v>0.35099999999999998</v>
      </c>
      <c r="U161" s="73">
        <v>0.34499999999999997</v>
      </c>
      <c r="V161" s="73">
        <v>0.33900000000000002</v>
      </c>
      <c r="W161" s="72">
        <v>0.33300000000000002</v>
      </c>
      <c r="X161" s="73">
        <v>0.32800000000000001</v>
      </c>
      <c r="Y161" s="73">
        <v>0.32200000000000001</v>
      </c>
      <c r="Z161" s="73">
        <v>0.318</v>
      </c>
      <c r="AA161" s="73">
        <v>0.313</v>
      </c>
      <c r="AB161" s="73">
        <v>0.309</v>
      </c>
      <c r="AC161" s="73">
        <v>0.30399999999999999</v>
      </c>
      <c r="AD161" s="73">
        <v>0.3</v>
      </c>
      <c r="AE161" s="73">
        <v>0.29699999999999999</v>
      </c>
      <c r="AF161" s="73">
        <v>0.29299999999999998</v>
      </c>
      <c r="AG161" s="72">
        <v>0.28999999999999998</v>
      </c>
      <c r="AH161" s="73">
        <v>0.28599999999999998</v>
      </c>
      <c r="AI161" s="73">
        <v>0.28299999999999997</v>
      </c>
      <c r="AJ161" s="73">
        <v>0.28000000000000003</v>
      </c>
      <c r="AK161" s="73">
        <v>0.27700000000000002</v>
      </c>
      <c r="AL161" s="73">
        <v>0.27400000000000002</v>
      </c>
      <c r="AM161" s="73">
        <v>0.27200000000000002</v>
      </c>
      <c r="AN161" s="73">
        <v>0.26900000000000002</v>
      </c>
      <c r="AO161" s="73">
        <v>0.26700000000000002</v>
      </c>
      <c r="AP161" s="73">
        <v>0.26400000000000001</v>
      </c>
      <c r="AQ161" s="72">
        <v>0.26200000000000001</v>
      </c>
      <c r="AR161" s="73">
        <v>0.26</v>
      </c>
      <c r="AS161" s="73">
        <v>0.25800000000000001</v>
      </c>
      <c r="AT161" s="73">
        <v>0.25600000000000001</v>
      </c>
      <c r="AU161" s="73">
        <v>0.254</v>
      </c>
      <c r="AV161" s="73">
        <v>0.253</v>
      </c>
      <c r="AW161" s="73">
        <v>0.251</v>
      </c>
      <c r="AX161" s="73">
        <v>0.249</v>
      </c>
      <c r="AY161" s="73">
        <v>0.248</v>
      </c>
      <c r="AZ161" s="73">
        <v>0.247</v>
      </c>
      <c r="BA161" s="72">
        <v>0.245</v>
      </c>
      <c r="BB161" s="73">
        <v>0.24399999999999999</v>
      </c>
      <c r="BC161" s="73">
        <v>0.24299999999999999</v>
      </c>
      <c r="BD161" s="73">
        <v>0.24199999999999999</v>
      </c>
      <c r="BE161" s="73">
        <v>0.24099999999999999</v>
      </c>
      <c r="BF161" s="73">
        <v>0.24</v>
      </c>
      <c r="BG161" s="73">
        <v>0.23899999999999999</v>
      </c>
      <c r="BH161" s="73">
        <v>0.23799999999999999</v>
      </c>
      <c r="BI161" s="73">
        <v>0.23799999999999999</v>
      </c>
      <c r="BJ161" s="73">
        <v>0.23699999999999999</v>
      </c>
      <c r="BK161" s="72">
        <v>0.23599999999999999</v>
      </c>
      <c r="BL161" s="73">
        <v>0.23599999999999999</v>
      </c>
      <c r="BM161" s="73">
        <v>0.23499999999999999</v>
      </c>
      <c r="BN161" s="73">
        <v>0.23499999999999999</v>
      </c>
      <c r="BO161" s="73">
        <v>0.23499999999999999</v>
      </c>
      <c r="BP161" s="73">
        <v>0.23400000000000001</v>
      </c>
      <c r="BQ161" s="73">
        <v>0.23400000000000001</v>
      </c>
      <c r="BR161" s="73">
        <v>0.23400000000000001</v>
      </c>
      <c r="BS161" s="73">
        <v>0.23400000000000001</v>
      </c>
      <c r="BT161" s="73">
        <v>0.23400000000000001</v>
      </c>
      <c r="BU161" s="72">
        <v>0.23400000000000001</v>
      </c>
      <c r="BV161" s="73">
        <v>0.23400000000000001</v>
      </c>
      <c r="BW161" s="73">
        <v>0.23499999999999999</v>
      </c>
      <c r="BX161" s="73">
        <v>0.23499999999999999</v>
      </c>
      <c r="BY161" s="73">
        <v>0.23499999999999999</v>
      </c>
      <c r="BZ161" s="73">
        <v>0.23499999999999999</v>
      </c>
      <c r="CA161" s="73">
        <v>0.23599999999999999</v>
      </c>
      <c r="CB161" s="73">
        <v>0.23599999999999999</v>
      </c>
      <c r="CC161" s="73">
        <v>0.23699999999999999</v>
      </c>
      <c r="CD161" s="73">
        <v>0.23799999999999999</v>
      </c>
      <c r="CE161" s="72">
        <v>0.23799999999999999</v>
      </c>
      <c r="CF161" s="73">
        <v>0.23899999999999999</v>
      </c>
      <c r="CG161" s="73">
        <v>0.24</v>
      </c>
      <c r="CH161" s="73">
        <v>0.24099999999999999</v>
      </c>
      <c r="CI161" s="73">
        <v>0.24099999999999999</v>
      </c>
      <c r="CJ161" s="73">
        <v>0.24199999999999999</v>
      </c>
      <c r="CK161" s="73">
        <v>0.24299999999999999</v>
      </c>
      <c r="CL161" s="73">
        <v>0.24399999999999999</v>
      </c>
      <c r="CM161" s="73">
        <v>0.246</v>
      </c>
      <c r="CN161" s="73">
        <v>0.247</v>
      </c>
      <c r="CO161" s="72">
        <v>0.248</v>
      </c>
      <c r="CP161" s="73"/>
      <c r="CQ161" s="73"/>
      <c r="CR161" s="73"/>
      <c r="CS161" s="73"/>
      <c r="CT161" s="73"/>
      <c r="CU161" s="73"/>
      <c r="CV161" s="73"/>
      <c r="CW161" s="73"/>
      <c r="CX161" s="73"/>
      <c r="CY161" s="72"/>
      <c r="CZ161" s="73"/>
      <c r="DA161" s="73"/>
      <c r="DB161" s="73"/>
      <c r="DC161" s="73"/>
      <c r="DD161" s="73"/>
      <c r="DE161" s="73"/>
      <c r="DF161" s="73"/>
      <c r="DG161" s="73"/>
      <c r="DH161" s="73"/>
      <c r="DI161" s="72"/>
      <c r="DJ161" s="73"/>
      <c r="DK161" s="73"/>
      <c r="DL161" s="73"/>
      <c r="DM161" s="73"/>
      <c r="DN161" s="73"/>
      <c r="DO161" s="73"/>
      <c r="DP161" s="73"/>
      <c r="DQ161" s="73"/>
      <c r="DR161" s="73"/>
      <c r="DS161" s="72"/>
    </row>
    <row r="162" spans="2:123" x14ac:dyDescent="0.2">
      <c r="B162" s="1" t="s">
        <v>487</v>
      </c>
    </row>
    <row r="163" spans="2:123" x14ac:dyDescent="0.2">
      <c r="B163" s="1"/>
    </row>
    <row r="164" spans="2:123" ht="17.25" customHeight="1" x14ac:dyDescent="0.2">
      <c r="B164" s="173" t="s">
        <v>348</v>
      </c>
      <c r="C164" s="196">
        <v>2024</v>
      </c>
      <c r="D164" s="196">
        <v>2025</v>
      </c>
      <c r="E164" s="196">
        <v>2026</v>
      </c>
      <c r="F164" s="196">
        <v>2027</v>
      </c>
      <c r="G164" s="196">
        <v>2028</v>
      </c>
      <c r="H164" s="196">
        <v>2029</v>
      </c>
      <c r="I164" s="196">
        <v>2030</v>
      </c>
      <c r="J164" s="196">
        <v>2031</v>
      </c>
      <c r="K164" s="196">
        <v>2032</v>
      </c>
      <c r="L164" s="196">
        <v>2033</v>
      </c>
      <c r="M164" s="196">
        <v>2034</v>
      </c>
      <c r="N164" s="196">
        <v>2035</v>
      </c>
      <c r="O164" s="196">
        <v>2036</v>
      </c>
      <c r="P164" s="196">
        <v>2037</v>
      </c>
      <c r="Q164" s="196">
        <v>2038</v>
      </c>
      <c r="R164" s="196">
        <v>2039</v>
      </c>
      <c r="S164" s="196">
        <v>2040</v>
      </c>
      <c r="T164" s="196">
        <v>2041</v>
      </c>
      <c r="U164" s="196">
        <v>2042</v>
      </c>
      <c r="V164" s="196">
        <v>2043</v>
      </c>
      <c r="W164" s="196">
        <v>2044</v>
      </c>
      <c r="X164" s="196">
        <v>2045</v>
      </c>
      <c r="Y164" s="196">
        <v>2046</v>
      </c>
      <c r="Z164" s="196">
        <v>2047</v>
      </c>
      <c r="AA164" s="196">
        <v>2048</v>
      </c>
      <c r="AB164" s="196">
        <v>2049</v>
      </c>
      <c r="AC164" s="196">
        <v>2050</v>
      </c>
      <c r="AD164" s="196">
        <v>2051</v>
      </c>
      <c r="AE164" s="196">
        <v>2052</v>
      </c>
      <c r="AF164" s="196">
        <v>2053</v>
      </c>
      <c r="AG164" s="196">
        <v>2054</v>
      </c>
      <c r="AH164" s="196">
        <v>2055</v>
      </c>
      <c r="AI164" s="196">
        <v>2056</v>
      </c>
      <c r="AJ164" s="196">
        <v>2057</v>
      </c>
      <c r="AK164" s="196">
        <v>2058</v>
      </c>
      <c r="AL164" s="196">
        <v>2059</v>
      </c>
      <c r="AM164" s="196">
        <v>2060</v>
      </c>
      <c r="AN164" s="196">
        <v>2061</v>
      </c>
      <c r="AO164" s="196">
        <v>2062</v>
      </c>
      <c r="AP164" s="196">
        <v>2063</v>
      </c>
      <c r="AQ164" s="196">
        <v>2064</v>
      </c>
      <c r="AR164" s="196">
        <v>2065</v>
      </c>
      <c r="AS164" s="196">
        <v>2066</v>
      </c>
      <c r="AT164" s="196">
        <v>2067</v>
      </c>
      <c r="AU164" s="196">
        <v>2068</v>
      </c>
      <c r="AV164" s="196">
        <v>2069</v>
      </c>
      <c r="AW164" s="196">
        <v>2070</v>
      </c>
      <c r="AX164" s="196">
        <v>2071</v>
      </c>
      <c r="AY164" s="196">
        <v>2072</v>
      </c>
      <c r="AZ164" s="196">
        <v>2073</v>
      </c>
      <c r="BA164" s="196">
        <v>2074</v>
      </c>
      <c r="BB164" s="196">
        <v>2075</v>
      </c>
    </row>
    <row r="165" spans="2:123" x14ac:dyDescent="0.2">
      <c r="B165" s="64" t="s">
        <v>109</v>
      </c>
      <c r="C165" s="197">
        <v>0.54527000000000003</v>
      </c>
      <c r="D165" s="197">
        <v>0.54268500000000008</v>
      </c>
      <c r="E165" s="197">
        <v>0.53663500000000008</v>
      </c>
      <c r="F165" s="197">
        <v>0.53080499999999997</v>
      </c>
      <c r="G165" s="197">
        <v>0.52508500000000002</v>
      </c>
      <c r="H165" s="197">
        <v>0.51958500000000007</v>
      </c>
      <c r="I165" s="197">
        <v>0.5142500000000001</v>
      </c>
      <c r="J165" s="197">
        <v>0.50600000000000012</v>
      </c>
      <c r="K165" s="197">
        <v>0.49532999999999999</v>
      </c>
      <c r="L165" s="197">
        <v>0.48224000000000006</v>
      </c>
      <c r="M165" s="197">
        <v>0.46744500000000005</v>
      </c>
      <c r="N165" s="197">
        <v>0.44824999999999998</v>
      </c>
      <c r="O165" s="197">
        <v>0.43296000000000007</v>
      </c>
      <c r="P165" s="197">
        <v>0.41761500000000001</v>
      </c>
      <c r="Q165" s="197">
        <v>0.40232500000000004</v>
      </c>
      <c r="R165" s="197">
        <v>0.38698000000000005</v>
      </c>
      <c r="S165" s="197">
        <v>0.37169000000000002</v>
      </c>
      <c r="T165" s="197">
        <v>0.35634499999999997</v>
      </c>
      <c r="U165" s="197">
        <v>0.341055</v>
      </c>
      <c r="V165" s="197">
        <v>0.32571000000000006</v>
      </c>
      <c r="W165" s="197">
        <v>0.31042000000000003</v>
      </c>
      <c r="X165" s="197">
        <v>0.29507500000000003</v>
      </c>
      <c r="Y165" s="197">
        <v>0.27978500000000001</v>
      </c>
      <c r="Z165" s="197">
        <v>0.26444000000000001</v>
      </c>
      <c r="AA165" s="197">
        <v>0.24915000000000001</v>
      </c>
      <c r="AB165" s="197">
        <v>0.23380500000000004</v>
      </c>
      <c r="AC165" s="197">
        <v>0.21851500000000001</v>
      </c>
      <c r="AD165" s="197">
        <v>0.20322500000000004</v>
      </c>
      <c r="AE165" s="197">
        <v>0.18788000000000002</v>
      </c>
      <c r="AF165" s="197">
        <v>0.17258999999999999</v>
      </c>
      <c r="AG165" s="197">
        <v>0.15724500000000002</v>
      </c>
      <c r="AH165" s="197">
        <v>0.141955</v>
      </c>
      <c r="AI165" s="197">
        <v>0.12661</v>
      </c>
      <c r="AJ165" s="197">
        <v>0.11132000000000002</v>
      </c>
      <c r="AK165" s="197">
        <v>9.5975000000000005E-2</v>
      </c>
      <c r="AL165" s="197">
        <v>8.0685000000000034E-2</v>
      </c>
      <c r="AM165" s="197">
        <v>6.5340000000000009E-2</v>
      </c>
      <c r="AN165" s="197">
        <v>5.004999999999999E-2</v>
      </c>
      <c r="AO165" s="197">
        <v>3.4705000000000027E-2</v>
      </c>
      <c r="AP165" s="197">
        <v>1.9415000000000002E-2</v>
      </c>
      <c r="AQ165" s="197">
        <v>4.0699999999999799E-3</v>
      </c>
      <c r="AR165" s="197">
        <v>0</v>
      </c>
      <c r="AS165" s="197">
        <v>0</v>
      </c>
      <c r="AT165" s="197">
        <v>0</v>
      </c>
      <c r="AU165" s="197">
        <v>0</v>
      </c>
      <c r="AV165" s="197">
        <v>0</v>
      </c>
      <c r="AW165" s="197">
        <v>0</v>
      </c>
      <c r="AX165" s="197">
        <v>0</v>
      </c>
      <c r="AY165" s="197">
        <v>0</v>
      </c>
      <c r="AZ165" s="197">
        <v>0</v>
      </c>
      <c r="BA165" s="197">
        <v>0</v>
      </c>
      <c r="BB165" s="197">
        <v>0</v>
      </c>
    </row>
    <row r="166" spans="2:123" x14ac:dyDescent="0.2">
      <c r="B166" s="44" t="s">
        <v>110</v>
      </c>
      <c r="C166" s="198">
        <v>0.44612999999999997</v>
      </c>
      <c r="D166" s="198">
        <v>0.44401499999999999</v>
      </c>
      <c r="E166" s="198">
        <v>0.43906500000000004</v>
      </c>
      <c r="F166" s="198">
        <v>0.43429499999999999</v>
      </c>
      <c r="G166" s="198">
        <v>0.42961500000000002</v>
      </c>
      <c r="H166" s="198">
        <v>0.42511500000000002</v>
      </c>
      <c r="I166" s="198">
        <v>0.42075000000000001</v>
      </c>
      <c r="J166" s="198">
        <v>0.41400000000000003</v>
      </c>
      <c r="K166" s="198">
        <v>0.40526999999999996</v>
      </c>
      <c r="L166" s="198">
        <v>0.39456000000000002</v>
      </c>
      <c r="M166" s="198">
        <v>0.38245499999999999</v>
      </c>
      <c r="N166" s="198">
        <v>0.36674999999999996</v>
      </c>
      <c r="O166" s="198">
        <v>0.35424</v>
      </c>
      <c r="P166" s="198">
        <v>0.34168500000000002</v>
      </c>
      <c r="Q166" s="198">
        <v>0.32917500000000005</v>
      </c>
      <c r="R166" s="198">
        <v>0.31662000000000001</v>
      </c>
      <c r="S166" s="198">
        <v>0.30410999999999999</v>
      </c>
      <c r="T166" s="198">
        <v>0.29155499999999995</v>
      </c>
      <c r="U166" s="198">
        <v>0.27904499999999999</v>
      </c>
      <c r="V166" s="198">
        <v>0.26649000000000006</v>
      </c>
      <c r="W166" s="198">
        <v>0.25398000000000004</v>
      </c>
      <c r="X166" s="198">
        <v>0.241425</v>
      </c>
      <c r="Y166" s="198">
        <v>0.22891499999999998</v>
      </c>
      <c r="Z166" s="198">
        <v>0.21636</v>
      </c>
      <c r="AA166" s="198">
        <v>0.20384999999999998</v>
      </c>
      <c r="AB166" s="198">
        <v>0.19129500000000002</v>
      </c>
      <c r="AC166" s="198">
        <v>0.178785</v>
      </c>
      <c r="AD166" s="198">
        <v>0.16627500000000003</v>
      </c>
      <c r="AE166" s="198">
        <v>0.15372000000000002</v>
      </c>
      <c r="AF166" s="198">
        <v>0.14121</v>
      </c>
      <c r="AG166" s="198">
        <v>0.12865500000000002</v>
      </c>
      <c r="AH166" s="198">
        <v>0.116145</v>
      </c>
      <c r="AI166" s="198">
        <v>0.10358999999999999</v>
      </c>
      <c r="AJ166" s="198">
        <v>9.1080000000000008E-2</v>
      </c>
      <c r="AK166" s="198">
        <v>7.8524999999999998E-2</v>
      </c>
      <c r="AL166" s="198">
        <v>6.6015000000000032E-2</v>
      </c>
      <c r="AM166" s="198">
        <v>5.3460000000000008E-2</v>
      </c>
      <c r="AN166" s="198">
        <v>4.0949999999999986E-2</v>
      </c>
      <c r="AO166" s="198">
        <v>2.8395000000000021E-2</v>
      </c>
      <c r="AP166" s="198">
        <v>1.5885E-2</v>
      </c>
      <c r="AQ166" s="198">
        <v>3.3299999999999831E-3</v>
      </c>
      <c r="AR166" s="198">
        <v>0</v>
      </c>
      <c r="AS166" s="198">
        <v>0</v>
      </c>
      <c r="AT166" s="198">
        <v>0</v>
      </c>
      <c r="AU166" s="198">
        <v>0</v>
      </c>
      <c r="AV166" s="198">
        <v>0</v>
      </c>
      <c r="AW166" s="198">
        <v>0</v>
      </c>
      <c r="AX166" s="198">
        <v>0</v>
      </c>
      <c r="AY166" s="198">
        <v>0</v>
      </c>
      <c r="AZ166" s="198">
        <v>0</v>
      </c>
      <c r="BA166" s="198">
        <v>0</v>
      </c>
      <c r="BB166" s="198">
        <v>0</v>
      </c>
    </row>
    <row r="167" spans="2:123" x14ac:dyDescent="0.2">
      <c r="B167" s="44" t="s">
        <v>308</v>
      </c>
      <c r="C167" s="198">
        <v>8.6E-3</v>
      </c>
      <c r="D167" s="198">
        <v>1.3299999999999999E-2</v>
      </c>
      <c r="E167" s="198">
        <v>2.4299999999999999E-2</v>
      </c>
      <c r="F167" s="198">
        <v>3.49E-2</v>
      </c>
      <c r="G167" s="198">
        <v>4.53E-2</v>
      </c>
      <c r="H167" s="198">
        <v>5.5300000000000002E-2</v>
      </c>
      <c r="I167" s="198">
        <v>6.5000000000000002E-2</v>
      </c>
      <c r="J167" s="198">
        <v>0.08</v>
      </c>
      <c r="K167" s="198">
        <v>9.9400000000000002E-2</v>
      </c>
      <c r="L167" s="198">
        <v>0.1232</v>
      </c>
      <c r="M167" s="198">
        <v>0.15010000000000001</v>
      </c>
      <c r="N167" s="198">
        <v>0.185</v>
      </c>
      <c r="O167" s="198">
        <v>0.21279999999999999</v>
      </c>
      <c r="P167" s="198">
        <v>0.2407</v>
      </c>
      <c r="Q167" s="198">
        <v>0.26850000000000002</v>
      </c>
      <c r="R167" s="198">
        <v>0.2964</v>
      </c>
      <c r="S167" s="198">
        <v>0.32419999999999999</v>
      </c>
      <c r="T167" s="198">
        <v>0.35210000000000002</v>
      </c>
      <c r="U167" s="198">
        <v>0.37990000000000002</v>
      </c>
      <c r="V167" s="198">
        <v>0.4078</v>
      </c>
      <c r="W167" s="198">
        <v>0.43559999999999999</v>
      </c>
      <c r="X167" s="198">
        <v>0.46350000000000002</v>
      </c>
      <c r="Y167" s="198">
        <v>0.49130000000000001</v>
      </c>
      <c r="Z167" s="198">
        <v>0.51919999999999999</v>
      </c>
      <c r="AA167" s="198">
        <v>0.54700000000000004</v>
      </c>
      <c r="AB167" s="198">
        <v>0.57489999999999997</v>
      </c>
      <c r="AC167" s="198">
        <v>0.60270000000000001</v>
      </c>
      <c r="AD167" s="198">
        <v>0.63049999999999995</v>
      </c>
      <c r="AE167" s="198">
        <v>0.65839999999999999</v>
      </c>
      <c r="AF167" s="198">
        <v>0.68620000000000003</v>
      </c>
      <c r="AG167" s="198">
        <v>0.71409999999999996</v>
      </c>
      <c r="AH167" s="198">
        <v>0.7419</v>
      </c>
      <c r="AI167" s="198">
        <v>0.76980000000000004</v>
      </c>
      <c r="AJ167" s="198">
        <v>0.79759999999999998</v>
      </c>
      <c r="AK167" s="198">
        <v>0.82550000000000001</v>
      </c>
      <c r="AL167" s="198">
        <v>0.85329999999999995</v>
      </c>
      <c r="AM167" s="198">
        <v>0.88119999999999998</v>
      </c>
      <c r="AN167" s="198">
        <v>0.90900000000000003</v>
      </c>
      <c r="AO167" s="198">
        <v>0.93689999999999996</v>
      </c>
      <c r="AP167" s="198">
        <v>0.9647</v>
      </c>
      <c r="AQ167" s="198">
        <v>0.99260000000000004</v>
      </c>
      <c r="AR167" s="198">
        <v>1</v>
      </c>
      <c r="AS167" s="198">
        <v>1</v>
      </c>
      <c r="AT167" s="198">
        <v>1</v>
      </c>
      <c r="AU167" s="198">
        <v>1</v>
      </c>
      <c r="AV167" s="198">
        <v>1</v>
      </c>
      <c r="AW167" s="198">
        <v>1</v>
      </c>
      <c r="AX167" s="198">
        <v>1</v>
      </c>
      <c r="AY167" s="198">
        <v>1</v>
      </c>
      <c r="AZ167" s="198">
        <v>1</v>
      </c>
      <c r="BA167" s="198">
        <v>1</v>
      </c>
      <c r="BB167" s="198">
        <v>1</v>
      </c>
    </row>
    <row r="168" spans="2:123" x14ac:dyDescent="0.2">
      <c r="B168" s="1" t="s">
        <v>242</v>
      </c>
      <c r="C168" s="747">
        <f>SUM(C165:C167)</f>
        <v>1</v>
      </c>
      <c r="D168" s="747">
        <f t="shared" ref="D168:BB168" si="20">SUM(D165:D167)</f>
        <v>1.0000000000000002</v>
      </c>
      <c r="E168" s="747">
        <f t="shared" si="20"/>
        <v>1.0000000000000002</v>
      </c>
      <c r="F168" s="747">
        <f t="shared" si="20"/>
        <v>1</v>
      </c>
      <c r="G168" s="747">
        <f t="shared" si="20"/>
        <v>1</v>
      </c>
      <c r="H168" s="747">
        <f t="shared" si="20"/>
        <v>1</v>
      </c>
      <c r="I168" s="747">
        <f t="shared" si="20"/>
        <v>1</v>
      </c>
      <c r="J168" s="747">
        <f t="shared" si="20"/>
        <v>1.0000000000000002</v>
      </c>
      <c r="K168" s="747">
        <f t="shared" si="20"/>
        <v>1</v>
      </c>
      <c r="L168" s="747">
        <f t="shared" si="20"/>
        <v>1</v>
      </c>
      <c r="M168" s="747">
        <f t="shared" si="20"/>
        <v>1</v>
      </c>
      <c r="N168" s="747">
        <f t="shared" si="20"/>
        <v>1</v>
      </c>
      <c r="O168" s="747">
        <f t="shared" si="20"/>
        <v>1</v>
      </c>
      <c r="P168" s="747">
        <f t="shared" si="20"/>
        <v>1</v>
      </c>
      <c r="Q168" s="747">
        <f t="shared" si="20"/>
        <v>1</v>
      </c>
      <c r="R168" s="747">
        <f t="shared" si="20"/>
        <v>1</v>
      </c>
      <c r="S168" s="747">
        <f t="shared" si="20"/>
        <v>1</v>
      </c>
      <c r="T168" s="747">
        <f t="shared" si="20"/>
        <v>1</v>
      </c>
      <c r="U168" s="747">
        <f t="shared" si="20"/>
        <v>1</v>
      </c>
      <c r="V168" s="747">
        <f t="shared" si="20"/>
        <v>1</v>
      </c>
      <c r="W168" s="747">
        <f t="shared" si="20"/>
        <v>1</v>
      </c>
      <c r="X168" s="747">
        <f t="shared" si="20"/>
        <v>1</v>
      </c>
      <c r="Y168" s="747">
        <f t="shared" si="20"/>
        <v>1</v>
      </c>
      <c r="Z168" s="747">
        <f t="shared" si="20"/>
        <v>1</v>
      </c>
      <c r="AA168" s="747">
        <f t="shared" si="20"/>
        <v>1</v>
      </c>
      <c r="AB168" s="747">
        <f t="shared" si="20"/>
        <v>1</v>
      </c>
      <c r="AC168" s="747">
        <f t="shared" si="20"/>
        <v>1</v>
      </c>
      <c r="AD168" s="747">
        <f t="shared" si="20"/>
        <v>1</v>
      </c>
      <c r="AE168" s="747">
        <f t="shared" si="20"/>
        <v>1</v>
      </c>
      <c r="AF168" s="747">
        <f t="shared" si="20"/>
        <v>1</v>
      </c>
      <c r="AG168" s="747">
        <f t="shared" si="20"/>
        <v>1</v>
      </c>
      <c r="AH168" s="747">
        <f t="shared" si="20"/>
        <v>1</v>
      </c>
      <c r="AI168" s="747">
        <f t="shared" si="20"/>
        <v>1</v>
      </c>
      <c r="AJ168" s="747">
        <f t="shared" si="20"/>
        <v>1</v>
      </c>
      <c r="AK168" s="747">
        <f t="shared" si="20"/>
        <v>1</v>
      </c>
      <c r="AL168" s="747">
        <f t="shared" si="20"/>
        <v>1</v>
      </c>
      <c r="AM168" s="747">
        <f t="shared" si="20"/>
        <v>1</v>
      </c>
      <c r="AN168" s="747">
        <f t="shared" si="20"/>
        <v>1</v>
      </c>
      <c r="AO168" s="747">
        <f t="shared" si="20"/>
        <v>1</v>
      </c>
      <c r="AP168" s="747">
        <f t="shared" si="20"/>
        <v>1</v>
      </c>
      <c r="AQ168" s="747">
        <f t="shared" si="20"/>
        <v>1</v>
      </c>
      <c r="AR168" s="747">
        <f t="shared" si="20"/>
        <v>1</v>
      </c>
      <c r="AS168" s="747">
        <f t="shared" si="20"/>
        <v>1</v>
      </c>
      <c r="AT168" s="747">
        <f t="shared" si="20"/>
        <v>1</v>
      </c>
      <c r="AU168" s="747">
        <f t="shared" si="20"/>
        <v>1</v>
      </c>
      <c r="AV168" s="747">
        <f t="shared" si="20"/>
        <v>1</v>
      </c>
      <c r="AW168" s="747">
        <f t="shared" si="20"/>
        <v>1</v>
      </c>
      <c r="AX168" s="747">
        <f t="shared" si="20"/>
        <v>1</v>
      </c>
      <c r="AY168" s="747">
        <f t="shared" si="20"/>
        <v>1</v>
      </c>
      <c r="AZ168" s="747">
        <f t="shared" si="20"/>
        <v>1</v>
      </c>
      <c r="BA168" s="747">
        <f t="shared" si="20"/>
        <v>1</v>
      </c>
      <c r="BB168" s="747">
        <f t="shared" si="20"/>
        <v>1</v>
      </c>
    </row>
    <row r="169" spans="2:123" x14ac:dyDescent="0.2">
      <c r="B169" s="1"/>
    </row>
    <row r="170" spans="2:123" x14ac:dyDescent="0.2">
      <c r="B170" s="1"/>
    </row>
    <row r="171" spans="2:123" ht="33.75" x14ac:dyDescent="0.2">
      <c r="B171" s="173" t="s">
        <v>349</v>
      </c>
      <c r="C171" s="647" t="s">
        <v>112</v>
      </c>
      <c r="D171" s="648"/>
      <c r="E171" s="648"/>
      <c r="F171" s="648"/>
      <c r="G171" s="648"/>
      <c r="H171" s="649"/>
    </row>
    <row r="172" spans="2:123" ht="33.75" x14ac:dyDescent="0.2">
      <c r="B172" s="83" t="s">
        <v>92</v>
      </c>
      <c r="C172" s="124" t="s">
        <v>206</v>
      </c>
      <c r="D172" s="124" t="s">
        <v>211</v>
      </c>
      <c r="E172" s="124" t="s">
        <v>207</v>
      </c>
      <c r="F172" s="124" t="s">
        <v>208</v>
      </c>
      <c r="G172" s="124" t="s">
        <v>209</v>
      </c>
      <c r="H172" s="124" t="s">
        <v>210</v>
      </c>
    </row>
    <row r="173" spans="2:123" x14ac:dyDescent="0.2">
      <c r="B173" s="3" t="s">
        <v>107</v>
      </c>
      <c r="C173" s="73">
        <v>5.1999999999999998E-2</v>
      </c>
      <c r="D173" s="73">
        <v>2.1999999999999999E-2</v>
      </c>
      <c r="E173" s="73">
        <v>7.3999999999999996E-2</v>
      </c>
      <c r="F173" s="73">
        <v>0.03</v>
      </c>
      <c r="G173" s="73">
        <v>8.2000000000000003E-2</v>
      </c>
      <c r="H173" s="73">
        <v>0.105</v>
      </c>
    </row>
    <row r="174" spans="2:123" x14ac:dyDescent="0.2">
      <c r="B174" s="3" t="s">
        <v>108</v>
      </c>
      <c r="C174" s="73">
        <v>4.7E-2</v>
      </c>
      <c r="D174" s="73">
        <v>0.02</v>
      </c>
      <c r="E174" s="73">
        <v>6.8000000000000005E-2</v>
      </c>
      <c r="F174" s="73">
        <v>2.8000000000000001E-2</v>
      </c>
      <c r="G174" s="73">
        <v>7.4999999999999997E-2</v>
      </c>
      <c r="H174" s="73">
        <v>9.5000000000000001E-2</v>
      </c>
    </row>
    <row r="175" spans="2:123" x14ac:dyDescent="0.2">
      <c r="B175" s="5" t="s">
        <v>347</v>
      </c>
      <c r="C175" s="195">
        <v>0.12</v>
      </c>
      <c r="D175" s="195">
        <v>0.04</v>
      </c>
      <c r="E175" s="195">
        <v>0.13900000000000001</v>
      </c>
      <c r="F175" s="195">
        <v>5.3999999999999999E-2</v>
      </c>
      <c r="G175" s="195">
        <v>0.17399999999999999</v>
      </c>
      <c r="H175" s="195">
        <v>0.189</v>
      </c>
    </row>
    <row r="176" spans="2:123" x14ac:dyDescent="0.2">
      <c r="B176" s="3" t="s">
        <v>73</v>
      </c>
      <c r="C176" s="73">
        <v>0.217</v>
      </c>
      <c r="D176" s="73">
        <v>0.104</v>
      </c>
      <c r="E176" s="73">
        <v>0.32200000000000001</v>
      </c>
      <c r="F176" s="73">
        <v>0.14799999999999999</v>
      </c>
      <c r="G176" s="73">
        <v>0.36499999999999999</v>
      </c>
      <c r="H176" s="73">
        <v>0.40500000000000003</v>
      </c>
    </row>
    <row r="177" spans="2:5" x14ac:dyDescent="0.2">
      <c r="B177" s="1" t="s">
        <v>488</v>
      </c>
    </row>
    <row r="179" spans="2:5" ht="24.6" customHeight="1" x14ac:dyDescent="0.2">
      <c r="B179" s="173" t="s">
        <v>113</v>
      </c>
      <c r="C179" s="199" t="s">
        <v>350</v>
      </c>
    </row>
    <row r="180" spans="2:5" x14ac:dyDescent="0.2">
      <c r="B180" s="64" t="s">
        <v>351</v>
      </c>
      <c r="C180" s="76">
        <v>0.60299999999999998</v>
      </c>
      <c r="E180" s="2" t="s">
        <v>114</v>
      </c>
    </row>
    <row r="181" spans="2:5" x14ac:dyDescent="0.2">
      <c r="B181" s="44" t="s">
        <v>352</v>
      </c>
      <c r="C181" s="77">
        <v>0.65300000000000002</v>
      </c>
    </row>
    <row r="182" spans="2:5" x14ac:dyDescent="0.2">
      <c r="B182" s="200" t="s">
        <v>353</v>
      </c>
      <c r="C182" s="201">
        <v>0.20200000000000001</v>
      </c>
    </row>
    <row r="183" spans="2:5" x14ac:dyDescent="0.2">
      <c r="B183" s="1" t="s">
        <v>354</v>
      </c>
    </row>
    <row r="184" spans="2:5" x14ac:dyDescent="0.2">
      <c r="B184" s="1"/>
    </row>
    <row r="185" spans="2:5" ht="15.75" customHeight="1" x14ac:dyDescent="0.2">
      <c r="B185" s="637" t="s">
        <v>355</v>
      </c>
      <c r="C185" s="646"/>
      <c r="D185" s="650"/>
    </row>
    <row r="186" spans="2:5" ht="16.5" customHeight="1" x14ac:dyDescent="0.2">
      <c r="B186" s="84" t="s">
        <v>92</v>
      </c>
      <c r="C186" s="81" t="s">
        <v>115</v>
      </c>
      <c r="D186" s="81" t="s">
        <v>116</v>
      </c>
    </row>
    <row r="187" spans="2:5" x14ac:dyDescent="0.2">
      <c r="B187" s="82" t="s">
        <v>107</v>
      </c>
      <c r="C187" s="85">
        <v>5.5E-2</v>
      </c>
      <c r="D187" s="73">
        <v>5.0599999999999996</v>
      </c>
    </row>
    <row r="188" spans="2:5" x14ac:dyDescent="0.2">
      <c r="B188" s="45" t="s">
        <v>108</v>
      </c>
      <c r="C188" s="86">
        <v>4.4999999999999998E-2</v>
      </c>
      <c r="D188" s="73">
        <v>3.2789999999999999</v>
      </c>
    </row>
    <row r="189" spans="2:5" x14ac:dyDescent="0.2">
      <c r="B189" s="5" t="s">
        <v>347</v>
      </c>
      <c r="C189" s="201">
        <v>4.2000000000000003E-2</v>
      </c>
      <c r="D189" s="195">
        <v>4.6879999999999997</v>
      </c>
    </row>
    <row r="190" spans="2:5" x14ac:dyDescent="0.2">
      <c r="B190" s="45" t="s">
        <v>73</v>
      </c>
      <c r="C190" s="86">
        <v>0.10199999999999999</v>
      </c>
      <c r="D190" s="73">
        <v>19.067</v>
      </c>
    </row>
    <row r="191" spans="2:5" x14ac:dyDescent="0.2">
      <c r="B191" s="1" t="s">
        <v>489</v>
      </c>
    </row>
    <row r="193" spans="2:8" ht="22.5" customHeight="1" x14ac:dyDescent="0.2">
      <c r="B193" s="637" t="s">
        <v>356</v>
      </c>
      <c r="C193" s="638"/>
      <c r="D193" s="638"/>
      <c r="E193" s="638"/>
    </row>
    <row r="194" spans="2:8" ht="22.5" customHeight="1" x14ac:dyDescent="0.2">
      <c r="B194" s="84" t="s">
        <v>357</v>
      </c>
      <c r="C194" s="80" t="s">
        <v>60</v>
      </c>
      <c r="D194" s="80" t="s">
        <v>61</v>
      </c>
      <c r="E194" s="80" t="s">
        <v>62</v>
      </c>
    </row>
    <row r="195" spans="2:8" ht="22.5" customHeight="1" x14ac:dyDescent="0.2">
      <c r="B195" s="202" t="s">
        <v>358</v>
      </c>
      <c r="C195" s="203">
        <v>1.524</v>
      </c>
      <c r="D195" s="203">
        <v>6.202</v>
      </c>
      <c r="E195" s="203">
        <v>51.39</v>
      </c>
      <c r="H195" s="2" t="s">
        <v>125</v>
      </c>
    </row>
    <row r="196" spans="2:8" ht="22.5" customHeight="1" x14ac:dyDescent="0.2">
      <c r="B196" s="204" t="s">
        <v>359</v>
      </c>
      <c r="C196" s="203">
        <v>0.753</v>
      </c>
      <c r="D196" s="203">
        <v>5.1580000000000004</v>
      </c>
      <c r="E196" s="203">
        <v>51.411000000000001</v>
      </c>
    </row>
    <row r="197" spans="2:8" ht="22.5" customHeight="1" x14ac:dyDescent="0.2">
      <c r="B197" s="46" t="s">
        <v>360</v>
      </c>
      <c r="C197" s="90">
        <v>2.1339999999999999</v>
      </c>
      <c r="D197" s="90">
        <v>8.6829999999999998</v>
      </c>
      <c r="E197" s="90">
        <v>71.945999999999998</v>
      </c>
      <c r="G197" s="748" t="s">
        <v>361</v>
      </c>
    </row>
    <row r="198" spans="2:8" ht="22.5" customHeight="1" x14ac:dyDescent="0.2">
      <c r="B198" s="89" t="s">
        <v>362</v>
      </c>
      <c r="C198" s="90">
        <v>1.2050000000000001</v>
      </c>
      <c r="D198" s="90">
        <v>8.2530000000000001</v>
      </c>
      <c r="E198" s="90">
        <v>82.257999999999996</v>
      </c>
      <c r="G198" s="748" t="s">
        <v>363</v>
      </c>
    </row>
    <row r="199" spans="2:8" ht="22.5" customHeight="1" x14ac:dyDescent="0.2">
      <c r="B199" s="46" t="s">
        <v>364</v>
      </c>
      <c r="C199" s="90">
        <v>0.61</v>
      </c>
      <c r="D199" s="90">
        <v>2.4809999999999999</v>
      </c>
      <c r="E199" s="90">
        <v>20.556000000000001</v>
      </c>
      <c r="G199" s="748" t="s">
        <v>365</v>
      </c>
    </row>
    <row r="200" spans="2:8" ht="22.5" customHeight="1" x14ac:dyDescent="0.2">
      <c r="B200" s="46" t="s">
        <v>366</v>
      </c>
      <c r="C200" s="90">
        <v>0.45200000000000001</v>
      </c>
      <c r="D200" s="90">
        <v>3.0950000000000002</v>
      </c>
      <c r="E200" s="90">
        <v>30.847000000000001</v>
      </c>
      <c r="G200" s="748" t="s">
        <v>367</v>
      </c>
    </row>
    <row r="201" spans="2:8" x14ac:dyDescent="0.2">
      <c r="B201" s="1" t="s">
        <v>368</v>
      </c>
    </row>
    <row r="203" spans="2:8" ht="23.25" customHeight="1" x14ac:dyDescent="0.2">
      <c r="B203" s="637" t="s">
        <v>117</v>
      </c>
      <c r="C203" s="638"/>
      <c r="D203" s="638"/>
      <c r="E203" s="638"/>
      <c r="F203" s="87"/>
    </row>
    <row r="204" spans="2:8" ht="22.5" customHeight="1" x14ac:dyDescent="0.2">
      <c r="B204" s="84" t="s">
        <v>75</v>
      </c>
      <c r="C204" s="80" t="s">
        <v>60</v>
      </c>
      <c r="D204" s="80" t="s">
        <v>61</v>
      </c>
      <c r="E204" s="80" t="s">
        <v>62</v>
      </c>
      <c r="F204" s="87"/>
    </row>
    <row r="205" spans="2:8" ht="22.5" customHeight="1" x14ac:dyDescent="0.2">
      <c r="B205" s="46" t="s">
        <v>118</v>
      </c>
      <c r="C205" s="90">
        <v>1.1120000000000001</v>
      </c>
      <c r="D205" s="90">
        <v>6.5410000000000004</v>
      </c>
      <c r="E205" s="90">
        <v>47.969000000000001</v>
      </c>
      <c r="F205" s="88"/>
      <c r="G205" s="748" t="s">
        <v>213</v>
      </c>
      <c r="H205" s="2" t="s">
        <v>125</v>
      </c>
    </row>
    <row r="206" spans="2:8" ht="22.5" x14ac:dyDescent="0.2">
      <c r="B206" s="89" t="s">
        <v>119</v>
      </c>
      <c r="C206" s="90">
        <v>0.26</v>
      </c>
      <c r="D206" s="90">
        <v>4.585</v>
      </c>
      <c r="E206" s="90">
        <v>24.452999999999999</v>
      </c>
      <c r="F206" s="88"/>
      <c r="G206" s="748" t="s">
        <v>212</v>
      </c>
    </row>
    <row r="207" spans="2:8" ht="22.5" x14ac:dyDescent="0.2">
      <c r="B207" s="46" t="s">
        <v>120</v>
      </c>
      <c r="C207" s="90">
        <v>0.754</v>
      </c>
      <c r="D207" s="90">
        <v>4.4370000000000003</v>
      </c>
      <c r="E207" s="90">
        <v>29.582999999999998</v>
      </c>
      <c r="F207" s="88"/>
      <c r="G207" s="748" t="s">
        <v>218</v>
      </c>
    </row>
    <row r="208" spans="2:8" ht="22.5" x14ac:dyDescent="0.2">
      <c r="B208" s="89" t="s">
        <v>121</v>
      </c>
      <c r="C208" s="90">
        <v>0.14299999999999999</v>
      </c>
      <c r="D208" s="90">
        <v>1.054</v>
      </c>
      <c r="E208" s="90">
        <v>11.382999999999999</v>
      </c>
      <c r="F208" s="88"/>
      <c r="G208" s="748" t="s">
        <v>217</v>
      </c>
    </row>
    <row r="209" spans="2:54" ht="22.5" x14ac:dyDescent="0.2">
      <c r="B209" s="46" t="s">
        <v>122</v>
      </c>
      <c r="C209" s="90">
        <v>0.78200000000000003</v>
      </c>
      <c r="D209" s="90">
        <v>1.1499999999999999</v>
      </c>
      <c r="E209" s="90">
        <v>6.9029999999999996</v>
      </c>
      <c r="F209" s="88"/>
      <c r="G209" s="748" t="s">
        <v>214</v>
      </c>
    </row>
    <row r="210" spans="2:54" ht="22.5" x14ac:dyDescent="0.2">
      <c r="B210" s="46" t="s">
        <v>123</v>
      </c>
      <c r="C210" s="90">
        <v>0.26500000000000001</v>
      </c>
      <c r="D210" s="90">
        <v>1.216</v>
      </c>
      <c r="E210" s="90">
        <v>12.846</v>
      </c>
      <c r="F210" s="88"/>
      <c r="G210" s="748" t="s">
        <v>215</v>
      </c>
    </row>
    <row r="211" spans="2:54" ht="22.5" x14ac:dyDescent="0.2">
      <c r="B211" s="46" t="s">
        <v>124</v>
      </c>
      <c r="C211" s="90">
        <v>0.24099999999999999</v>
      </c>
      <c r="D211" s="90">
        <v>0.97299999999999998</v>
      </c>
      <c r="E211" s="90">
        <v>6.8970000000000002</v>
      </c>
      <c r="F211" s="88"/>
      <c r="G211" s="748" t="s">
        <v>216</v>
      </c>
    </row>
    <row r="212" spans="2:54" x14ac:dyDescent="0.2">
      <c r="B212" s="1" t="s">
        <v>369</v>
      </c>
    </row>
    <row r="214" spans="2:54" ht="22.5" x14ac:dyDescent="0.2">
      <c r="B214" s="173" t="s">
        <v>126</v>
      </c>
      <c r="C214" s="125">
        <v>2024</v>
      </c>
      <c r="D214" s="125">
        <v>2025</v>
      </c>
      <c r="E214" s="125">
        <v>2026</v>
      </c>
      <c r="F214" s="125">
        <v>2027</v>
      </c>
      <c r="G214" s="125">
        <v>2028</v>
      </c>
      <c r="H214" s="125">
        <v>2029</v>
      </c>
      <c r="I214" s="125">
        <v>2030</v>
      </c>
      <c r="J214" s="125">
        <v>2031</v>
      </c>
      <c r="K214" s="125">
        <v>2032</v>
      </c>
      <c r="L214" s="125">
        <v>2033</v>
      </c>
      <c r="M214" s="125">
        <v>2034</v>
      </c>
      <c r="N214" s="125">
        <v>2035</v>
      </c>
      <c r="O214" s="125">
        <v>2036</v>
      </c>
      <c r="P214" s="125">
        <v>2037</v>
      </c>
      <c r="Q214" s="125">
        <v>2038</v>
      </c>
      <c r="R214" s="125">
        <v>2039</v>
      </c>
      <c r="S214" s="125">
        <v>2040</v>
      </c>
      <c r="T214" s="125">
        <v>2041</v>
      </c>
      <c r="U214" s="125">
        <v>2042</v>
      </c>
      <c r="V214" s="125">
        <v>2043</v>
      </c>
      <c r="W214" s="125">
        <v>2044</v>
      </c>
      <c r="X214" s="125">
        <v>2045</v>
      </c>
      <c r="Y214" s="125">
        <v>2046</v>
      </c>
      <c r="Z214" s="125">
        <v>2047</v>
      </c>
      <c r="AA214" s="125">
        <v>2048</v>
      </c>
      <c r="AB214" s="125">
        <v>2049</v>
      </c>
      <c r="AC214" s="125">
        <v>2050</v>
      </c>
      <c r="AD214" s="125">
        <v>2051</v>
      </c>
      <c r="AE214" s="125">
        <v>2052</v>
      </c>
      <c r="AF214" s="125">
        <v>2053</v>
      </c>
      <c r="AG214" s="125">
        <v>2054</v>
      </c>
      <c r="AH214" s="125">
        <v>2055</v>
      </c>
      <c r="AI214" s="125">
        <v>2056</v>
      </c>
      <c r="AJ214" s="125">
        <v>2057</v>
      </c>
      <c r="AK214" s="125">
        <v>2058</v>
      </c>
      <c r="AL214" s="125">
        <v>2059</v>
      </c>
      <c r="AM214" s="125">
        <v>2060</v>
      </c>
      <c r="AN214" s="125">
        <v>2061</v>
      </c>
      <c r="AO214" s="125">
        <v>2062</v>
      </c>
      <c r="AP214" s="125">
        <v>2063</v>
      </c>
      <c r="AQ214" s="125">
        <v>2064</v>
      </c>
      <c r="AR214" s="125">
        <v>2065</v>
      </c>
      <c r="AS214" s="125">
        <v>2066</v>
      </c>
      <c r="AT214" s="125">
        <v>2067</v>
      </c>
      <c r="AU214" s="125">
        <v>2068</v>
      </c>
      <c r="AV214" s="125">
        <v>2069</v>
      </c>
      <c r="AW214" s="125">
        <v>2070</v>
      </c>
      <c r="AX214" s="125">
        <v>2071</v>
      </c>
      <c r="AY214" s="125">
        <v>2072</v>
      </c>
      <c r="AZ214" s="125">
        <v>2073</v>
      </c>
      <c r="BA214" s="125">
        <v>2074</v>
      </c>
      <c r="BB214" s="125">
        <v>2075</v>
      </c>
    </row>
    <row r="215" spans="2:54" x14ac:dyDescent="0.2">
      <c r="B215" s="45" t="s">
        <v>60</v>
      </c>
      <c r="C215" s="91">
        <v>4394687</v>
      </c>
      <c r="D215" s="91">
        <f t="shared" ref="D215:BB215" si="21">ROUND(C215*(1+(0.8*D23)),2)</f>
        <v>4489612.24</v>
      </c>
      <c r="E215" s="91">
        <f t="shared" si="21"/>
        <v>4590179.55</v>
      </c>
      <c r="F215" s="91">
        <f t="shared" si="21"/>
        <v>4667294.57</v>
      </c>
      <c r="G215" s="91">
        <f t="shared" si="21"/>
        <v>4730769.78</v>
      </c>
      <c r="H215" s="91">
        <f t="shared" si="21"/>
        <v>4798892.8600000003</v>
      </c>
      <c r="I215" s="91">
        <f t="shared" si="21"/>
        <v>4860318.6900000004</v>
      </c>
      <c r="J215" s="91">
        <f t="shared" si="21"/>
        <v>4922530.7699999996</v>
      </c>
      <c r="K215" s="91">
        <f t="shared" si="21"/>
        <v>4981601.1399999997</v>
      </c>
      <c r="L215" s="91">
        <f t="shared" si="21"/>
        <v>5041380.3499999996</v>
      </c>
      <c r="M215" s="91">
        <f t="shared" si="21"/>
        <v>5101876.91</v>
      </c>
      <c r="N215" s="91">
        <f t="shared" si="21"/>
        <v>5163099.43</v>
      </c>
      <c r="O215" s="91">
        <f t="shared" si="21"/>
        <v>5225056.62</v>
      </c>
      <c r="P215" s="91">
        <f t="shared" si="21"/>
        <v>5287757.3</v>
      </c>
      <c r="Q215" s="91">
        <f t="shared" si="21"/>
        <v>5351210.3899999997</v>
      </c>
      <c r="R215" s="91">
        <f t="shared" si="21"/>
        <v>5415424.9100000001</v>
      </c>
      <c r="S215" s="91">
        <f t="shared" si="21"/>
        <v>5480410.0099999998</v>
      </c>
      <c r="T215" s="91">
        <f t="shared" si="21"/>
        <v>5546174.9299999997</v>
      </c>
      <c r="U215" s="91">
        <f t="shared" si="21"/>
        <v>5603855.1500000004</v>
      </c>
      <c r="V215" s="91">
        <f t="shared" si="21"/>
        <v>5662135.2400000002</v>
      </c>
      <c r="W215" s="91">
        <f t="shared" si="21"/>
        <v>5721021.4500000002</v>
      </c>
      <c r="X215" s="91">
        <f t="shared" si="21"/>
        <v>5780520.0700000003</v>
      </c>
      <c r="Y215" s="91">
        <f t="shared" si="21"/>
        <v>5840637.4800000004</v>
      </c>
      <c r="Z215" s="91">
        <f t="shared" si="21"/>
        <v>5901380.1100000003</v>
      </c>
      <c r="AA215" s="91">
        <f t="shared" si="21"/>
        <v>5962754.46</v>
      </c>
      <c r="AB215" s="91">
        <f t="shared" si="21"/>
        <v>6024767.1100000003</v>
      </c>
      <c r="AC215" s="91">
        <f t="shared" si="21"/>
        <v>6087424.6900000004</v>
      </c>
      <c r="AD215" s="91">
        <f t="shared" si="21"/>
        <v>6150733.9100000001</v>
      </c>
      <c r="AE215" s="91">
        <f t="shared" si="21"/>
        <v>6209780.96</v>
      </c>
      <c r="AF215" s="91">
        <f t="shared" si="21"/>
        <v>6269394.8600000003</v>
      </c>
      <c r="AG215" s="91">
        <f t="shared" si="21"/>
        <v>6329581.0499999998</v>
      </c>
      <c r="AH215" s="91">
        <f t="shared" si="21"/>
        <v>6390345.0300000003</v>
      </c>
      <c r="AI215" s="91">
        <f t="shared" si="21"/>
        <v>6451692.3399999999</v>
      </c>
      <c r="AJ215" s="91">
        <f t="shared" si="21"/>
        <v>6513628.5899999999</v>
      </c>
      <c r="AK215" s="91">
        <f t="shared" si="21"/>
        <v>6576159.4199999999</v>
      </c>
      <c r="AL215" s="91">
        <f t="shared" si="21"/>
        <v>6639290.5499999998</v>
      </c>
      <c r="AM215" s="91">
        <f t="shared" si="21"/>
        <v>6703027.7400000002</v>
      </c>
      <c r="AN215" s="91">
        <f t="shared" si="21"/>
        <v>6767376.8099999996</v>
      </c>
      <c r="AO215" s="91">
        <f t="shared" si="21"/>
        <v>6837757.5300000003</v>
      </c>
      <c r="AP215" s="91">
        <f t="shared" si="21"/>
        <v>6908870.21</v>
      </c>
      <c r="AQ215" s="91">
        <f t="shared" si="21"/>
        <v>6980722.46</v>
      </c>
      <c r="AR215" s="91">
        <f t="shared" si="21"/>
        <v>7053321.9699999997</v>
      </c>
      <c r="AS215" s="91">
        <f t="shared" si="21"/>
        <v>7126676.5199999996</v>
      </c>
      <c r="AT215" s="91">
        <f t="shared" si="21"/>
        <v>7200793.96</v>
      </c>
      <c r="AU215" s="91">
        <f t="shared" si="21"/>
        <v>7275682.2199999997</v>
      </c>
      <c r="AV215" s="91">
        <f t="shared" si="21"/>
        <v>7351349.3200000003</v>
      </c>
      <c r="AW215" s="91">
        <f t="shared" si="21"/>
        <v>7427803.3499999996</v>
      </c>
      <c r="AX215" s="91">
        <f t="shared" si="21"/>
        <v>7505052.5</v>
      </c>
      <c r="AY215" s="91">
        <f t="shared" si="21"/>
        <v>7583105.0499999998</v>
      </c>
      <c r="AZ215" s="91">
        <f t="shared" si="21"/>
        <v>7661969.3399999999</v>
      </c>
      <c r="BA215" s="91">
        <f t="shared" si="21"/>
        <v>7741653.8200000003</v>
      </c>
      <c r="BB215" s="91">
        <f t="shared" si="21"/>
        <v>7822167.0199999996</v>
      </c>
    </row>
    <row r="216" spans="2:54" x14ac:dyDescent="0.2">
      <c r="B216" s="45" t="s">
        <v>61</v>
      </c>
      <c r="C216" s="91">
        <v>624516</v>
      </c>
      <c r="D216" s="91">
        <f t="shared" ref="D216:BB216" si="22">ROUND(C216*(1+(0.8*D23)),2)</f>
        <v>638005.55000000005</v>
      </c>
      <c r="E216" s="91">
        <f t="shared" si="22"/>
        <v>652296.87</v>
      </c>
      <c r="F216" s="91">
        <f t="shared" si="22"/>
        <v>663255.46</v>
      </c>
      <c r="G216" s="91">
        <f t="shared" si="22"/>
        <v>672275.73</v>
      </c>
      <c r="H216" s="91">
        <f t="shared" si="22"/>
        <v>681956.5</v>
      </c>
      <c r="I216" s="91">
        <f t="shared" si="22"/>
        <v>690685.54</v>
      </c>
      <c r="J216" s="91">
        <f t="shared" si="22"/>
        <v>699526.31</v>
      </c>
      <c r="K216" s="91">
        <f t="shared" si="22"/>
        <v>707920.63</v>
      </c>
      <c r="L216" s="91">
        <f t="shared" si="22"/>
        <v>716415.68</v>
      </c>
      <c r="M216" s="91">
        <f t="shared" si="22"/>
        <v>725012.67</v>
      </c>
      <c r="N216" s="91">
        <f t="shared" si="22"/>
        <v>733712.82</v>
      </c>
      <c r="O216" s="91">
        <f t="shared" si="22"/>
        <v>742517.37</v>
      </c>
      <c r="P216" s="91">
        <f t="shared" si="22"/>
        <v>751427.58</v>
      </c>
      <c r="Q216" s="91">
        <f t="shared" si="22"/>
        <v>760444.71</v>
      </c>
      <c r="R216" s="91">
        <f t="shared" si="22"/>
        <v>769570.05</v>
      </c>
      <c r="S216" s="91">
        <f t="shared" si="22"/>
        <v>778804.89</v>
      </c>
      <c r="T216" s="91">
        <f t="shared" si="22"/>
        <v>788150.55</v>
      </c>
      <c r="U216" s="91">
        <f t="shared" si="22"/>
        <v>796347.32</v>
      </c>
      <c r="V216" s="91">
        <f t="shared" si="22"/>
        <v>804629.33</v>
      </c>
      <c r="W216" s="91">
        <f t="shared" si="22"/>
        <v>812997.48</v>
      </c>
      <c r="X216" s="91">
        <f t="shared" si="22"/>
        <v>821452.65</v>
      </c>
      <c r="Y216" s="91">
        <f t="shared" si="22"/>
        <v>829995.76</v>
      </c>
      <c r="Z216" s="91">
        <f t="shared" si="22"/>
        <v>838627.72</v>
      </c>
      <c r="AA216" s="91">
        <f t="shared" si="22"/>
        <v>847349.45</v>
      </c>
      <c r="AB216" s="91">
        <f t="shared" si="22"/>
        <v>856161.88</v>
      </c>
      <c r="AC216" s="91">
        <f t="shared" si="22"/>
        <v>865065.96</v>
      </c>
      <c r="AD216" s="91">
        <f t="shared" si="22"/>
        <v>874062.65</v>
      </c>
      <c r="AE216" s="91">
        <f t="shared" si="22"/>
        <v>882453.65</v>
      </c>
      <c r="AF216" s="91">
        <f t="shared" si="22"/>
        <v>890925.21</v>
      </c>
      <c r="AG216" s="91">
        <f t="shared" si="22"/>
        <v>899478.09</v>
      </c>
      <c r="AH216" s="91">
        <f t="shared" si="22"/>
        <v>908113.08</v>
      </c>
      <c r="AI216" s="91">
        <f t="shared" si="22"/>
        <v>916830.97</v>
      </c>
      <c r="AJ216" s="91">
        <f t="shared" si="22"/>
        <v>925632.55</v>
      </c>
      <c r="AK216" s="91">
        <f t="shared" si="22"/>
        <v>934518.62</v>
      </c>
      <c r="AL216" s="91">
        <f t="shared" si="22"/>
        <v>943490</v>
      </c>
      <c r="AM216" s="91">
        <f t="shared" si="22"/>
        <v>952547.5</v>
      </c>
      <c r="AN216" s="91">
        <f t="shared" si="22"/>
        <v>961691.96</v>
      </c>
      <c r="AO216" s="91">
        <f t="shared" si="22"/>
        <v>971693.56</v>
      </c>
      <c r="AP216" s="91">
        <f t="shared" si="22"/>
        <v>981799.17</v>
      </c>
      <c r="AQ216" s="91">
        <f t="shared" si="22"/>
        <v>992009.88</v>
      </c>
      <c r="AR216" s="91">
        <f t="shared" si="22"/>
        <v>1002326.78</v>
      </c>
      <c r="AS216" s="91">
        <f t="shared" si="22"/>
        <v>1012750.98</v>
      </c>
      <c r="AT216" s="91">
        <f t="shared" si="22"/>
        <v>1023283.59</v>
      </c>
      <c r="AU216" s="91">
        <f t="shared" si="22"/>
        <v>1033925.74</v>
      </c>
      <c r="AV216" s="91">
        <f t="shared" si="22"/>
        <v>1044678.57</v>
      </c>
      <c r="AW216" s="91">
        <f t="shared" si="22"/>
        <v>1055543.23</v>
      </c>
      <c r="AX216" s="91">
        <f t="shared" si="22"/>
        <v>1066520.8799999999</v>
      </c>
      <c r="AY216" s="91">
        <f t="shared" si="22"/>
        <v>1077612.7</v>
      </c>
      <c r="AZ216" s="91">
        <f t="shared" si="22"/>
        <v>1088819.8700000001</v>
      </c>
      <c r="BA216" s="91">
        <f t="shared" si="22"/>
        <v>1100143.6000000001</v>
      </c>
      <c r="BB216" s="91">
        <f t="shared" si="22"/>
        <v>1111585.0900000001</v>
      </c>
    </row>
    <row r="217" spans="2:54" x14ac:dyDescent="0.2">
      <c r="B217" s="45" t="s">
        <v>62</v>
      </c>
      <c r="C217" s="91">
        <v>48205</v>
      </c>
      <c r="D217" s="91">
        <f t="shared" ref="D217:BB217" si="23">ROUND(C217*(1+(0.8*D23)),2)</f>
        <v>49246.23</v>
      </c>
      <c r="E217" s="91">
        <f t="shared" si="23"/>
        <v>50349.35</v>
      </c>
      <c r="F217" s="91">
        <f t="shared" si="23"/>
        <v>51195.22</v>
      </c>
      <c r="G217" s="91">
        <f t="shared" si="23"/>
        <v>51891.47</v>
      </c>
      <c r="H217" s="91">
        <f t="shared" si="23"/>
        <v>52638.71</v>
      </c>
      <c r="I217" s="91">
        <f t="shared" si="23"/>
        <v>53312.49</v>
      </c>
      <c r="J217" s="91">
        <f t="shared" si="23"/>
        <v>53994.89</v>
      </c>
      <c r="K217" s="91">
        <f t="shared" si="23"/>
        <v>54642.83</v>
      </c>
      <c r="L217" s="91">
        <f t="shared" si="23"/>
        <v>55298.54</v>
      </c>
      <c r="M217" s="91">
        <f t="shared" si="23"/>
        <v>55962.12</v>
      </c>
      <c r="N217" s="91">
        <f t="shared" si="23"/>
        <v>56633.67</v>
      </c>
      <c r="O217" s="91">
        <f t="shared" si="23"/>
        <v>57313.27</v>
      </c>
      <c r="P217" s="91">
        <f t="shared" si="23"/>
        <v>58001.03</v>
      </c>
      <c r="Q217" s="91">
        <f t="shared" si="23"/>
        <v>58697.04</v>
      </c>
      <c r="R217" s="91">
        <f t="shared" si="23"/>
        <v>59401.4</v>
      </c>
      <c r="S217" s="91">
        <f t="shared" si="23"/>
        <v>60114.22</v>
      </c>
      <c r="T217" s="91">
        <f t="shared" si="23"/>
        <v>60835.59</v>
      </c>
      <c r="U217" s="91">
        <f t="shared" si="23"/>
        <v>61468.28</v>
      </c>
      <c r="V217" s="91">
        <f t="shared" si="23"/>
        <v>62107.55</v>
      </c>
      <c r="W217" s="91">
        <f t="shared" si="23"/>
        <v>62753.47</v>
      </c>
      <c r="X217" s="91">
        <f t="shared" si="23"/>
        <v>63406.11</v>
      </c>
      <c r="Y217" s="91">
        <f t="shared" si="23"/>
        <v>64065.53</v>
      </c>
      <c r="Z217" s="91">
        <f t="shared" si="23"/>
        <v>64731.81</v>
      </c>
      <c r="AA217" s="91">
        <f t="shared" si="23"/>
        <v>65405.02</v>
      </c>
      <c r="AB217" s="91">
        <f t="shared" si="23"/>
        <v>66085.23</v>
      </c>
      <c r="AC217" s="91">
        <f t="shared" si="23"/>
        <v>66772.52</v>
      </c>
      <c r="AD217" s="91">
        <f t="shared" si="23"/>
        <v>67466.95</v>
      </c>
      <c r="AE217" s="91">
        <f t="shared" si="23"/>
        <v>68114.63</v>
      </c>
      <c r="AF217" s="91">
        <f t="shared" si="23"/>
        <v>68768.53</v>
      </c>
      <c r="AG217" s="91">
        <f t="shared" si="23"/>
        <v>69428.710000000006</v>
      </c>
      <c r="AH217" s="91">
        <f t="shared" si="23"/>
        <v>70095.23</v>
      </c>
      <c r="AI217" s="91">
        <f t="shared" si="23"/>
        <v>70768.14</v>
      </c>
      <c r="AJ217" s="91">
        <f t="shared" si="23"/>
        <v>71447.509999999995</v>
      </c>
      <c r="AK217" s="91">
        <f t="shared" si="23"/>
        <v>72133.41</v>
      </c>
      <c r="AL217" s="91">
        <f t="shared" si="23"/>
        <v>72825.89</v>
      </c>
      <c r="AM217" s="91">
        <f t="shared" si="23"/>
        <v>73525.02</v>
      </c>
      <c r="AN217" s="91">
        <f t="shared" si="23"/>
        <v>74230.86</v>
      </c>
      <c r="AO217" s="91">
        <f t="shared" si="23"/>
        <v>75002.86</v>
      </c>
      <c r="AP217" s="91">
        <f t="shared" si="23"/>
        <v>75782.89</v>
      </c>
      <c r="AQ217" s="91">
        <f t="shared" si="23"/>
        <v>76571.03</v>
      </c>
      <c r="AR217" s="91">
        <f t="shared" si="23"/>
        <v>77367.37</v>
      </c>
      <c r="AS217" s="91">
        <f t="shared" si="23"/>
        <v>78171.990000000005</v>
      </c>
      <c r="AT217" s="91">
        <f t="shared" si="23"/>
        <v>78984.98</v>
      </c>
      <c r="AU217" s="91">
        <f t="shared" si="23"/>
        <v>79806.42</v>
      </c>
      <c r="AV217" s="91">
        <f t="shared" si="23"/>
        <v>80636.41</v>
      </c>
      <c r="AW217" s="91">
        <f t="shared" si="23"/>
        <v>81475.03</v>
      </c>
      <c r="AX217" s="91">
        <f t="shared" si="23"/>
        <v>82322.37</v>
      </c>
      <c r="AY217" s="91">
        <f t="shared" si="23"/>
        <v>83178.52</v>
      </c>
      <c r="AZ217" s="91">
        <f t="shared" si="23"/>
        <v>84043.58</v>
      </c>
      <c r="BA217" s="91">
        <f t="shared" si="23"/>
        <v>84917.63</v>
      </c>
      <c r="BB217" s="91">
        <f t="shared" si="23"/>
        <v>85800.77</v>
      </c>
    </row>
    <row r="218" spans="2:54" x14ac:dyDescent="0.2">
      <c r="B218" s="1" t="s">
        <v>330</v>
      </c>
    </row>
    <row r="219" spans="2:54" x14ac:dyDescent="0.2">
      <c r="B219" s="1"/>
    </row>
    <row r="220" spans="2:54" ht="16.5" customHeight="1" x14ac:dyDescent="0.2">
      <c r="B220" s="637" t="s">
        <v>148</v>
      </c>
      <c r="C220" s="638"/>
      <c r="D220" s="638"/>
      <c r="E220" s="638"/>
      <c r="F220" s="639"/>
      <c r="G220" s="639"/>
    </row>
    <row r="221" spans="2:54" ht="16.5" customHeight="1" x14ac:dyDescent="0.2">
      <c r="B221" s="84" t="s">
        <v>92</v>
      </c>
      <c r="C221" s="92" t="s">
        <v>134</v>
      </c>
      <c r="D221" s="92" t="s">
        <v>135</v>
      </c>
      <c r="E221" s="92" t="s">
        <v>136</v>
      </c>
      <c r="F221" s="93" t="s">
        <v>133</v>
      </c>
      <c r="G221" s="93" t="s">
        <v>137</v>
      </c>
    </row>
    <row r="222" spans="2:54" x14ac:dyDescent="0.2">
      <c r="B222" s="46" t="s">
        <v>107</v>
      </c>
      <c r="C222" s="90">
        <v>0.03</v>
      </c>
      <c r="D222" s="90">
        <v>8.73</v>
      </c>
      <c r="E222" s="90">
        <v>0.02</v>
      </c>
      <c r="F222" s="77">
        <v>10.050000000000001</v>
      </c>
      <c r="G222" s="77">
        <v>1.1060000000000001</v>
      </c>
    </row>
    <row r="223" spans="2:54" x14ac:dyDescent="0.2">
      <c r="B223" s="89" t="s">
        <v>108</v>
      </c>
      <c r="C223" s="90">
        <v>1.1000000000000001</v>
      </c>
      <c r="D223" s="90">
        <v>12.96</v>
      </c>
      <c r="E223" s="90">
        <v>0.02</v>
      </c>
      <c r="F223" s="77">
        <v>0.7</v>
      </c>
      <c r="G223" s="77">
        <v>6.5000000000000002E-2</v>
      </c>
    </row>
    <row r="224" spans="2:54" x14ac:dyDescent="0.2">
      <c r="B224" s="46" t="s">
        <v>138</v>
      </c>
      <c r="C224" s="90">
        <v>0.94</v>
      </c>
      <c r="D224" s="90">
        <v>33.369999999999997</v>
      </c>
      <c r="E224" s="90">
        <v>0.02</v>
      </c>
      <c r="F224" s="77">
        <v>1.92</v>
      </c>
      <c r="G224" s="77">
        <v>1.2999999999999999E-2</v>
      </c>
    </row>
    <row r="225" spans="2:54" x14ac:dyDescent="0.2">
      <c r="B225" s="1" t="s">
        <v>162</v>
      </c>
    </row>
    <row r="227" spans="2:54" ht="16.5" customHeight="1" x14ac:dyDescent="0.2">
      <c r="B227" s="637" t="s">
        <v>149</v>
      </c>
      <c r="C227" s="640"/>
      <c r="D227" s="640"/>
      <c r="E227" s="640"/>
      <c r="F227"/>
      <c r="G227"/>
    </row>
    <row r="228" spans="2:54" ht="16.5" customHeight="1" x14ac:dyDescent="0.2">
      <c r="B228" s="84" t="s">
        <v>92</v>
      </c>
      <c r="C228" s="92" t="s">
        <v>150</v>
      </c>
      <c r="D228" s="92" t="s">
        <v>151</v>
      </c>
      <c r="E228" s="92" t="s">
        <v>152</v>
      </c>
      <c r="F228" s="98"/>
      <c r="G228" s="98"/>
    </row>
    <row r="229" spans="2:54" x14ac:dyDescent="0.2">
      <c r="B229" s="46" t="s">
        <v>107</v>
      </c>
      <c r="C229" s="100">
        <v>3180</v>
      </c>
      <c r="D229" s="101">
        <v>1.0900000000000001</v>
      </c>
      <c r="E229" s="90">
        <v>0.20599999999999999</v>
      </c>
      <c r="F229" s="97"/>
      <c r="G229" s="97"/>
    </row>
    <row r="230" spans="2:54" x14ac:dyDescent="0.2">
      <c r="B230" s="89" t="s">
        <v>108</v>
      </c>
      <c r="C230" s="100">
        <v>3140</v>
      </c>
      <c r="D230" s="101">
        <v>0.23</v>
      </c>
      <c r="E230" s="90">
        <v>8.6999999999999994E-2</v>
      </c>
      <c r="F230" s="97"/>
      <c r="G230" s="97"/>
    </row>
    <row r="231" spans="2:54" x14ac:dyDescent="0.2">
      <c r="B231" s="46" t="s">
        <v>138</v>
      </c>
      <c r="C231" s="100">
        <v>3140</v>
      </c>
      <c r="D231" s="101">
        <v>0.27</v>
      </c>
      <c r="E231" s="90">
        <v>5.0999999999999997E-2</v>
      </c>
      <c r="F231" s="97"/>
      <c r="G231" s="97"/>
    </row>
    <row r="232" spans="2:54" x14ac:dyDescent="0.2">
      <c r="B232" s="102" t="s">
        <v>333</v>
      </c>
      <c r="C232" s="96"/>
      <c r="D232" s="96"/>
      <c r="E232" s="96"/>
      <c r="F232" s="97"/>
      <c r="G232" s="97"/>
    </row>
    <row r="234" spans="2:54" ht="22.5" x14ac:dyDescent="0.2">
      <c r="B234" s="173" t="s">
        <v>155</v>
      </c>
      <c r="C234" s="125">
        <v>2024</v>
      </c>
      <c r="D234" s="125">
        <v>2025</v>
      </c>
      <c r="E234" s="125">
        <v>2026</v>
      </c>
      <c r="F234" s="125">
        <v>2027</v>
      </c>
      <c r="G234" s="125">
        <v>2028</v>
      </c>
      <c r="H234" s="125">
        <v>2029</v>
      </c>
      <c r="I234" s="125">
        <v>2030</v>
      </c>
      <c r="J234" s="125">
        <v>2031</v>
      </c>
      <c r="K234" s="125">
        <v>2032</v>
      </c>
      <c r="L234" s="125">
        <v>2033</v>
      </c>
      <c r="M234" s="125">
        <v>2034</v>
      </c>
      <c r="N234" s="125">
        <v>2035</v>
      </c>
      <c r="O234" s="125">
        <v>2036</v>
      </c>
      <c r="P234" s="125">
        <v>2037</v>
      </c>
      <c r="Q234" s="125">
        <v>2038</v>
      </c>
      <c r="R234" s="125">
        <v>2039</v>
      </c>
      <c r="S234" s="125">
        <v>2040</v>
      </c>
      <c r="T234" s="125">
        <v>2041</v>
      </c>
      <c r="U234" s="125">
        <v>2042</v>
      </c>
      <c r="V234" s="125">
        <v>2043</v>
      </c>
      <c r="W234" s="125">
        <v>2044</v>
      </c>
      <c r="X234" s="125">
        <v>2045</v>
      </c>
      <c r="Y234" s="125">
        <v>2046</v>
      </c>
      <c r="Z234" s="125">
        <v>2047</v>
      </c>
      <c r="AA234" s="125">
        <v>2048</v>
      </c>
      <c r="AB234" s="125">
        <v>2049</v>
      </c>
      <c r="AC234" s="125">
        <v>2050</v>
      </c>
      <c r="AD234" s="125">
        <v>2051</v>
      </c>
      <c r="AE234" s="125">
        <v>2052</v>
      </c>
      <c r="AF234" s="125">
        <v>2053</v>
      </c>
      <c r="AG234" s="125">
        <v>2054</v>
      </c>
      <c r="AH234" s="125">
        <v>2055</v>
      </c>
      <c r="AI234" s="125">
        <v>2056</v>
      </c>
      <c r="AJ234" s="125">
        <v>2057</v>
      </c>
      <c r="AK234" s="125">
        <v>2058</v>
      </c>
      <c r="AL234" s="125">
        <v>2059</v>
      </c>
      <c r="AM234" s="125">
        <v>2060</v>
      </c>
      <c r="AN234" s="125">
        <v>2061</v>
      </c>
      <c r="AO234" s="125">
        <v>2062</v>
      </c>
      <c r="AP234" s="125">
        <v>2063</v>
      </c>
      <c r="AQ234" s="125">
        <v>2064</v>
      </c>
      <c r="AR234" s="125">
        <v>2065</v>
      </c>
      <c r="AS234" s="125">
        <v>2066</v>
      </c>
      <c r="AT234" s="125">
        <v>2067</v>
      </c>
      <c r="AU234" s="125">
        <v>2068</v>
      </c>
      <c r="AV234" s="125">
        <v>2069</v>
      </c>
      <c r="AW234" s="125">
        <v>2070</v>
      </c>
      <c r="AX234" s="125">
        <v>2071</v>
      </c>
      <c r="AY234" s="125">
        <v>2072</v>
      </c>
      <c r="AZ234" s="125">
        <v>2073</v>
      </c>
      <c r="BA234" s="125">
        <v>2074</v>
      </c>
      <c r="BB234" s="125">
        <v>2075</v>
      </c>
    </row>
    <row r="235" spans="2:54" x14ac:dyDescent="0.2">
      <c r="B235" s="45" t="s">
        <v>156</v>
      </c>
      <c r="C235" s="103">
        <f>1.69*0.01</f>
        <v>1.6899999999999998E-2</v>
      </c>
      <c r="D235" s="103">
        <f>ROUND(C235*(1+(0.8*D$23)),5)</f>
        <v>1.7270000000000001E-2</v>
      </c>
      <c r="E235" s="103">
        <f t="shared" ref="E235:T240" si="24">ROUND(D235*(1+(0.8*E$23)),5)</f>
        <v>1.7659999999999999E-2</v>
      </c>
      <c r="F235" s="103">
        <f t="shared" si="24"/>
        <v>1.796E-2</v>
      </c>
      <c r="G235" s="103">
        <f t="shared" si="24"/>
        <v>1.8200000000000001E-2</v>
      </c>
      <c r="H235" s="103">
        <f t="shared" si="24"/>
        <v>1.8460000000000001E-2</v>
      </c>
      <c r="I235" s="103">
        <f t="shared" si="24"/>
        <v>1.8700000000000001E-2</v>
      </c>
      <c r="J235" s="103">
        <f t="shared" si="24"/>
        <v>1.8939999999999999E-2</v>
      </c>
      <c r="K235" s="103">
        <f t="shared" si="24"/>
        <v>1.917E-2</v>
      </c>
      <c r="L235" s="103">
        <f t="shared" si="24"/>
        <v>1.9400000000000001E-2</v>
      </c>
      <c r="M235" s="103">
        <f t="shared" si="24"/>
        <v>1.9630000000000002E-2</v>
      </c>
      <c r="N235" s="103">
        <f t="shared" si="24"/>
        <v>1.9869999999999999E-2</v>
      </c>
      <c r="O235" s="103">
        <f t="shared" si="24"/>
        <v>2.0109999999999999E-2</v>
      </c>
      <c r="P235" s="103">
        <f t="shared" si="24"/>
        <v>2.035E-2</v>
      </c>
      <c r="Q235" s="103">
        <f t="shared" si="24"/>
        <v>2.0590000000000001E-2</v>
      </c>
      <c r="R235" s="103">
        <f t="shared" si="24"/>
        <v>2.0840000000000001E-2</v>
      </c>
      <c r="S235" s="103">
        <f t="shared" si="24"/>
        <v>2.1090000000000001E-2</v>
      </c>
      <c r="T235" s="103">
        <f t="shared" si="24"/>
        <v>2.1340000000000001E-2</v>
      </c>
      <c r="U235" s="103">
        <f t="shared" ref="U235:AJ240" si="25">ROUND(T235*(1+(0.8*U$23)),5)</f>
        <v>2.1559999999999999E-2</v>
      </c>
      <c r="V235" s="103">
        <f t="shared" si="25"/>
        <v>2.1780000000000001E-2</v>
      </c>
      <c r="W235" s="103">
        <f t="shared" si="25"/>
        <v>2.2009999999999998E-2</v>
      </c>
      <c r="X235" s="103">
        <f t="shared" si="25"/>
        <v>2.2239999999999999E-2</v>
      </c>
      <c r="Y235" s="103">
        <f t="shared" si="25"/>
        <v>2.247E-2</v>
      </c>
      <c r="Z235" s="103">
        <f t="shared" si="25"/>
        <v>2.2700000000000001E-2</v>
      </c>
      <c r="AA235" s="103">
        <f t="shared" si="25"/>
        <v>2.2939999999999999E-2</v>
      </c>
      <c r="AB235" s="103">
        <f t="shared" si="25"/>
        <v>2.3179999999999999E-2</v>
      </c>
      <c r="AC235" s="103">
        <f t="shared" si="25"/>
        <v>2.342E-2</v>
      </c>
      <c r="AD235" s="103">
        <f t="shared" si="25"/>
        <v>2.366E-2</v>
      </c>
      <c r="AE235" s="103">
        <f t="shared" si="25"/>
        <v>2.3890000000000002E-2</v>
      </c>
      <c r="AF235" s="103">
        <f t="shared" si="25"/>
        <v>2.4119999999999999E-2</v>
      </c>
      <c r="AG235" s="103">
        <f t="shared" si="25"/>
        <v>2.435E-2</v>
      </c>
      <c r="AH235" s="103">
        <f t="shared" si="25"/>
        <v>2.4580000000000001E-2</v>
      </c>
      <c r="AI235" s="103">
        <f t="shared" si="25"/>
        <v>2.4819999999999998E-2</v>
      </c>
      <c r="AJ235" s="103">
        <f t="shared" si="25"/>
        <v>2.5059999999999999E-2</v>
      </c>
      <c r="AK235" s="103">
        <f t="shared" ref="AK235:AZ240" si="26">ROUND(AJ235*(1+(0.8*AK$23)),5)</f>
        <v>2.53E-2</v>
      </c>
      <c r="AL235" s="103">
        <f t="shared" si="26"/>
        <v>2.554E-2</v>
      </c>
      <c r="AM235" s="103">
        <f t="shared" si="26"/>
        <v>2.579E-2</v>
      </c>
      <c r="AN235" s="103">
        <f t="shared" si="26"/>
        <v>2.6040000000000001E-2</v>
      </c>
      <c r="AO235" s="103">
        <f t="shared" si="26"/>
        <v>2.631E-2</v>
      </c>
      <c r="AP235" s="103">
        <f t="shared" si="26"/>
        <v>2.6579999999999999E-2</v>
      </c>
      <c r="AQ235" s="103">
        <f t="shared" si="26"/>
        <v>2.6859999999999998E-2</v>
      </c>
      <c r="AR235" s="103">
        <f t="shared" si="26"/>
        <v>2.7140000000000001E-2</v>
      </c>
      <c r="AS235" s="103">
        <f t="shared" si="26"/>
        <v>2.742E-2</v>
      </c>
      <c r="AT235" s="103">
        <f t="shared" si="26"/>
        <v>2.7709999999999999E-2</v>
      </c>
      <c r="AU235" s="103">
        <f t="shared" si="26"/>
        <v>2.8000000000000001E-2</v>
      </c>
      <c r="AV235" s="103">
        <f t="shared" si="26"/>
        <v>2.8289999999999999E-2</v>
      </c>
      <c r="AW235" s="103">
        <f t="shared" si="26"/>
        <v>2.8580000000000001E-2</v>
      </c>
      <c r="AX235" s="103">
        <f t="shared" si="26"/>
        <v>2.8879999999999999E-2</v>
      </c>
      <c r="AY235" s="103">
        <f t="shared" si="26"/>
        <v>2.9180000000000001E-2</v>
      </c>
      <c r="AZ235" s="103">
        <f t="shared" si="26"/>
        <v>2.9479999999999999E-2</v>
      </c>
      <c r="BA235" s="103">
        <f t="shared" ref="BA235:BB240" si="27">ROUND(AZ235*(1+(0.8*BA$23)),5)</f>
        <v>2.9790000000000001E-2</v>
      </c>
      <c r="BB235" s="103">
        <f t="shared" si="27"/>
        <v>3.0099999999999998E-2</v>
      </c>
    </row>
    <row r="236" spans="2:54" x14ac:dyDescent="0.2">
      <c r="B236" s="45" t="s">
        <v>158</v>
      </c>
      <c r="C236" s="103">
        <f>0.11*0.01</f>
        <v>1.1000000000000001E-3</v>
      </c>
      <c r="D236" s="103">
        <f t="shared" ref="D236:S240" si="28">ROUND(C236*(1+(0.8*D$23)),5)</f>
        <v>1.1199999999999999E-3</v>
      </c>
      <c r="E236" s="103">
        <f t="shared" si="28"/>
        <v>1.15E-3</v>
      </c>
      <c r="F236" s="103">
        <f t="shared" si="28"/>
        <v>1.17E-3</v>
      </c>
      <c r="G236" s="103">
        <f t="shared" si="28"/>
        <v>1.1900000000000001E-3</v>
      </c>
      <c r="H236" s="103">
        <f t="shared" si="28"/>
        <v>1.2099999999999999E-3</v>
      </c>
      <c r="I236" s="103">
        <f t="shared" si="28"/>
        <v>1.23E-3</v>
      </c>
      <c r="J236" s="103">
        <f t="shared" si="28"/>
        <v>1.25E-3</v>
      </c>
      <c r="K236" s="103">
        <f t="shared" si="28"/>
        <v>1.2700000000000001E-3</v>
      </c>
      <c r="L236" s="103">
        <f t="shared" si="28"/>
        <v>1.2899999999999999E-3</v>
      </c>
      <c r="M236" s="103">
        <f t="shared" si="28"/>
        <v>1.31E-3</v>
      </c>
      <c r="N236" s="103">
        <f t="shared" si="28"/>
        <v>1.33E-3</v>
      </c>
      <c r="O236" s="103">
        <f t="shared" si="28"/>
        <v>1.3500000000000001E-3</v>
      </c>
      <c r="P236" s="103">
        <f t="shared" si="28"/>
        <v>1.3699999999999999E-3</v>
      </c>
      <c r="Q236" s="103">
        <f t="shared" si="28"/>
        <v>1.39E-3</v>
      </c>
      <c r="R236" s="103">
        <f t="shared" si="28"/>
        <v>1.41E-3</v>
      </c>
      <c r="S236" s="103">
        <f t="shared" si="28"/>
        <v>1.4300000000000001E-3</v>
      </c>
      <c r="T236" s="103">
        <f t="shared" si="24"/>
        <v>1.4499999999999999E-3</v>
      </c>
      <c r="U236" s="103">
        <f t="shared" si="25"/>
        <v>1.47E-3</v>
      </c>
      <c r="V236" s="103">
        <f t="shared" si="25"/>
        <v>1.49E-3</v>
      </c>
      <c r="W236" s="103">
        <f t="shared" si="25"/>
        <v>1.5100000000000001E-3</v>
      </c>
      <c r="X236" s="103">
        <f t="shared" si="25"/>
        <v>1.5299999999999999E-3</v>
      </c>
      <c r="Y236" s="103">
        <f t="shared" si="25"/>
        <v>1.5499999999999999E-3</v>
      </c>
      <c r="Z236" s="103">
        <f t="shared" si="25"/>
        <v>1.57E-3</v>
      </c>
      <c r="AA236" s="103">
        <f t="shared" si="25"/>
        <v>1.5900000000000001E-3</v>
      </c>
      <c r="AB236" s="103">
        <f t="shared" si="25"/>
        <v>1.6100000000000001E-3</v>
      </c>
      <c r="AC236" s="103">
        <f t="shared" si="25"/>
        <v>1.6299999999999999E-3</v>
      </c>
      <c r="AD236" s="103">
        <f t="shared" si="25"/>
        <v>1.65E-3</v>
      </c>
      <c r="AE236" s="103">
        <f t="shared" si="25"/>
        <v>1.67E-3</v>
      </c>
      <c r="AF236" s="103">
        <f t="shared" si="25"/>
        <v>1.6900000000000001E-3</v>
      </c>
      <c r="AG236" s="103">
        <f t="shared" si="25"/>
        <v>1.7099999999999999E-3</v>
      </c>
      <c r="AH236" s="103">
        <f t="shared" si="25"/>
        <v>1.73E-3</v>
      </c>
      <c r="AI236" s="103">
        <f t="shared" si="25"/>
        <v>1.75E-3</v>
      </c>
      <c r="AJ236" s="103">
        <f t="shared" si="25"/>
        <v>1.7700000000000001E-3</v>
      </c>
      <c r="AK236" s="103">
        <f t="shared" si="26"/>
        <v>1.7899999999999999E-3</v>
      </c>
      <c r="AL236" s="103">
        <f t="shared" si="26"/>
        <v>1.81E-3</v>
      </c>
      <c r="AM236" s="103">
        <f t="shared" si="26"/>
        <v>1.83E-3</v>
      </c>
      <c r="AN236" s="103">
        <f t="shared" si="26"/>
        <v>1.8500000000000001E-3</v>
      </c>
      <c r="AO236" s="103">
        <f t="shared" si="26"/>
        <v>1.8699999999999999E-3</v>
      </c>
      <c r="AP236" s="103">
        <f t="shared" si="26"/>
        <v>1.89E-3</v>
      </c>
      <c r="AQ236" s="103">
        <f t="shared" si="26"/>
        <v>1.91E-3</v>
      </c>
      <c r="AR236" s="103">
        <f t="shared" si="26"/>
        <v>1.9300000000000001E-3</v>
      </c>
      <c r="AS236" s="103">
        <f t="shared" si="26"/>
        <v>1.9499999999999999E-3</v>
      </c>
      <c r="AT236" s="103">
        <f t="shared" si="26"/>
        <v>1.97E-3</v>
      </c>
      <c r="AU236" s="103">
        <f t="shared" si="26"/>
        <v>1.99E-3</v>
      </c>
      <c r="AV236" s="103">
        <f t="shared" si="26"/>
        <v>2.0100000000000001E-3</v>
      </c>
      <c r="AW236" s="103">
        <f t="shared" si="26"/>
        <v>2.0300000000000001E-3</v>
      </c>
      <c r="AX236" s="103">
        <f t="shared" si="26"/>
        <v>2.0500000000000002E-3</v>
      </c>
      <c r="AY236" s="103">
        <f t="shared" si="26"/>
        <v>2.0699999999999998E-3</v>
      </c>
      <c r="AZ236" s="103">
        <f t="shared" si="26"/>
        <v>2.0899999999999998E-3</v>
      </c>
      <c r="BA236" s="103">
        <f t="shared" si="27"/>
        <v>2.1099999999999999E-3</v>
      </c>
      <c r="BB236" s="103">
        <f t="shared" si="27"/>
        <v>2.1299999999999999E-3</v>
      </c>
    </row>
    <row r="237" spans="2:54" x14ac:dyDescent="0.2">
      <c r="B237" s="45" t="s">
        <v>160</v>
      </c>
      <c r="C237" s="103">
        <f>0.01*0.01</f>
        <v>1E-4</v>
      </c>
      <c r="D237" s="103">
        <f t="shared" si="28"/>
        <v>1E-4</v>
      </c>
      <c r="E237" s="103">
        <f t="shared" si="28"/>
        <v>1E-4</v>
      </c>
      <c r="F237" s="103">
        <f t="shared" si="28"/>
        <v>1E-4</v>
      </c>
      <c r="G237" s="103">
        <f t="shared" si="28"/>
        <v>1E-4</v>
      </c>
      <c r="H237" s="103">
        <f t="shared" si="28"/>
        <v>1E-4</v>
      </c>
      <c r="I237" s="103">
        <f t="shared" si="28"/>
        <v>1E-4</v>
      </c>
      <c r="J237" s="103">
        <f t="shared" si="28"/>
        <v>1E-4</v>
      </c>
      <c r="K237" s="103">
        <f t="shared" si="28"/>
        <v>1E-4</v>
      </c>
      <c r="L237" s="103">
        <f t="shared" si="28"/>
        <v>1E-4</v>
      </c>
      <c r="M237" s="103">
        <f t="shared" si="28"/>
        <v>1E-4</v>
      </c>
      <c r="N237" s="103">
        <f t="shared" si="28"/>
        <v>1E-4</v>
      </c>
      <c r="O237" s="103">
        <f t="shared" si="28"/>
        <v>1E-4</v>
      </c>
      <c r="P237" s="103">
        <f t="shared" si="28"/>
        <v>1E-4</v>
      </c>
      <c r="Q237" s="103">
        <f t="shared" si="28"/>
        <v>1E-4</v>
      </c>
      <c r="R237" s="103">
        <f t="shared" si="28"/>
        <v>1E-4</v>
      </c>
      <c r="S237" s="103">
        <f t="shared" si="28"/>
        <v>1E-4</v>
      </c>
      <c r="T237" s="103">
        <f t="shared" si="24"/>
        <v>1E-4</v>
      </c>
      <c r="U237" s="103">
        <f t="shared" si="25"/>
        <v>1E-4</v>
      </c>
      <c r="V237" s="103">
        <f t="shared" si="25"/>
        <v>1E-4</v>
      </c>
      <c r="W237" s="103">
        <f t="shared" si="25"/>
        <v>1E-4</v>
      </c>
      <c r="X237" s="103">
        <f t="shared" si="25"/>
        <v>1E-4</v>
      </c>
      <c r="Y237" s="103">
        <f t="shared" si="25"/>
        <v>1E-4</v>
      </c>
      <c r="Z237" s="103">
        <f t="shared" si="25"/>
        <v>1E-4</v>
      </c>
      <c r="AA237" s="103">
        <f t="shared" si="25"/>
        <v>1E-4</v>
      </c>
      <c r="AB237" s="103">
        <f t="shared" si="25"/>
        <v>1E-4</v>
      </c>
      <c r="AC237" s="103">
        <f t="shared" si="25"/>
        <v>1E-4</v>
      </c>
      <c r="AD237" s="103">
        <f t="shared" si="25"/>
        <v>1E-4</v>
      </c>
      <c r="AE237" s="103">
        <f t="shared" si="25"/>
        <v>1E-4</v>
      </c>
      <c r="AF237" s="103">
        <f t="shared" si="25"/>
        <v>1E-4</v>
      </c>
      <c r="AG237" s="103">
        <f t="shared" si="25"/>
        <v>1E-4</v>
      </c>
      <c r="AH237" s="103">
        <f t="shared" si="25"/>
        <v>1E-4</v>
      </c>
      <c r="AI237" s="103">
        <f t="shared" si="25"/>
        <v>1E-4</v>
      </c>
      <c r="AJ237" s="103">
        <f t="shared" si="25"/>
        <v>1E-4</v>
      </c>
      <c r="AK237" s="103">
        <f t="shared" si="26"/>
        <v>1E-4</v>
      </c>
      <c r="AL237" s="103">
        <f t="shared" si="26"/>
        <v>1E-4</v>
      </c>
      <c r="AM237" s="103">
        <f t="shared" si="26"/>
        <v>1E-4</v>
      </c>
      <c r="AN237" s="103">
        <f t="shared" si="26"/>
        <v>1E-4</v>
      </c>
      <c r="AO237" s="103">
        <f t="shared" si="26"/>
        <v>1E-4</v>
      </c>
      <c r="AP237" s="103">
        <f t="shared" si="26"/>
        <v>1E-4</v>
      </c>
      <c r="AQ237" s="103">
        <f t="shared" si="26"/>
        <v>1E-4</v>
      </c>
      <c r="AR237" s="103">
        <f t="shared" si="26"/>
        <v>1E-4</v>
      </c>
      <c r="AS237" s="103">
        <f t="shared" si="26"/>
        <v>1E-4</v>
      </c>
      <c r="AT237" s="103">
        <f t="shared" si="26"/>
        <v>1E-4</v>
      </c>
      <c r="AU237" s="103">
        <f t="shared" si="26"/>
        <v>1E-4</v>
      </c>
      <c r="AV237" s="103">
        <f t="shared" si="26"/>
        <v>1E-4</v>
      </c>
      <c r="AW237" s="103">
        <f t="shared" si="26"/>
        <v>1E-4</v>
      </c>
      <c r="AX237" s="103">
        <f t="shared" si="26"/>
        <v>1E-4</v>
      </c>
      <c r="AY237" s="103">
        <f t="shared" si="26"/>
        <v>1E-4</v>
      </c>
      <c r="AZ237" s="103">
        <f t="shared" si="26"/>
        <v>1E-4</v>
      </c>
      <c r="BA237" s="103">
        <f t="shared" si="27"/>
        <v>1E-4</v>
      </c>
      <c r="BB237" s="103">
        <f t="shared" si="27"/>
        <v>1E-4</v>
      </c>
    </row>
    <row r="238" spans="2:54" x14ac:dyDescent="0.2">
      <c r="B238" s="45" t="s">
        <v>157</v>
      </c>
      <c r="C238" s="103">
        <f>15.23*0.01</f>
        <v>0.15230000000000002</v>
      </c>
      <c r="D238" s="103">
        <f t="shared" si="28"/>
        <v>0.15559000000000001</v>
      </c>
      <c r="E238" s="103">
        <f t="shared" si="28"/>
        <v>0.15908</v>
      </c>
      <c r="F238" s="103">
        <f t="shared" si="28"/>
        <v>0.16175</v>
      </c>
      <c r="G238" s="103">
        <f t="shared" si="28"/>
        <v>0.16395000000000001</v>
      </c>
      <c r="H238" s="103">
        <f t="shared" si="28"/>
        <v>0.16631000000000001</v>
      </c>
      <c r="I238" s="103">
        <f t="shared" si="28"/>
        <v>0.16844000000000001</v>
      </c>
      <c r="J238" s="103">
        <f t="shared" si="28"/>
        <v>0.1706</v>
      </c>
      <c r="K238" s="103">
        <f t="shared" si="28"/>
        <v>0.17265</v>
      </c>
      <c r="L238" s="103">
        <f t="shared" si="28"/>
        <v>0.17471999999999999</v>
      </c>
      <c r="M238" s="103">
        <f t="shared" si="28"/>
        <v>0.17682</v>
      </c>
      <c r="N238" s="103">
        <f t="shared" si="28"/>
        <v>0.17893999999999999</v>
      </c>
      <c r="O238" s="103">
        <f t="shared" si="28"/>
        <v>0.18109</v>
      </c>
      <c r="P238" s="103">
        <f t="shared" si="28"/>
        <v>0.18326000000000001</v>
      </c>
      <c r="Q238" s="103">
        <f t="shared" si="28"/>
        <v>0.18546000000000001</v>
      </c>
      <c r="R238" s="103">
        <f t="shared" si="28"/>
        <v>0.18769</v>
      </c>
      <c r="S238" s="103">
        <f t="shared" si="28"/>
        <v>0.18994</v>
      </c>
      <c r="T238" s="103">
        <f t="shared" si="24"/>
        <v>0.19222</v>
      </c>
      <c r="U238" s="103">
        <f t="shared" si="25"/>
        <v>0.19422</v>
      </c>
      <c r="V238" s="103">
        <f t="shared" si="25"/>
        <v>0.19624</v>
      </c>
      <c r="W238" s="103">
        <f t="shared" si="25"/>
        <v>0.19828000000000001</v>
      </c>
      <c r="X238" s="103">
        <f t="shared" si="25"/>
        <v>0.20033999999999999</v>
      </c>
      <c r="Y238" s="103">
        <f t="shared" si="25"/>
        <v>0.20241999999999999</v>
      </c>
      <c r="Z238" s="103">
        <f t="shared" si="25"/>
        <v>0.20452999999999999</v>
      </c>
      <c r="AA238" s="103">
        <f t="shared" si="25"/>
        <v>0.20666000000000001</v>
      </c>
      <c r="AB238" s="103">
        <f t="shared" si="25"/>
        <v>0.20881</v>
      </c>
      <c r="AC238" s="103">
        <f t="shared" si="25"/>
        <v>0.21098</v>
      </c>
      <c r="AD238" s="103">
        <f t="shared" si="25"/>
        <v>0.21317</v>
      </c>
      <c r="AE238" s="103">
        <f t="shared" si="25"/>
        <v>0.21521999999999999</v>
      </c>
      <c r="AF238" s="103">
        <f t="shared" si="25"/>
        <v>0.21729000000000001</v>
      </c>
      <c r="AG238" s="103">
        <f t="shared" si="25"/>
        <v>0.21937999999999999</v>
      </c>
      <c r="AH238" s="103">
        <f t="shared" si="25"/>
        <v>0.22148999999999999</v>
      </c>
      <c r="AI238" s="103">
        <f t="shared" si="25"/>
        <v>0.22362000000000001</v>
      </c>
      <c r="AJ238" s="103">
        <f t="shared" si="25"/>
        <v>0.22577</v>
      </c>
      <c r="AK238" s="103">
        <f t="shared" si="26"/>
        <v>0.22794</v>
      </c>
      <c r="AL238" s="103">
        <f t="shared" si="26"/>
        <v>0.23013</v>
      </c>
      <c r="AM238" s="103">
        <f t="shared" si="26"/>
        <v>0.23233999999999999</v>
      </c>
      <c r="AN238" s="103">
        <f t="shared" si="26"/>
        <v>0.23457</v>
      </c>
      <c r="AO238" s="103">
        <f t="shared" si="26"/>
        <v>0.23701</v>
      </c>
      <c r="AP238" s="103">
        <f t="shared" si="26"/>
        <v>0.23946999999999999</v>
      </c>
      <c r="AQ238" s="103">
        <f t="shared" si="26"/>
        <v>0.24196000000000001</v>
      </c>
      <c r="AR238" s="103">
        <f t="shared" si="26"/>
        <v>0.24448</v>
      </c>
      <c r="AS238" s="103">
        <f t="shared" si="26"/>
        <v>0.24701999999999999</v>
      </c>
      <c r="AT238" s="103">
        <f t="shared" si="26"/>
        <v>0.24959000000000001</v>
      </c>
      <c r="AU238" s="103">
        <f t="shared" si="26"/>
        <v>0.25219000000000003</v>
      </c>
      <c r="AV238" s="103">
        <f t="shared" si="26"/>
        <v>0.25480999999999998</v>
      </c>
      <c r="AW238" s="103">
        <f t="shared" si="26"/>
        <v>0.25746000000000002</v>
      </c>
      <c r="AX238" s="103">
        <f t="shared" si="26"/>
        <v>0.26013999999999998</v>
      </c>
      <c r="AY238" s="103">
        <f t="shared" si="26"/>
        <v>0.26284999999999997</v>
      </c>
      <c r="AZ238" s="103">
        <f t="shared" si="26"/>
        <v>0.26557999999999998</v>
      </c>
      <c r="BA238" s="103">
        <f t="shared" si="27"/>
        <v>0.26834000000000002</v>
      </c>
      <c r="BB238" s="103">
        <f t="shared" si="27"/>
        <v>0.27112999999999998</v>
      </c>
    </row>
    <row r="239" spans="2:54" x14ac:dyDescent="0.2">
      <c r="B239" s="45" t="s">
        <v>159</v>
      </c>
      <c r="C239" s="103">
        <f>0.95*0.01</f>
        <v>9.4999999999999998E-3</v>
      </c>
      <c r="D239" s="103">
        <f t="shared" si="28"/>
        <v>9.7099999999999999E-3</v>
      </c>
      <c r="E239" s="103">
        <f t="shared" si="28"/>
        <v>9.9299999999999996E-3</v>
      </c>
      <c r="F239" s="103">
        <f t="shared" si="28"/>
        <v>1.01E-2</v>
      </c>
      <c r="G239" s="103">
        <f t="shared" si="28"/>
        <v>1.0240000000000001E-2</v>
      </c>
      <c r="H239" s="103">
        <f t="shared" si="28"/>
        <v>1.039E-2</v>
      </c>
      <c r="I239" s="103">
        <f t="shared" si="28"/>
        <v>1.052E-2</v>
      </c>
      <c r="J239" s="103">
        <f t="shared" si="28"/>
        <v>1.065E-2</v>
      </c>
      <c r="K239" s="103">
        <f t="shared" si="28"/>
        <v>1.078E-2</v>
      </c>
      <c r="L239" s="103">
        <f t="shared" si="28"/>
        <v>1.091E-2</v>
      </c>
      <c r="M239" s="103">
        <f t="shared" si="28"/>
        <v>1.1039999999999999E-2</v>
      </c>
      <c r="N239" s="103">
        <f t="shared" si="28"/>
        <v>1.1169999999999999E-2</v>
      </c>
      <c r="O239" s="103">
        <f t="shared" si="28"/>
        <v>1.1299999999999999E-2</v>
      </c>
      <c r="P239" s="103">
        <f t="shared" si="28"/>
        <v>1.1440000000000001E-2</v>
      </c>
      <c r="Q239" s="103">
        <f t="shared" si="28"/>
        <v>1.158E-2</v>
      </c>
      <c r="R239" s="103">
        <f t="shared" si="28"/>
        <v>1.172E-2</v>
      </c>
      <c r="S239" s="103">
        <f t="shared" si="28"/>
        <v>1.1860000000000001E-2</v>
      </c>
      <c r="T239" s="103">
        <f t="shared" si="24"/>
        <v>1.2E-2</v>
      </c>
      <c r="U239" s="103">
        <f t="shared" si="25"/>
        <v>1.2120000000000001E-2</v>
      </c>
      <c r="V239" s="103">
        <f t="shared" si="25"/>
        <v>1.225E-2</v>
      </c>
      <c r="W239" s="103">
        <f t="shared" si="25"/>
        <v>1.238E-2</v>
      </c>
      <c r="X239" s="103">
        <f t="shared" si="25"/>
        <v>1.251E-2</v>
      </c>
      <c r="Y239" s="103">
        <f t="shared" si="25"/>
        <v>1.264E-2</v>
      </c>
      <c r="Z239" s="103">
        <f t="shared" si="25"/>
        <v>1.277E-2</v>
      </c>
      <c r="AA239" s="103">
        <f t="shared" si="25"/>
        <v>1.29E-2</v>
      </c>
      <c r="AB239" s="103">
        <f t="shared" si="25"/>
        <v>1.303E-2</v>
      </c>
      <c r="AC239" s="103">
        <f t="shared" si="25"/>
        <v>1.3169999999999999E-2</v>
      </c>
      <c r="AD239" s="103">
        <f t="shared" si="25"/>
        <v>1.3310000000000001E-2</v>
      </c>
      <c r="AE239" s="103">
        <f t="shared" si="25"/>
        <v>1.3440000000000001E-2</v>
      </c>
      <c r="AF239" s="103">
        <f t="shared" si="25"/>
        <v>1.357E-2</v>
      </c>
      <c r="AG239" s="103">
        <f t="shared" si="25"/>
        <v>1.37E-2</v>
      </c>
      <c r="AH239" s="103">
        <f t="shared" si="25"/>
        <v>1.383E-2</v>
      </c>
      <c r="AI239" s="103">
        <f t="shared" si="25"/>
        <v>1.396E-2</v>
      </c>
      <c r="AJ239" s="103">
        <f t="shared" si="25"/>
        <v>1.409E-2</v>
      </c>
      <c r="AK239" s="103">
        <f t="shared" si="26"/>
        <v>1.423E-2</v>
      </c>
      <c r="AL239" s="103">
        <f t="shared" si="26"/>
        <v>1.4370000000000001E-2</v>
      </c>
      <c r="AM239" s="103">
        <f t="shared" si="26"/>
        <v>1.451E-2</v>
      </c>
      <c r="AN239" s="103">
        <f t="shared" si="26"/>
        <v>1.465E-2</v>
      </c>
      <c r="AO239" s="103">
        <f t="shared" si="26"/>
        <v>1.4800000000000001E-2</v>
      </c>
      <c r="AP239" s="103">
        <f t="shared" si="26"/>
        <v>1.495E-2</v>
      </c>
      <c r="AQ239" s="103">
        <f t="shared" si="26"/>
        <v>1.511E-2</v>
      </c>
      <c r="AR239" s="103">
        <f t="shared" si="26"/>
        <v>1.5270000000000001E-2</v>
      </c>
      <c r="AS239" s="103">
        <f t="shared" si="26"/>
        <v>1.5429999999999999E-2</v>
      </c>
      <c r="AT239" s="103">
        <f t="shared" si="26"/>
        <v>1.559E-2</v>
      </c>
      <c r="AU239" s="103">
        <f t="shared" si="26"/>
        <v>1.575E-2</v>
      </c>
      <c r="AV239" s="103">
        <f t="shared" si="26"/>
        <v>1.5910000000000001E-2</v>
      </c>
      <c r="AW239" s="103">
        <f t="shared" si="26"/>
        <v>1.6080000000000001E-2</v>
      </c>
      <c r="AX239" s="103">
        <f t="shared" si="26"/>
        <v>1.6250000000000001E-2</v>
      </c>
      <c r="AY239" s="103">
        <f t="shared" si="26"/>
        <v>1.6420000000000001E-2</v>
      </c>
      <c r="AZ239" s="103">
        <f t="shared" si="26"/>
        <v>1.6590000000000001E-2</v>
      </c>
      <c r="BA239" s="103">
        <f t="shared" si="27"/>
        <v>1.6760000000000001E-2</v>
      </c>
      <c r="BB239" s="103">
        <f t="shared" si="27"/>
        <v>1.6930000000000001E-2</v>
      </c>
    </row>
    <row r="240" spans="2:54" x14ac:dyDescent="0.2">
      <c r="B240" s="45" t="s">
        <v>161</v>
      </c>
      <c r="C240" s="103">
        <f>0.12*0.01</f>
        <v>1.1999999999999999E-3</v>
      </c>
      <c r="D240" s="103">
        <f t="shared" si="28"/>
        <v>1.23E-3</v>
      </c>
      <c r="E240" s="103">
        <f t="shared" si="28"/>
        <v>1.2600000000000001E-3</v>
      </c>
      <c r="F240" s="103">
        <f t="shared" si="28"/>
        <v>1.2800000000000001E-3</v>
      </c>
      <c r="G240" s="103">
        <f t="shared" si="28"/>
        <v>1.2999999999999999E-3</v>
      </c>
      <c r="H240" s="103">
        <f t="shared" si="28"/>
        <v>1.32E-3</v>
      </c>
      <c r="I240" s="103">
        <f t="shared" si="28"/>
        <v>1.34E-3</v>
      </c>
      <c r="J240" s="103">
        <f t="shared" si="28"/>
        <v>1.3600000000000001E-3</v>
      </c>
      <c r="K240" s="103">
        <f t="shared" si="28"/>
        <v>1.3799999999999999E-3</v>
      </c>
      <c r="L240" s="103">
        <f t="shared" si="28"/>
        <v>1.4E-3</v>
      </c>
      <c r="M240" s="103">
        <f t="shared" si="28"/>
        <v>1.42E-3</v>
      </c>
      <c r="N240" s="103">
        <f t="shared" si="28"/>
        <v>1.4400000000000001E-3</v>
      </c>
      <c r="O240" s="103">
        <f t="shared" si="28"/>
        <v>1.4599999999999999E-3</v>
      </c>
      <c r="P240" s="103">
        <f t="shared" si="28"/>
        <v>1.48E-3</v>
      </c>
      <c r="Q240" s="103">
        <f t="shared" si="28"/>
        <v>1.5E-3</v>
      </c>
      <c r="R240" s="103">
        <f t="shared" si="28"/>
        <v>1.5200000000000001E-3</v>
      </c>
      <c r="S240" s="103">
        <f t="shared" si="28"/>
        <v>1.5399999999999999E-3</v>
      </c>
      <c r="T240" s="103">
        <f t="shared" si="24"/>
        <v>1.56E-3</v>
      </c>
      <c r="U240" s="103">
        <f t="shared" si="25"/>
        <v>1.58E-3</v>
      </c>
      <c r="V240" s="103">
        <f t="shared" si="25"/>
        <v>1.6000000000000001E-3</v>
      </c>
      <c r="W240" s="103">
        <f t="shared" si="25"/>
        <v>1.6199999999999999E-3</v>
      </c>
      <c r="X240" s="103">
        <f t="shared" si="25"/>
        <v>1.64E-3</v>
      </c>
      <c r="Y240" s="103">
        <f t="shared" si="25"/>
        <v>1.66E-3</v>
      </c>
      <c r="Z240" s="103">
        <f t="shared" si="25"/>
        <v>1.6800000000000001E-3</v>
      </c>
      <c r="AA240" s="103">
        <f t="shared" si="25"/>
        <v>1.6999999999999999E-3</v>
      </c>
      <c r="AB240" s="103">
        <f t="shared" si="25"/>
        <v>1.72E-3</v>
      </c>
      <c r="AC240" s="103">
        <f t="shared" si="25"/>
        <v>1.74E-3</v>
      </c>
      <c r="AD240" s="103">
        <f t="shared" si="25"/>
        <v>1.7600000000000001E-3</v>
      </c>
      <c r="AE240" s="103">
        <f t="shared" si="25"/>
        <v>1.7799999999999999E-3</v>
      </c>
      <c r="AF240" s="103">
        <f t="shared" si="25"/>
        <v>1.8E-3</v>
      </c>
      <c r="AG240" s="103">
        <f t="shared" si="25"/>
        <v>1.82E-3</v>
      </c>
      <c r="AH240" s="103">
        <f t="shared" si="25"/>
        <v>1.8400000000000001E-3</v>
      </c>
      <c r="AI240" s="103">
        <f t="shared" si="25"/>
        <v>1.8600000000000001E-3</v>
      </c>
      <c r="AJ240" s="103">
        <f t="shared" si="25"/>
        <v>1.8799999999999999E-3</v>
      </c>
      <c r="AK240" s="103">
        <f t="shared" si="26"/>
        <v>1.9E-3</v>
      </c>
      <c r="AL240" s="103">
        <f t="shared" si="26"/>
        <v>1.92E-3</v>
      </c>
      <c r="AM240" s="103">
        <f t="shared" si="26"/>
        <v>1.9400000000000001E-3</v>
      </c>
      <c r="AN240" s="103">
        <f t="shared" si="26"/>
        <v>1.9599999999999999E-3</v>
      </c>
      <c r="AO240" s="103">
        <f t="shared" si="26"/>
        <v>1.98E-3</v>
      </c>
      <c r="AP240" s="103">
        <f t="shared" si="26"/>
        <v>2E-3</v>
      </c>
      <c r="AQ240" s="103">
        <f t="shared" si="26"/>
        <v>2.0200000000000001E-3</v>
      </c>
      <c r="AR240" s="103">
        <f t="shared" si="26"/>
        <v>2.0400000000000001E-3</v>
      </c>
      <c r="AS240" s="103">
        <f t="shared" si="26"/>
        <v>2.0600000000000002E-3</v>
      </c>
      <c r="AT240" s="103">
        <f t="shared" si="26"/>
        <v>2.0799999999999998E-3</v>
      </c>
      <c r="AU240" s="103">
        <f t="shared" si="26"/>
        <v>2.0999999999999999E-3</v>
      </c>
      <c r="AV240" s="103">
        <f t="shared" si="26"/>
        <v>2.1199999999999999E-3</v>
      </c>
      <c r="AW240" s="103">
        <f t="shared" si="26"/>
        <v>2.14E-3</v>
      </c>
      <c r="AX240" s="103">
        <f t="shared" si="26"/>
        <v>2.16E-3</v>
      </c>
      <c r="AY240" s="103">
        <f t="shared" si="26"/>
        <v>2.1800000000000001E-3</v>
      </c>
      <c r="AZ240" s="103">
        <f t="shared" si="26"/>
        <v>2.2000000000000001E-3</v>
      </c>
      <c r="BA240" s="103">
        <f t="shared" si="27"/>
        <v>2.2200000000000002E-3</v>
      </c>
      <c r="BB240" s="103">
        <f t="shared" si="27"/>
        <v>2.2399999999999998E-3</v>
      </c>
    </row>
    <row r="241" spans="2:2" x14ac:dyDescent="0.2">
      <c r="B241" s="1" t="s">
        <v>485</v>
      </c>
    </row>
  </sheetData>
  <mergeCells count="22">
    <mergeCell ref="B193:E193"/>
    <mergeCell ref="B203:E203"/>
    <mergeCell ref="B220:G220"/>
    <mergeCell ref="B227:E227"/>
    <mergeCell ref="B103:E103"/>
    <mergeCell ref="B110:D110"/>
    <mergeCell ref="B115:E115"/>
    <mergeCell ref="B150:C150"/>
    <mergeCell ref="C171:H171"/>
    <mergeCell ref="B185:D185"/>
    <mergeCell ref="B80:G80"/>
    <mergeCell ref="B8:C8"/>
    <mergeCell ref="B22:B23"/>
    <mergeCell ref="B26:B28"/>
    <mergeCell ref="C26:C28"/>
    <mergeCell ref="D26:I26"/>
    <mergeCell ref="B39:C39"/>
    <mergeCell ref="C66:F66"/>
    <mergeCell ref="G66:L66"/>
    <mergeCell ref="B73:B74"/>
    <mergeCell ref="C73:C75"/>
    <mergeCell ref="D73:I73"/>
  </mergeCells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08F7-28F6-404C-A8EE-87120153137C}">
  <sheetPr>
    <tabColor rgb="FF3399FF"/>
  </sheetPr>
  <dimension ref="A1:AQ84"/>
  <sheetViews>
    <sheetView zoomScaleNormal="100" workbookViewId="0"/>
  </sheetViews>
  <sheetFormatPr defaultColWidth="9.140625" defaultRowHeight="11.25" x14ac:dyDescent="0.2"/>
  <cols>
    <col min="1" max="1" width="52.85546875" style="2" customWidth="1"/>
    <col min="2" max="2" width="13.42578125" style="2" bestFit="1" customWidth="1"/>
    <col min="3" max="3" width="9.85546875" style="2" bestFit="1" customWidth="1"/>
    <col min="4" max="4" width="9.5703125" style="2" bestFit="1" customWidth="1"/>
    <col min="5" max="5" width="9.42578125" style="2" customWidth="1"/>
    <col min="6" max="6" width="11.42578125" style="2" customWidth="1"/>
    <col min="7" max="7" width="10.42578125" style="2" customWidth="1"/>
    <col min="8" max="8" width="9.5703125" style="2" customWidth="1"/>
    <col min="9" max="9" width="10.42578125" style="2" customWidth="1"/>
    <col min="10" max="10" width="9.5703125" style="2" customWidth="1"/>
    <col min="11" max="11" width="11.42578125" style="2" bestFit="1" customWidth="1"/>
    <col min="12" max="13" width="11.85546875" style="2" customWidth="1"/>
    <col min="14" max="14" width="10" style="2" customWidth="1"/>
    <col min="15" max="15" width="10.42578125" style="2" customWidth="1"/>
    <col min="16" max="16" width="10" style="2" customWidth="1"/>
    <col min="17" max="43" width="9.5703125" style="2" bestFit="1" customWidth="1"/>
    <col min="44" max="16384" width="9.140625" style="2"/>
  </cols>
  <sheetData>
    <row r="1" spans="1:40" x14ac:dyDescent="0.2">
      <c r="A1" s="310"/>
      <c r="AN1" s="310"/>
    </row>
    <row r="2" spans="1:40" x14ac:dyDescent="0.2">
      <c r="B2" s="323"/>
    </row>
    <row r="3" spans="1:40" ht="12" thickBot="1" x14ac:dyDescent="0.25">
      <c r="A3" s="2" t="s">
        <v>660</v>
      </c>
    </row>
    <row r="4" spans="1:40" ht="12" thickBot="1" x14ac:dyDescent="0.25">
      <c r="A4" s="324" t="s">
        <v>531</v>
      </c>
      <c r="B4" s="487" t="s">
        <v>532</v>
      </c>
      <c r="C4" s="487" t="s">
        <v>533</v>
      </c>
    </row>
    <row r="5" spans="1:40" ht="12" thickBot="1" x14ac:dyDescent="0.25">
      <c r="A5" s="488" t="s">
        <v>534</v>
      </c>
      <c r="B5" s="489" t="s">
        <v>535</v>
      </c>
      <c r="C5" s="489" t="s">
        <v>536</v>
      </c>
    </row>
    <row r="6" spans="1:40" x14ac:dyDescent="0.2">
      <c r="A6" s="490" t="s">
        <v>537</v>
      </c>
      <c r="B6" s="331">
        <v>0.15</v>
      </c>
      <c r="C6" s="332">
        <v>2.2999999999999998</v>
      </c>
    </row>
    <row r="7" spans="1:40" x14ac:dyDescent="0.2">
      <c r="A7" s="491" t="s">
        <v>538</v>
      </c>
      <c r="B7" s="334">
        <v>0.22</v>
      </c>
      <c r="C7" s="335" t="s">
        <v>539</v>
      </c>
    </row>
    <row r="8" spans="1:40" x14ac:dyDescent="0.2">
      <c r="A8" s="491" t="s">
        <v>540</v>
      </c>
      <c r="B8" s="334">
        <v>7.0000000000000007E-2</v>
      </c>
      <c r="C8" s="335">
        <v>1.1000000000000001</v>
      </c>
    </row>
    <row r="9" spans="1:40" x14ac:dyDescent="0.2">
      <c r="A9" s="491" t="s">
        <v>541</v>
      </c>
      <c r="B9" s="334">
        <v>0.1</v>
      </c>
      <c r="C9" s="335">
        <v>1.5</v>
      </c>
    </row>
    <row r="10" spans="1:40" x14ac:dyDescent="0.2">
      <c r="A10" s="491" t="s">
        <v>205</v>
      </c>
      <c r="B10" s="334">
        <v>0.22</v>
      </c>
      <c r="C10" s="335">
        <v>3.2</v>
      </c>
    </row>
    <row r="11" spans="1:40" x14ac:dyDescent="0.2">
      <c r="A11" s="491" t="s">
        <v>542</v>
      </c>
      <c r="B11" s="334">
        <v>0.15</v>
      </c>
      <c r="C11" s="335">
        <v>2.2000000000000002</v>
      </c>
    </row>
    <row r="12" spans="1:40" x14ac:dyDescent="0.2">
      <c r="A12" s="491" t="s">
        <v>543</v>
      </c>
      <c r="B12" s="334">
        <v>0.13</v>
      </c>
      <c r="C12" s="335">
        <v>1.9</v>
      </c>
    </row>
    <row r="13" spans="1:40" x14ac:dyDescent="0.2">
      <c r="A13" s="491" t="s">
        <v>544</v>
      </c>
      <c r="B13" s="334">
        <v>0.26</v>
      </c>
      <c r="C13" s="335">
        <v>3.8</v>
      </c>
    </row>
    <row r="14" spans="1:40" x14ac:dyDescent="0.2">
      <c r="A14" s="491" t="s">
        <v>545</v>
      </c>
      <c r="B14" s="334">
        <v>0.08</v>
      </c>
      <c r="C14" s="335">
        <v>1.2</v>
      </c>
    </row>
    <row r="15" spans="1:40" x14ac:dyDescent="0.2">
      <c r="A15" s="491" t="s">
        <v>546</v>
      </c>
      <c r="B15" s="334">
        <v>0.16</v>
      </c>
      <c r="C15" s="335" t="s">
        <v>547</v>
      </c>
    </row>
    <row r="16" spans="1:40" ht="12" thickBot="1" x14ac:dyDescent="0.25">
      <c r="A16" s="492" t="s">
        <v>548</v>
      </c>
      <c r="B16" s="338">
        <v>0.38</v>
      </c>
      <c r="C16" s="339" t="s">
        <v>549</v>
      </c>
    </row>
    <row r="17" spans="1:16" x14ac:dyDescent="0.2">
      <c r="A17" s="493" t="s">
        <v>550</v>
      </c>
      <c r="B17" s="494">
        <v>1.94</v>
      </c>
      <c r="C17" s="495">
        <v>28.3</v>
      </c>
      <c r="D17" s="343"/>
    </row>
    <row r="18" spans="1:16" ht="12" thickBot="1" x14ac:dyDescent="0.25">
      <c r="A18" s="492" t="s">
        <v>551</v>
      </c>
      <c r="B18" s="338">
        <f>B17*1.15</f>
        <v>2.2309999999999999</v>
      </c>
      <c r="C18" s="339">
        <v>32.6</v>
      </c>
      <c r="D18" s="343"/>
    </row>
    <row r="19" spans="1:16" x14ac:dyDescent="0.2">
      <c r="A19" s="319" t="s">
        <v>552</v>
      </c>
      <c r="B19" s="319"/>
      <c r="C19" s="319"/>
      <c r="D19" s="319"/>
    </row>
    <row r="20" spans="1:16" x14ac:dyDescent="0.2">
      <c r="A20" s="342"/>
      <c r="G20" s="343"/>
    </row>
    <row r="21" spans="1:16" x14ac:dyDescent="0.2">
      <c r="A21" s="319"/>
      <c r="B21" s="319"/>
      <c r="C21" s="319"/>
      <c r="D21" s="319"/>
    </row>
    <row r="22" spans="1:16" x14ac:dyDescent="0.2">
      <c r="A22" s="311" t="s">
        <v>710</v>
      </c>
    </row>
    <row r="23" spans="1:16" x14ac:dyDescent="0.2">
      <c r="C23" s="738" t="s">
        <v>709</v>
      </c>
      <c r="D23" s="739"/>
    </row>
    <row r="24" spans="1:16" ht="22.5" x14ac:dyDescent="0.2">
      <c r="A24" s="554" t="s">
        <v>707</v>
      </c>
      <c r="B24" s="554" t="s">
        <v>306</v>
      </c>
      <c r="C24" s="555" t="s">
        <v>708</v>
      </c>
      <c r="D24" s="555" t="s">
        <v>675</v>
      </c>
    </row>
    <row r="25" spans="1:16" x14ac:dyDescent="0.2">
      <c r="A25" s="130" t="s">
        <v>237</v>
      </c>
      <c r="B25" s="131" t="s">
        <v>238</v>
      </c>
      <c r="C25" s="134">
        <v>13.03</v>
      </c>
      <c r="D25" s="134">
        <v>12.92</v>
      </c>
    </row>
    <row r="26" spans="1:16" x14ac:dyDescent="0.2">
      <c r="A26" s="319" t="s">
        <v>510</v>
      </c>
    </row>
    <row r="29" spans="1:16" x14ac:dyDescent="0.2">
      <c r="A29" s="2" t="s">
        <v>711</v>
      </c>
    </row>
    <row r="30" spans="1:16" ht="12" thickBot="1" x14ac:dyDescent="0.25"/>
    <row r="31" spans="1:16" ht="12" thickBot="1" x14ac:dyDescent="0.25">
      <c r="A31" s="15" t="s">
        <v>712</v>
      </c>
      <c r="B31" s="705" t="s">
        <v>521</v>
      </c>
      <c r="C31" s="706"/>
      <c r="D31" s="707" t="s">
        <v>523</v>
      </c>
      <c r="E31" s="708"/>
      <c r="F31" s="700" t="s">
        <v>682</v>
      </c>
      <c r="G31" s="700" t="s">
        <v>524</v>
      </c>
      <c r="H31" s="700" t="s">
        <v>683</v>
      </c>
      <c r="I31" s="700" t="s">
        <v>684</v>
      </c>
      <c r="J31" s="703" t="s">
        <v>525</v>
      </c>
      <c r="K31" s="700" t="s">
        <v>526</v>
      </c>
      <c r="L31" s="719" t="s">
        <v>527</v>
      </c>
      <c r="M31" s="721" t="s">
        <v>607</v>
      </c>
      <c r="N31" s="716" t="s">
        <v>569</v>
      </c>
      <c r="O31" s="719" t="s">
        <v>553</v>
      </c>
      <c r="P31" s="716" t="s">
        <v>570</v>
      </c>
    </row>
    <row r="32" spans="1:16" x14ac:dyDescent="0.2">
      <c r="A32" s="709" t="s">
        <v>528</v>
      </c>
      <c r="B32" s="711">
        <v>2024</v>
      </c>
      <c r="C32" s="713">
        <v>2025</v>
      </c>
      <c r="D32" s="711">
        <v>2024</v>
      </c>
      <c r="E32" s="715">
        <v>2025</v>
      </c>
      <c r="F32" s="701"/>
      <c r="G32" s="701"/>
      <c r="H32" s="701"/>
      <c r="I32" s="701"/>
      <c r="J32" s="704"/>
      <c r="K32" s="701"/>
      <c r="L32" s="720"/>
      <c r="M32" s="722"/>
      <c r="N32" s="717"/>
      <c r="O32" s="720"/>
      <c r="P32" s="717"/>
    </row>
    <row r="33" spans="1:43" ht="20.25" customHeight="1" thickBot="1" x14ac:dyDescent="0.25">
      <c r="A33" s="710"/>
      <c r="B33" s="712"/>
      <c r="C33" s="714"/>
      <c r="D33" s="712"/>
      <c r="E33" s="713"/>
      <c r="F33" s="702"/>
      <c r="G33" s="702"/>
      <c r="H33" s="702"/>
      <c r="I33" s="702"/>
      <c r="J33" s="704"/>
      <c r="K33" s="701"/>
      <c r="L33" s="720"/>
      <c r="M33" s="722"/>
      <c r="N33" s="717"/>
      <c r="O33" s="720"/>
      <c r="P33" s="718"/>
    </row>
    <row r="34" spans="1:43" ht="12" thickBot="1" x14ac:dyDescent="0.25">
      <c r="A34" s="556" t="s">
        <v>685</v>
      </c>
      <c r="B34" s="518">
        <v>6935020.8890547836</v>
      </c>
      <c r="C34" s="519">
        <f>4227965.54281588*2.4</f>
        <v>10147117.302758111</v>
      </c>
      <c r="D34" s="539">
        <v>20200121.600114979</v>
      </c>
      <c r="E34" s="540">
        <f>13377052.9899529*2.4</f>
        <v>32104927.175886959</v>
      </c>
      <c r="F34" s="541">
        <f>550748627.977737*2.4</f>
        <v>1321796707.1465685</v>
      </c>
      <c r="G34" s="542">
        <v>552</v>
      </c>
      <c r="H34" s="542">
        <v>106</v>
      </c>
      <c r="I34" s="543">
        <v>49</v>
      </c>
      <c r="J34" s="544">
        <f>F34/C34</f>
        <v>130.26327258356301</v>
      </c>
      <c r="K34" s="545">
        <f>E34/C34</f>
        <v>3.1639456032661064</v>
      </c>
      <c r="L34" s="546">
        <f>E34/F34</f>
        <v>2.4288853953338664E-2</v>
      </c>
      <c r="M34" s="408">
        <v>81.537999999999997</v>
      </c>
      <c r="N34" s="545">
        <f>J34/M34</f>
        <v>1.5975774802369818</v>
      </c>
      <c r="O34" s="547">
        <f>B18</f>
        <v>2.2309999999999999</v>
      </c>
      <c r="P34" s="545">
        <f>N34</f>
        <v>1.5975774802369818</v>
      </c>
    </row>
    <row r="35" spans="1:43" x14ac:dyDescent="0.2">
      <c r="A35" s="319" t="s">
        <v>510</v>
      </c>
    </row>
    <row r="36" spans="1:43" x14ac:dyDescent="0.2">
      <c r="A36" s="319"/>
    </row>
    <row r="37" spans="1:43" x14ac:dyDescent="0.2">
      <c r="A37" s="319"/>
    </row>
    <row r="38" spans="1:43" x14ac:dyDescent="0.2">
      <c r="A38" s="3"/>
      <c r="B38" s="3"/>
      <c r="C38" s="3" t="s">
        <v>10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">
      <c r="A39" s="4" t="s">
        <v>713</v>
      </c>
      <c r="B39" s="4"/>
      <c r="C39" s="5"/>
      <c r="D39" s="5"/>
      <c r="E39" s="5">
        <v>2</v>
      </c>
      <c r="F39" s="5">
        <v>3</v>
      </c>
      <c r="G39" s="5">
        <v>4</v>
      </c>
      <c r="H39" s="5">
        <v>5</v>
      </c>
      <c r="I39" s="5">
        <v>6</v>
      </c>
      <c r="J39" s="5">
        <v>7</v>
      </c>
      <c r="K39" s="5">
        <v>8</v>
      </c>
      <c r="L39" s="5">
        <v>9</v>
      </c>
      <c r="M39" s="5">
        <v>10</v>
      </c>
      <c r="N39" s="5">
        <v>11</v>
      </c>
      <c r="O39" s="5">
        <v>12</v>
      </c>
      <c r="P39" s="5">
        <v>13</v>
      </c>
      <c r="Q39" s="5">
        <v>14</v>
      </c>
      <c r="R39" s="5">
        <v>15</v>
      </c>
      <c r="S39" s="5">
        <v>16</v>
      </c>
      <c r="T39" s="5">
        <v>17</v>
      </c>
      <c r="U39" s="5">
        <v>18</v>
      </c>
      <c r="V39" s="5">
        <v>19</v>
      </c>
      <c r="W39" s="5">
        <v>20</v>
      </c>
      <c r="X39" s="5">
        <v>21</v>
      </c>
      <c r="Y39" s="5">
        <v>22</v>
      </c>
      <c r="Z39" s="5">
        <v>23</v>
      </c>
      <c r="AA39" s="5">
        <v>24</v>
      </c>
      <c r="AB39" s="5">
        <v>25</v>
      </c>
      <c r="AC39" s="5">
        <v>26</v>
      </c>
      <c r="AD39" s="5">
        <v>27</v>
      </c>
      <c r="AE39" s="5">
        <v>28</v>
      </c>
      <c r="AF39" s="5">
        <v>29</v>
      </c>
      <c r="AG39" s="5">
        <v>30</v>
      </c>
      <c r="AH39" s="5">
        <v>31</v>
      </c>
      <c r="AI39" s="5">
        <v>32</v>
      </c>
      <c r="AJ39" s="5">
        <v>33</v>
      </c>
      <c r="AK39" s="5">
        <v>34</v>
      </c>
      <c r="AL39" s="5">
        <v>35</v>
      </c>
      <c r="AM39" s="5">
        <v>36</v>
      </c>
      <c r="AN39" s="5">
        <v>37</v>
      </c>
      <c r="AO39" s="5">
        <v>38</v>
      </c>
      <c r="AP39" s="5">
        <v>39</v>
      </c>
      <c r="AQ39" s="5">
        <v>40</v>
      </c>
    </row>
    <row r="40" spans="1:43" ht="12" thickBot="1" x14ac:dyDescent="0.25">
      <c r="A40" s="6" t="s">
        <v>33</v>
      </c>
      <c r="B40" s="354" t="s">
        <v>9</v>
      </c>
      <c r="C40" s="751">
        <v>2025</v>
      </c>
      <c r="D40" s="7">
        <v>2026</v>
      </c>
      <c r="E40" s="7">
        <v>2027</v>
      </c>
      <c r="F40" s="7">
        <v>2028</v>
      </c>
      <c r="G40" s="7">
        <v>2029</v>
      </c>
      <c r="H40" s="7">
        <v>2030</v>
      </c>
      <c r="I40" s="7">
        <v>2031</v>
      </c>
      <c r="J40" s="7">
        <v>2032</v>
      </c>
      <c r="K40" s="7">
        <v>2033</v>
      </c>
      <c r="L40" s="7">
        <v>2034</v>
      </c>
      <c r="M40" s="7">
        <v>2035</v>
      </c>
      <c r="N40" s="7">
        <v>2036</v>
      </c>
      <c r="O40" s="7">
        <v>2037</v>
      </c>
      <c r="P40" s="7">
        <v>2038</v>
      </c>
      <c r="Q40" s="7">
        <v>2039</v>
      </c>
      <c r="R40" s="7">
        <v>2040</v>
      </c>
      <c r="S40" s="7">
        <v>2041</v>
      </c>
      <c r="T40" s="7">
        <v>2042</v>
      </c>
      <c r="U40" s="7">
        <v>2043</v>
      </c>
      <c r="V40" s="7">
        <v>2044</v>
      </c>
      <c r="W40" s="7">
        <v>2045</v>
      </c>
      <c r="X40" s="7">
        <v>2046</v>
      </c>
      <c r="Y40" s="7">
        <v>2047</v>
      </c>
      <c r="Z40" s="7">
        <v>2048</v>
      </c>
      <c r="AA40" s="7">
        <v>2049</v>
      </c>
      <c r="AB40" s="7">
        <v>2050</v>
      </c>
      <c r="AC40" s="7">
        <v>2051</v>
      </c>
      <c r="AD40" s="7">
        <v>2052</v>
      </c>
      <c r="AE40" s="7">
        <v>2053</v>
      </c>
      <c r="AF40" s="7">
        <v>2054</v>
      </c>
      <c r="AG40" s="7">
        <v>2055</v>
      </c>
      <c r="AH40" s="7">
        <v>2056</v>
      </c>
      <c r="AI40" s="7">
        <v>2057</v>
      </c>
      <c r="AJ40" s="7">
        <v>2058</v>
      </c>
      <c r="AK40" s="7">
        <v>2059</v>
      </c>
      <c r="AL40" s="7">
        <v>2060</v>
      </c>
      <c r="AM40" s="7">
        <v>2061</v>
      </c>
      <c r="AN40" s="7">
        <v>2062</v>
      </c>
      <c r="AO40" s="7">
        <v>2063</v>
      </c>
      <c r="AP40" s="7">
        <v>2064</v>
      </c>
      <c r="AQ40" s="7">
        <v>2065</v>
      </c>
    </row>
    <row r="41" spans="1:43" x14ac:dyDescent="0.2">
      <c r="A41" s="557" t="s">
        <v>685</v>
      </c>
      <c r="B41" s="284">
        <f>SUM(D41:AQ41)</f>
        <v>225973232.80036795</v>
      </c>
      <c r="C41" s="750">
        <f>C34/2</f>
        <v>5073558.6513790553</v>
      </c>
      <c r="D41" s="9">
        <f>C41*1.01</f>
        <v>5124294.2378928456</v>
      </c>
      <c r="E41" s="9">
        <f t="shared" ref="E41:R41" si="0">D41*1.01</f>
        <v>5175537.1802717745</v>
      </c>
      <c r="F41" s="9">
        <f>E41*1.01</f>
        <v>5227292.552074492</v>
      </c>
      <c r="G41" s="9">
        <f t="shared" si="0"/>
        <v>5279565.4775952371</v>
      </c>
      <c r="H41" s="9">
        <f t="shared" si="0"/>
        <v>5332361.1323711891</v>
      </c>
      <c r="I41" s="9">
        <f t="shared" si="0"/>
        <v>5385684.7436949015</v>
      </c>
      <c r="J41" s="9">
        <f t="shared" si="0"/>
        <v>5439541.5911318501</v>
      </c>
      <c r="K41" s="9">
        <f t="shared" si="0"/>
        <v>5493937.0070431689</v>
      </c>
      <c r="L41" s="9">
        <f t="shared" si="0"/>
        <v>5548876.3771136003</v>
      </c>
      <c r="M41" s="9">
        <f t="shared" si="0"/>
        <v>5604365.1408847366</v>
      </c>
      <c r="N41" s="9">
        <f t="shared" si="0"/>
        <v>5660408.792293584</v>
      </c>
      <c r="O41" s="9">
        <f t="shared" si="0"/>
        <v>5717012.8802165203</v>
      </c>
      <c r="P41" s="9">
        <f t="shared" si="0"/>
        <v>5774183.0090186857</v>
      </c>
      <c r="Q41" s="9">
        <f t="shared" si="0"/>
        <v>5831924.8391088722</v>
      </c>
      <c r="R41" s="9">
        <f t="shared" si="0"/>
        <v>5890244.0874999613</v>
      </c>
      <c r="S41" s="9">
        <f>R41*0.998</f>
        <v>5878463.5993249612</v>
      </c>
      <c r="T41" s="9">
        <f t="shared" ref="T41:AQ41" si="1">S41*0.998</f>
        <v>5866706.6721263109</v>
      </c>
      <c r="U41" s="9">
        <f t="shared" si="1"/>
        <v>5854973.258782058</v>
      </c>
      <c r="V41" s="9">
        <f t="shared" si="1"/>
        <v>5843263.3122644937</v>
      </c>
      <c r="W41" s="9">
        <f t="shared" si="1"/>
        <v>5831576.785639965</v>
      </c>
      <c r="X41" s="9">
        <f t="shared" si="1"/>
        <v>5819913.6320686853</v>
      </c>
      <c r="Y41" s="9">
        <f t="shared" si="1"/>
        <v>5808273.8048045477</v>
      </c>
      <c r="Z41" s="9">
        <f t="shared" si="1"/>
        <v>5796657.2571949381</v>
      </c>
      <c r="AA41" s="9">
        <f t="shared" si="1"/>
        <v>5785063.9426805479</v>
      </c>
      <c r="AB41" s="9">
        <f t="shared" si="1"/>
        <v>5773493.8147951867</v>
      </c>
      <c r="AC41" s="9">
        <f t="shared" si="1"/>
        <v>5761946.8271655962</v>
      </c>
      <c r="AD41" s="9">
        <f t="shared" si="1"/>
        <v>5750422.9335112646</v>
      </c>
      <c r="AE41" s="9">
        <f t="shared" si="1"/>
        <v>5738922.0876442418</v>
      </c>
      <c r="AF41" s="9">
        <f t="shared" si="1"/>
        <v>5727444.2434689533</v>
      </c>
      <c r="AG41" s="9">
        <f t="shared" si="1"/>
        <v>5715989.3549820157</v>
      </c>
      <c r="AH41" s="9">
        <f t="shared" si="1"/>
        <v>5704557.3762720516</v>
      </c>
      <c r="AI41" s="9">
        <f t="shared" si="1"/>
        <v>5693148.2615195075</v>
      </c>
      <c r="AJ41" s="9">
        <f t="shared" si="1"/>
        <v>5681761.9649964683</v>
      </c>
      <c r="AK41" s="9">
        <f t="shared" si="1"/>
        <v>5670398.4410664756</v>
      </c>
      <c r="AL41" s="9">
        <f t="shared" si="1"/>
        <v>5659057.6441843426</v>
      </c>
      <c r="AM41" s="9">
        <f t="shared" si="1"/>
        <v>5647739.5288959742</v>
      </c>
      <c r="AN41" s="9">
        <f t="shared" si="1"/>
        <v>5636444.0498381825</v>
      </c>
      <c r="AO41" s="9">
        <f t="shared" si="1"/>
        <v>5625171.1617385065</v>
      </c>
      <c r="AP41" s="9">
        <f t="shared" si="1"/>
        <v>5613920.8194150291</v>
      </c>
      <c r="AQ41" s="9">
        <f t="shared" si="1"/>
        <v>5602692.9777761986</v>
      </c>
    </row>
    <row r="44" spans="1:43" x14ac:dyDescent="0.2">
      <c r="A44" s="3"/>
      <c r="B44" s="3"/>
      <c r="C44" s="3" t="s">
        <v>10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x14ac:dyDescent="0.2">
      <c r="A45" s="4" t="s">
        <v>714</v>
      </c>
      <c r="B45" s="4"/>
      <c r="C45" s="5">
        <v>0</v>
      </c>
      <c r="D45" s="5">
        <v>1</v>
      </c>
      <c r="E45" s="5">
        <v>2</v>
      </c>
      <c r="F45" s="5">
        <v>3</v>
      </c>
      <c r="G45" s="5">
        <v>4</v>
      </c>
      <c r="H45" s="5">
        <v>5</v>
      </c>
      <c r="I45" s="5">
        <v>6</v>
      </c>
      <c r="J45" s="5">
        <v>7</v>
      </c>
      <c r="K45" s="5">
        <v>8</v>
      </c>
      <c r="L45" s="5">
        <v>9</v>
      </c>
      <c r="M45" s="5">
        <v>10</v>
      </c>
      <c r="N45" s="5">
        <v>11</v>
      </c>
      <c r="O45" s="5">
        <v>12</v>
      </c>
      <c r="P45" s="5">
        <v>13</v>
      </c>
      <c r="Q45" s="5">
        <v>14</v>
      </c>
      <c r="R45" s="5">
        <v>15</v>
      </c>
      <c r="S45" s="5">
        <v>16</v>
      </c>
      <c r="T45" s="5">
        <v>17</v>
      </c>
      <c r="U45" s="5">
        <v>18</v>
      </c>
      <c r="V45" s="5">
        <v>19</v>
      </c>
      <c r="W45" s="5">
        <v>20</v>
      </c>
      <c r="X45" s="5">
        <v>21</v>
      </c>
      <c r="Y45" s="5">
        <v>22</v>
      </c>
      <c r="Z45" s="5">
        <v>23</v>
      </c>
      <c r="AA45" s="5">
        <v>24</v>
      </c>
      <c r="AB45" s="5">
        <v>25</v>
      </c>
      <c r="AC45" s="5">
        <v>26</v>
      </c>
      <c r="AD45" s="5">
        <v>27</v>
      </c>
      <c r="AE45" s="5">
        <v>28</v>
      </c>
      <c r="AF45" s="5">
        <v>29</v>
      </c>
      <c r="AG45" s="5">
        <v>30</v>
      </c>
      <c r="AH45" s="5">
        <v>31</v>
      </c>
      <c r="AI45" s="5">
        <v>32</v>
      </c>
      <c r="AJ45" s="5">
        <v>33</v>
      </c>
      <c r="AK45" s="5">
        <v>34</v>
      </c>
      <c r="AL45" s="5">
        <v>35</v>
      </c>
      <c r="AM45" s="5">
        <v>36</v>
      </c>
      <c r="AN45" s="5">
        <v>37</v>
      </c>
      <c r="AO45" s="5">
        <v>38</v>
      </c>
      <c r="AP45" s="5">
        <v>39</v>
      </c>
      <c r="AQ45" s="5">
        <v>40</v>
      </c>
    </row>
    <row r="46" spans="1:43" ht="12" thickBot="1" x14ac:dyDescent="0.25">
      <c r="A46" s="350" t="s">
        <v>33</v>
      </c>
      <c r="B46" s="6" t="s">
        <v>9</v>
      </c>
      <c r="C46" s="751">
        <v>2025</v>
      </c>
      <c r="D46" s="356">
        <v>2026</v>
      </c>
      <c r="E46" s="356">
        <v>2027</v>
      </c>
      <c r="F46" s="356">
        <v>2028</v>
      </c>
      <c r="G46" s="356">
        <v>2029</v>
      </c>
      <c r="H46" s="356">
        <v>2030</v>
      </c>
      <c r="I46" s="356">
        <v>2031</v>
      </c>
      <c r="J46" s="356">
        <v>2032</v>
      </c>
      <c r="K46" s="356">
        <v>2033</v>
      </c>
      <c r="L46" s="356">
        <v>2034</v>
      </c>
      <c r="M46" s="356">
        <v>2035</v>
      </c>
      <c r="N46" s="356">
        <v>2036</v>
      </c>
      <c r="O46" s="356">
        <v>2037</v>
      </c>
      <c r="P46" s="356">
        <v>2038</v>
      </c>
      <c r="Q46" s="356">
        <v>2039</v>
      </c>
      <c r="R46" s="356">
        <v>2040</v>
      </c>
      <c r="S46" s="356">
        <v>2041</v>
      </c>
      <c r="T46" s="356">
        <v>2042</v>
      </c>
      <c r="U46" s="356">
        <v>2043</v>
      </c>
      <c r="V46" s="356">
        <v>2044</v>
      </c>
      <c r="W46" s="356">
        <v>2045</v>
      </c>
      <c r="X46" s="356">
        <v>2046</v>
      </c>
      <c r="Y46" s="356">
        <v>2047</v>
      </c>
      <c r="Z46" s="356">
        <v>2048</v>
      </c>
      <c r="AA46" s="356">
        <v>2049</v>
      </c>
      <c r="AB46" s="356">
        <v>2050</v>
      </c>
      <c r="AC46" s="356">
        <v>2051</v>
      </c>
      <c r="AD46" s="356">
        <v>2052</v>
      </c>
      <c r="AE46" s="356">
        <v>2053</v>
      </c>
      <c r="AF46" s="356">
        <v>2054</v>
      </c>
      <c r="AG46" s="356">
        <v>2055</v>
      </c>
      <c r="AH46" s="356">
        <v>2056</v>
      </c>
      <c r="AI46" s="356">
        <v>2057</v>
      </c>
      <c r="AJ46" s="356">
        <v>2058</v>
      </c>
      <c r="AK46" s="356">
        <v>2059</v>
      </c>
      <c r="AL46" s="356">
        <v>2060</v>
      </c>
      <c r="AM46" s="356">
        <v>2061</v>
      </c>
      <c r="AN46" s="356">
        <v>2062</v>
      </c>
      <c r="AO46" s="356">
        <v>2063</v>
      </c>
      <c r="AP46" s="356">
        <v>2064</v>
      </c>
      <c r="AQ46" s="356">
        <v>2065</v>
      </c>
    </row>
    <row r="47" spans="1:43" x14ac:dyDescent="0.2">
      <c r="A47" s="557" t="s">
        <v>685</v>
      </c>
      <c r="B47" s="284">
        <f>SUM(D47:AQ47)</f>
        <v>714967016.37455261</v>
      </c>
      <c r="C47" s="750">
        <f>C41*$J$34*$L$34</f>
        <v>16052463.587943479</v>
      </c>
      <c r="D47" s="9">
        <f>D41*$J$34*$L$34</f>
        <v>16212988.223822912</v>
      </c>
      <c r="E47" s="9">
        <f t="shared" ref="E47:AQ47" si="2">E41*$J$34*$L$34</f>
        <v>16375118.106061142</v>
      </c>
      <c r="F47" s="9">
        <f t="shared" si="2"/>
        <v>16538869.287121752</v>
      </c>
      <c r="G47" s="9">
        <f t="shared" si="2"/>
        <v>16704257.979992973</v>
      </c>
      <c r="H47" s="9">
        <f t="shared" si="2"/>
        <v>16871300.559792899</v>
      </c>
      <c r="I47" s="9">
        <f t="shared" si="2"/>
        <v>17040013.565390829</v>
      </c>
      <c r="J47" s="9">
        <f t="shared" si="2"/>
        <v>17210413.701044738</v>
      </c>
      <c r="K47" s="9">
        <f t="shared" si="2"/>
        <v>17382517.838055186</v>
      </c>
      <c r="L47" s="9">
        <f t="shared" si="2"/>
        <v>17556343.016435739</v>
      </c>
      <c r="M47" s="9">
        <f t="shared" si="2"/>
        <v>17731906.446600094</v>
      </c>
      <c r="N47" s="9">
        <f t="shared" si="2"/>
        <v>17909225.511066094</v>
      </c>
      <c r="O47" s="9">
        <f t="shared" si="2"/>
        <v>18088317.766176756</v>
      </c>
      <c r="P47" s="9">
        <f t="shared" si="2"/>
        <v>18269200.943838526</v>
      </c>
      <c r="Q47" s="9">
        <f t="shared" si="2"/>
        <v>18451892.95327691</v>
      </c>
      <c r="R47" s="9">
        <f t="shared" si="2"/>
        <v>18636411.88280968</v>
      </c>
      <c r="S47" s="9">
        <f t="shared" si="2"/>
        <v>18599139.059044059</v>
      </c>
      <c r="T47" s="9">
        <f t="shared" si="2"/>
        <v>18561940.780925971</v>
      </c>
      <c r="U47" s="9">
        <f t="shared" si="2"/>
        <v>18524816.899364118</v>
      </c>
      <c r="V47" s="9">
        <f t="shared" si="2"/>
        <v>18487767.265565388</v>
      </c>
      <c r="W47" s="9">
        <f t="shared" si="2"/>
        <v>18450791.73103426</v>
      </c>
      <c r="X47" s="9">
        <f t="shared" si="2"/>
        <v>18413890.147572193</v>
      </c>
      <c r="Y47" s="9">
        <f t="shared" si="2"/>
        <v>18377062.367277049</v>
      </c>
      <c r="Z47" s="9">
        <f t="shared" si="2"/>
        <v>18340308.24254249</v>
      </c>
      <c r="AA47" s="9">
        <f t="shared" si="2"/>
        <v>18303627.626057405</v>
      </c>
      <c r="AB47" s="9">
        <f t="shared" si="2"/>
        <v>18267020.370805293</v>
      </c>
      <c r="AC47" s="9">
        <f t="shared" si="2"/>
        <v>18230486.330063682</v>
      </c>
      <c r="AD47" s="9">
        <f t="shared" si="2"/>
        <v>18194025.35740355</v>
      </c>
      <c r="AE47" s="9">
        <f t="shared" si="2"/>
        <v>18157637.306688741</v>
      </c>
      <c r="AF47" s="9">
        <f t="shared" si="2"/>
        <v>18121322.032075368</v>
      </c>
      <c r="AG47" s="9">
        <f t="shared" si="2"/>
        <v>18085079.388011217</v>
      </c>
      <c r="AH47" s="9">
        <f t="shared" si="2"/>
        <v>18048909.229235195</v>
      </c>
      <c r="AI47" s="9">
        <f t="shared" si="2"/>
        <v>18012811.410776723</v>
      </c>
      <c r="AJ47" s="9">
        <f t="shared" si="2"/>
        <v>17976785.787955169</v>
      </c>
      <c r="AK47" s="9">
        <f t="shared" si="2"/>
        <v>17940832.216379259</v>
      </c>
      <c r="AL47" s="9">
        <f t="shared" si="2"/>
        <v>17904950.551946498</v>
      </c>
      <c r="AM47" s="9">
        <f t="shared" si="2"/>
        <v>17869140.650842611</v>
      </c>
      <c r="AN47" s="9">
        <f t="shared" si="2"/>
        <v>17833402.369540922</v>
      </c>
      <c r="AO47" s="9">
        <f t="shared" si="2"/>
        <v>17797735.564801846</v>
      </c>
      <c r="AP47" s="9">
        <f t="shared" si="2"/>
        <v>17762140.093672238</v>
      </c>
      <c r="AQ47" s="9">
        <f t="shared" si="2"/>
        <v>17726615.813484892</v>
      </c>
    </row>
    <row r="50" spans="1:43" x14ac:dyDescent="0.2">
      <c r="A50" s="3"/>
      <c r="B50" s="3"/>
      <c r="C50" s="3" t="s">
        <v>10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2">
      <c r="A51" s="4" t="s">
        <v>715</v>
      </c>
      <c r="B51" s="4"/>
      <c r="C51" s="5">
        <v>0</v>
      </c>
      <c r="D51" s="5">
        <v>1</v>
      </c>
      <c r="E51" s="5">
        <v>2</v>
      </c>
      <c r="F51" s="5">
        <v>3</v>
      </c>
      <c r="G51" s="5">
        <v>4</v>
      </c>
      <c r="H51" s="5">
        <v>5</v>
      </c>
      <c r="I51" s="5">
        <v>6</v>
      </c>
      <c r="J51" s="5">
        <v>7</v>
      </c>
      <c r="K51" s="5">
        <v>8</v>
      </c>
      <c r="L51" s="5">
        <v>9</v>
      </c>
      <c r="M51" s="5">
        <v>10</v>
      </c>
      <c r="N51" s="5">
        <v>11</v>
      </c>
      <c r="O51" s="5">
        <v>12</v>
      </c>
      <c r="P51" s="5">
        <v>13</v>
      </c>
      <c r="Q51" s="5">
        <v>14</v>
      </c>
      <c r="R51" s="5">
        <v>15</v>
      </c>
      <c r="S51" s="5">
        <v>16</v>
      </c>
      <c r="T51" s="5">
        <v>17</v>
      </c>
      <c r="U51" s="5">
        <v>18</v>
      </c>
      <c r="V51" s="5">
        <v>19</v>
      </c>
      <c r="W51" s="5">
        <v>20</v>
      </c>
      <c r="X51" s="5">
        <v>21</v>
      </c>
      <c r="Y51" s="5">
        <v>22</v>
      </c>
      <c r="Z51" s="5">
        <v>23</v>
      </c>
      <c r="AA51" s="5">
        <v>24</v>
      </c>
      <c r="AB51" s="5">
        <v>25</v>
      </c>
      <c r="AC51" s="5">
        <v>26</v>
      </c>
      <c r="AD51" s="5">
        <v>27</v>
      </c>
      <c r="AE51" s="5">
        <v>28</v>
      </c>
      <c r="AF51" s="5">
        <v>29</v>
      </c>
      <c r="AG51" s="5">
        <v>30</v>
      </c>
      <c r="AH51" s="5">
        <v>31</v>
      </c>
      <c r="AI51" s="5">
        <v>32</v>
      </c>
      <c r="AJ51" s="5">
        <v>33</v>
      </c>
      <c r="AK51" s="5">
        <v>34</v>
      </c>
      <c r="AL51" s="5">
        <v>35</v>
      </c>
      <c r="AM51" s="5">
        <v>36</v>
      </c>
      <c r="AN51" s="5">
        <v>37</v>
      </c>
      <c r="AO51" s="5">
        <v>38</v>
      </c>
      <c r="AP51" s="5">
        <v>39</v>
      </c>
      <c r="AQ51" s="5">
        <v>40</v>
      </c>
    </row>
    <row r="52" spans="1:43" ht="12" thickBot="1" x14ac:dyDescent="0.25">
      <c r="A52" s="6" t="s">
        <v>33</v>
      </c>
      <c r="B52" s="354" t="s">
        <v>9</v>
      </c>
      <c r="C52" s="751">
        <v>2025</v>
      </c>
      <c r="D52" s="7">
        <v>2026</v>
      </c>
      <c r="E52" s="7">
        <v>2027</v>
      </c>
      <c r="F52" s="7">
        <v>2028</v>
      </c>
      <c r="G52" s="7">
        <v>2029</v>
      </c>
      <c r="H52" s="7">
        <v>2030</v>
      </c>
      <c r="I52" s="7">
        <v>2031</v>
      </c>
      <c r="J52" s="7">
        <v>2032</v>
      </c>
      <c r="K52" s="7">
        <v>2033</v>
      </c>
      <c r="L52" s="7">
        <v>2034</v>
      </c>
      <c r="M52" s="7">
        <v>2035</v>
      </c>
      <c r="N52" s="7">
        <v>2036</v>
      </c>
      <c r="O52" s="7">
        <v>2037</v>
      </c>
      <c r="P52" s="7">
        <v>2038</v>
      </c>
      <c r="Q52" s="7">
        <v>2039</v>
      </c>
      <c r="R52" s="7">
        <v>2040</v>
      </c>
      <c r="S52" s="7">
        <v>2041</v>
      </c>
      <c r="T52" s="7">
        <v>2042</v>
      </c>
      <c r="U52" s="7">
        <v>2043</v>
      </c>
      <c r="V52" s="7">
        <v>2044</v>
      </c>
      <c r="W52" s="7">
        <v>2045</v>
      </c>
      <c r="X52" s="7">
        <v>2046</v>
      </c>
      <c r="Y52" s="7">
        <v>2047</v>
      </c>
      <c r="Z52" s="7">
        <v>2048</v>
      </c>
      <c r="AA52" s="7">
        <v>2049</v>
      </c>
      <c r="AB52" s="7">
        <v>2050</v>
      </c>
      <c r="AC52" s="7">
        <v>2051</v>
      </c>
      <c r="AD52" s="7">
        <v>2052</v>
      </c>
      <c r="AE52" s="7">
        <v>2053</v>
      </c>
      <c r="AF52" s="7">
        <v>2054</v>
      </c>
      <c r="AG52" s="7">
        <v>2055</v>
      </c>
      <c r="AH52" s="7">
        <v>2056</v>
      </c>
      <c r="AI52" s="7">
        <v>2057</v>
      </c>
      <c r="AJ52" s="7">
        <v>2058</v>
      </c>
      <c r="AK52" s="7">
        <v>2059</v>
      </c>
      <c r="AL52" s="7">
        <v>2060</v>
      </c>
      <c r="AM52" s="7">
        <v>2061</v>
      </c>
      <c r="AN52" s="7">
        <v>2062</v>
      </c>
      <c r="AO52" s="7">
        <v>2063</v>
      </c>
      <c r="AP52" s="7">
        <v>2064</v>
      </c>
      <c r="AQ52" s="7">
        <v>2065</v>
      </c>
    </row>
    <row r="53" spans="1:43" x14ac:dyDescent="0.2">
      <c r="A53" s="557" t="s">
        <v>685</v>
      </c>
      <c r="B53" s="284">
        <f>SUM(D53:AQ53)</f>
        <v>29436012820.863262</v>
      </c>
      <c r="C53" s="355"/>
      <c r="D53" s="9">
        <f>D41*$J$34</f>
        <v>667507337.10901701</v>
      </c>
      <c r="E53" s="9">
        <f t="shared" ref="E53:AQ53" si="3">E41*$J$34</f>
        <v>674182410.48010719</v>
      </c>
      <c r="F53" s="9">
        <f t="shared" si="3"/>
        <v>680924234.58490825</v>
      </c>
      <c r="G53" s="9">
        <f t="shared" si="3"/>
        <v>687733476.9307574</v>
      </c>
      <c r="H53" s="9">
        <f t="shared" si="3"/>
        <v>694610811.7000649</v>
      </c>
      <c r="I53" s="9">
        <f t="shared" si="3"/>
        <v>701556919.8170656</v>
      </c>
      <c r="J53" s="9">
        <f t="shared" si="3"/>
        <v>708572489.01523626</v>
      </c>
      <c r="K53" s="9">
        <f t="shared" si="3"/>
        <v>715658213.90538859</v>
      </c>
      <c r="L53" s="9">
        <f t="shared" si="3"/>
        <v>722814796.04444253</v>
      </c>
      <c r="M53" s="9">
        <f t="shared" si="3"/>
        <v>730042944.00488698</v>
      </c>
      <c r="N53" s="9">
        <f t="shared" si="3"/>
        <v>737343373.4449358</v>
      </c>
      <c r="O53" s="9">
        <f t="shared" si="3"/>
        <v>744716807.17938519</v>
      </c>
      <c r="P53" s="9">
        <f t="shared" si="3"/>
        <v>752163975.2511791</v>
      </c>
      <c r="Q53" s="9">
        <f t="shared" si="3"/>
        <v>759685615.00369084</v>
      </c>
      <c r="R53" s="9">
        <f t="shared" si="3"/>
        <v>767282471.15372777</v>
      </c>
      <c r="S53" s="9">
        <f t="shared" si="3"/>
        <v>765747906.2114203</v>
      </c>
      <c r="T53" s="9">
        <f t="shared" si="3"/>
        <v>764216410.39899743</v>
      </c>
      <c r="U53" s="9">
        <f t="shared" si="3"/>
        <v>762687977.57819939</v>
      </c>
      <c r="V53" s="9">
        <f t="shared" si="3"/>
        <v>761162601.62304294</v>
      </c>
      <c r="W53" s="9">
        <f t="shared" si="3"/>
        <v>759640276.41979694</v>
      </c>
      <c r="X53" s="9">
        <f t="shared" si="3"/>
        <v>758120995.86695743</v>
      </c>
      <c r="Y53" s="9">
        <f t="shared" si="3"/>
        <v>756604753.8752234</v>
      </c>
      <c r="Z53" s="9">
        <f t="shared" si="3"/>
        <v>755091544.36747289</v>
      </c>
      <c r="AA53" s="9">
        <f t="shared" si="3"/>
        <v>753581361.2787379</v>
      </c>
      <c r="AB53" s="9">
        <f t="shared" si="3"/>
        <v>752074198.55618048</v>
      </c>
      <c r="AC53" s="9">
        <f t="shared" si="3"/>
        <v>750570050.15906811</v>
      </c>
      <c r="AD53" s="9">
        <f t="shared" si="3"/>
        <v>749068910.05874991</v>
      </c>
      <c r="AE53" s="9">
        <f t="shared" si="3"/>
        <v>747570772.23863232</v>
      </c>
      <c r="AF53" s="9">
        <f t="shared" si="3"/>
        <v>746075630.6941551</v>
      </c>
      <c r="AG53" s="9">
        <f t="shared" si="3"/>
        <v>744583479.4327668</v>
      </c>
      <c r="AH53" s="9">
        <f t="shared" si="3"/>
        <v>743094312.47390127</v>
      </c>
      <c r="AI53" s="9">
        <f t="shared" si="3"/>
        <v>741608123.84895349</v>
      </c>
      <c r="AJ53" s="9">
        <f t="shared" si="3"/>
        <v>740124907.60125554</v>
      </c>
      <c r="AK53" s="9">
        <f t="shared" si="3"/>
        <v>738644657.78605306</v>
      </c>
      <c r="AL53" s="9">
        <f t="shared" si="3"/>
        <v>737167368.47048092</v>
      </c>
      <c r="AM53" s="9">
        <f t="shared" si="3"/>
        <v>735693033.73354006</v>
      </c>
      <c r="AN53" s="9">
        <f t="shared" si="3"/>
        <v>734221647.66607296</v>
      </c>
      <c r="AO53" s="9">
        <f t="shared" si="3"/>
        <v>732753204.37074089</v>
      </c>
      <c r="AP53" s="9">
        <f t="shared" si="3"/>
        <v>731287697.9619993</v>
      </c>
      <c r="AQ53" s="9">
        <f t="shared" si="3"/>
        <v>729825122.56607533</v>
      </c>
    </row>
    <row r="56" spans="1:43" x14ac:dyDescent="0.2">
      <c r="A56" s="3"/>
      <c r="B56" s="3"/>
      <c r="C56" s="3" t="s">
        <v>10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2">
      <c r="A57" s="4" t="s">
        <v>716</v>
      </c>
      <c r="B57" s="4"/>
      <c r="C57" s="5">
        <v>0</v>
      </c>
      <c r="D57" s="5">
        <v>1</v>
      </c>
      <c r="E57" s="5">
        <v>2</v>
      </c>
      <c r="F57" s="5">
        <v>3</v>
      </c>
      <c r="G57" s="5">
        <v>4</v>
      </c>
      <c r="H57" s="5">
        <v>5</v>
      </c>
      <c r="I57" s="5">
        <v>6</v>
      </c>
      <c r="J57" s="5">
        <v>7</v>
      </c>
      <c r="K57" s="5">
        <v>8</v>
      </c>
      <c r="L57" s="5">
        <v>9</v>
      </c>
      <c r="M57" s="5">
        <v>10</v>
      </c>
      <c r="N57" s="5">
        <v>11</v>
      </c>
      <c r="O57" s="5">
        <v>12</v>
      </c>
      <c r="P57" s="5">
        <v>13</v>
      </c>
      <c r="Q57" s="5">
        <v>14</v>
      </c>
      <c r="R57" s="5">
        <v>15</v>
      </c>
      <c r="S57" s="5">
        <v>16</v>
      </c>
      <c r="T57" s="5">
        <v>17</v>
      </c>
      <c r="U57" s="5">
        <v>18</v>
      </c>
      <c r="V57" s="5">
        <v>19</v>
      </c>
      <c r="W57" s="5">
        <v>20</v>
      </c>
      <c r="X57" s="5">
        <v>21</v>
      </c>
      <c r="Y57" s="5">
        <v>22</v>
      </c>
      <c r="Z57" s="5">
        <v>23</v>
      </c>
      <c r="AA57" s="5">
        <v>24</v>
      </c>
      <c r="AB57" s="5">
        <v>25</v>
      </c>
      <c r="AC57" s="5">
        <v>26</v>
      </c>
      <c r="AD57" s="5">
        <v>27</v>
      </c>
      <c r="AE57" s="5">
        <v>28</v>
      </c>
      <c r="AF57" s="5">
        <v>29</v>
      </c>
      <c r="AG57" s="5">
        <v>30</v>
      </c>
      <c r="AH57" s="5">
        <v>31</v>
      </c>
      <c r="AI57" s="5">
        <v>32</v>
      </c>
      <c r="AJ57" s="5">
        <v>33</v>
      </c>
      <c r="AK57" s="5">
        <v>34</v>
      </c>
      <c r="AL57" s="5">
        <v>35</v>
      </c>
      <c r="AM57" s="5">
        <v>36</v>
      </c>
      <c r="AN57" s="5">
        <v>37</v>
      </c>
      <c r="AO57" s="5">
        <v>38</v>
      </c>
      <c r="AP57" s="5">
        <v>39</v>
      </c>
      <c r="AQ57" s="5">
        <v>40</v>
      </c>
    </row>
    <row r="58" spans="1:43" ht="13.5" customHeight="1" thickBot="1" x14ac:dyDescent="0.25">
      <c r="A58" s="6" t="s">
        <v>33</v>
      </c>
      <c r="B58" s="354" t="s">
        <v>9</v>
      </c>
      <c r="C58" s="751">
        <v>2025</v>
      </c>
      <c r="D58" s="7">
        <v>2026</v>
      </c>
      <c r="E58" s="7">
        <v>2027</v>
      </c>
      <c r="F58" s="7">
        <v>2028</v>
      </c>
      <c r="G58" s="7">
        <v>2029</v>
      </c>
      <c r="H58" s="7">
        <v>2030</v>
      </c>
      <c r="I58" s="7">
        <v>2031</v>
      </c>
      <c r="J58" s="7">
        <v>2032</v>
      </c>
      <c r="K58" s="7">
        <v>2033</v>
      </c>
      <c r="L58" s="7">
        <v>2034</v>
      </c>
      <c r="M58" s="7">
        <v>2035</v>
      </c>
      <c r="N58" s="7">
        <v>2036</v>
      </c>
      <c r="O58" s="7">
        <v>2037</v>
      </c>
      <c r="P58" s="7">
        <v>2038</v>
      </c>
      <c r="Q58" s="7">
        <v>2039</v>
      </c>
      <c r="R58" s="7">
        <v>2040</v>
      </c>
      <c r="S58" s="7">
        <v>2041</v>
      </c>
      <c r="T58" s="7">
        <v>2042</v>
      </c>
      <c r="U58" s="7">
        <v>2043</v>
      </c>
      <c r="V58" s="7">
        <v>2044</v>
      </c>
      <c r="W58" s="7">
        <v>2045</v>
      </c>
      <c r="X58" s="7">
        <v>2046</v>
      </c>
      <c r="Y58" s="7">
        <v>2047</v>
      </c>
      <c r="Z58" s="7">
        <v>2048</v>
      </c>
      <c r="AA58" s="7">
        <v>2049</v>
      </c>
      <c r="AB58" s="7">
        <v>2050</v>
      </c>
      <c r="AC58" s="7">
        <v>2051</v>
      </c>
      <c r="AD58" s="7">
        <v>2052</v>
      </c>
      <c r="AE58" s="7">
        <v>2053</v>
      </c>
      <c r="AF58" s="7">
        <v>2054</v>
      </c>
      <c r="AG58" s="7">
        <v>2055</v>
      </c>
      <c r="AH58" s="7">
        <v>2056</v>
      </c>
      <c r="AI58" s="7">
        <v>2057</v>
      </c>
      <c r="AJ58" s="7">
        <v>2058</v>
      </c>
      <c r="AK58" s="7">
        <v>2059</v>
      </c>
      <c r="AL58" s="7">
        <v>2060</v>
      </c>
      <c r="AM58" s="7">
        <v>2061</v>
      </c>
      <c r="AN58" s="7">
        <v>2062</v>
      </c>
      <c r="AO58" s="7">
        <v>2063</v>
      </c>
      <c r="AP58" s="7">
        <v>2064</v>
      </c>
      <c r="AQ58" s="7">
        <v>2065</v>
      </c>
    </row>
    <row r="59" spans="1:43" x14ac:dyDescent="0.2">
      <c r="A59" s="557" t="s">
        <v>685</v>
      </c>
      <c r="B59" s="284">
        <f>SUM(D59:AQ59)</f>
        <v>361009747.85821664</v>
      </c>
      <c r="C59" s="355"/>
      <c r="D59" s="9">
        <f>D41*$N$34</f>
        <v>8186457.0765657369</v>
      </c>
      <c r="E59" s="9">
        <f t="shared" ref="E59:AQ59" si="4">E41*$N$34</f>
        <v>8268321.6473313952</v>
      </c>
      <c r="F59" s="9">
        <f t="shared" si="4"/>
        <v>8351004.8638047082</v>
      </c>
      <c r="G59" s="9">
        <f t="shared" si="4"/>
        <v>8434514.9124427568</v>
      </c>
      <c r="H59" s="9">
        <f t="shared" si="4"/>
        <v>8518860.0615671836</v>
      </c>
      <c r="I59" s="9">
        <f t="shared" si="4"/>
        <v>8604048.6621828564</v>
      </c>
      <c r="J59" s="9">
        <f t="shared" si="4"/>
        <v>8690089.1488046832</v>
      </c>
      <c r="K59" s="9">
        <f t="shared" si="4"/>
        <v>8776990.0402927306</v>
      </c>
      <c r="L59" s="9">
        <f t="shared" si="4"/>
        <v>8864759.9406956583</v>
      </c>
      <c r="M59" s="9">
        <f t="shared" si="4"/>
        <v>8953407.5401026141</v>
      </c>
      <c r="N59" s="9">
        <f t="shared" si="4"/>
        <v>9042941.6155036408</v>
      </c>
      <c r="O59" s="9">
        <f t="shared" si="4"/>
        <v>9133371.0316586774</v>
      </c>
      <c r="P59" s="9">
        <f t="shared" si="4"/>
        <v>9224704.7419752646</v>
      </c>
      <c r="Q59" s="9">
        <f t="shared" si="4"/>
        <v>9316951.7893950175</v>
      </c>
      <c r="R59" s="9">
        <f t="shared" si="4"/>
        <v>9410121.3072889689</v>
      </c>
      <c r="S59" s="9">
        <f t="shared" si="4"/>
        <v>9391301.0646743905</v>
      </c>
      <c r="T59" s="9">
        <f t="shared" si="4"/>
        <v>9372518.462545041</v>
      </c>
      <c r="U59" s="9">
        <f t="shared" si="4"/>
        <v>9353773.4256199505</v>
      </c>
      <c r="V59" s="9">
        <f t="shared" si="4"/>
        <v>9335065.8787687104</v>
      </c>
      <c r="W59" s="9">
        <f t="shared" si="4"/>
        <v>9316395.7470111735</v>
      </c>
      <c r="X59" s="9">
        <f t="shared" si="4"/>
        <v>9297762.9555171505</v>
      </c>
      <c r="Y59" s="9">
        <f t="shared" si="4"/>
        <v>9279167.4296061154</v>
      </c>
      <c r="Z59" s="9">
        <f t="shared" si="4"/>
        <v>9260609.0947469026</v>
      </c>
      <c r="AA59" s="9">
        <f t="shared" si="4"/>
        <v>9242087.8765574098</v>
      </c>
      <c r="AB59" s="9">
        <f t="shared" si="4"/>
        <v>9223603.7008042932</v>
      </c>
      <c r="AC59" s="9">
        <f t="shared" si="4"/>
        <v>9205156.4934026841</v>
      </c>
      <c r="AD59" s="9">
        <f t="shared" si="4"/>
        <v>9186746.1804158799</v>
      </c>
      <c r="AE59" s="9">
        <f t="shared" si="4"/>
        <v>9168372.6880550459</v>
      </c>
      <c r="AF59" s="9">
        <f t="shared" si="4"/>
        <v>9150035.9426789358</v>
      </c>
      <c r="AG59" s="9">
        <f t="shared" si="4"/>
        <v>9131735.8707935791</v>
      </c>
      <c r="AH59" s="9">
        <f t="shared" si="4"/>
        <v>9113472.3990519922</v>
      </c>
      <c r="AI59" s="9">
        <f t="shared" si="4"/>
        <v>9095245.4542538878</v>
      </c>
      <c r="AJ59" s="9">
        <f t="shared" si="4"/>
        <v>9077054.9633453805</v>
      </c>
      <c r="AK59" s="9">
        <f t="shared" si="4"/>
        <v>9058900.8534186892</v>
      </c>
      <c r="AL59" s="9">
        <f t="shared" si="4"/>
        <v>9040783.0517118517</v>
      </c>
      <c r="AM59" s="9">
        <f t="shared" si="4"/>
        <v>9022701.4856084287</v>
      </c>
      <c r="AN59" s="9">
        <f t="shared" si="4"/>
        <v>9004656.0826372132</v>
      </c>
      <c r="AO59" s="9">
        <f t="shared" si="4"/>
        <v>8986646.770471938</v>
      </c>
      <c r="AP59" s="9">
        <f t="shared" si="4"/>
        <v>8968673.4769309945</v>
      </c>
      <c r="AQ59" s="9">
        <f t="shared" si="4"/>
        <v>8950736.1299771313</v>
      </c>
    </row>
    <row r="60" spans="1:43" x14ac:dyDescent="0.2">
      <c r="A60" s="319"/>
    </row>
    <row r="61" spans="1:43" x14ac:dyDescent="0.2">
      <c r="A61" s="319"/>
    </row>
    <row r="62" spans="1:43" x14ac:dyDescent="0.2">
      <c r="A62" s="3"/>
      <c r="B62" s="3"/>
      <c r="C62" s="3" t="s">
        <v>10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2">
      <c r="A63" s="4" t="s">
        <v>717</v>
      </c>
      <c r="B63" s="4"/>
      <c r="C63" s="5">
        <v>0</v>
      </c>
      <c r="D63" s="5">
        <v>1</v>
      </c>
      <c r="E63" s="5">
        <v>2</v>
      </c>
      <c r="F63" s="5">
        <v>3</v>
      </c>
      <c r="G63" s="5">
        <v>4</v>
      </c>
      <c r="H63" s="5">
        <v>5</v>
      </c>
      <c r="I63" s="5">
        <v>6</v>
      </c>
      <c r="J63" s="5">
        <v>7</v>
      </c>
      <c r="K63" s="5">
        <v>8</v>
      </c>
      <c r="L63" s="5">
        <v>9</v>
      </c>
      <c r="M63" s="5">
        <v>10</v>
      </c>
      <c r="N63" s="5">
        <v>11</v>
      </c>
      <c r="O63" s="5">
        <v>12</v>
      </c>
      <c r="P63" s="5">
        <v>13</v>
      </c>
      <c r="Q63" s="5">
        <v>14</v>
      </c>
      <c r="R63" s="5">
        <v>15</v>
      </c>
      <c r="S63" s="5">
        <v>16</v>
      </c>
      <c r="T63" s="5">
        <v>17</v>
      </c>
      <c r="U63" s="5">
        <v>18</v>
      </c>
      <c r="V63" s="5">
        <v>19</v>
      </c>
      <c r="W63" s="5">
        <v>20</v>
      </c>
      <c r="X63" s="5">
        <v>21</v>
      </c>
      <c r="Y63" s="5">
        <v>22</v>
      </c>
      <c r="Z63" s="5">
        <v>23</v>
      </c>
      <c r="AA63" s="5">
        <v>24</v>
      </c>
      <c r="AB63" s="5">
        <v>25</v>
      </c>
      <c r="AC63" s="5">
        <v>26</v>
      </c>
      <c r="AD63" s="5">
        <v>27</v>
      </c>
      <c r="AE63" s="5">
        <v>28</v>
      </c>
      <c r="AF63" s="5">
        <v>29</v>
      </c>
      <c r="AG63" s="5">
        <v>30</v>
      </c>
      <c r="AH63" s="5">
        <v>31</v>
      </c>
      <c r="AI63" s="5">
        <v>32</v>
      </c>
      <c r="AJ63" s="5">
        <v>33</v>
      </c>
      <c r="AK63" s="5">
        <v>34</v>
      </c>
      <c r="AL63" s="5">
        <v>35</v>
      </c>
      <c r="AM63" s="5">
        <v>36</v>
      </c>
      <c r="AN63" s="5">
        <v>37</v>
      </c>
      <c r="AO63" s="5">
        <v>38</v>
      </c>
      <c r="AP63" s="5">
        <v>39</v>
      </c>
      <c r="AQ63" s="5">
        <v>40</v>
      </c>
    </row>
    <row r="64" spans="1:43" ht="12" thickBot="1" x14ac:dyDescent="0.25">
      <c r="A64" s="6" t="s">
        <v>34</v>
      </c>
      <c r="B64" s="354" t="s">
        <v>9</v>
      </c>
      <c r="C64" s="751">
        <v>2025</v>
      </c>
      <c r="D64" s="7">
        <v>2026</v>
      </c>
      <c r="E64" s="7">
        <v>2027</v>
      </c>
      <c r="F64" s="7">
        <v>2028</v>
      </c>
      <c r="G64" s="7">
        <v>2029</v>
      </c>
      <c r="H64" s="7">
        <v>2030</v>
      </c>
      <c r="I64" s="7">
        <v>2031</v>
      </c>
      <c r="J64" s="7">
        <v>2032</v>
      </c>
      <c r="K64" s="7">
        <v>2033</v>
      </c>
      <c r="L64" s="7">
        <v>2034</v>
      </c>
      <c r="M64" s="7">
        <v>2035</v>
      </c>
      <c r="N64" s="7">
        <v>2036</v>
      </c>
      <c r="O64" s="7">
        <v>2037</v>
      </c>
      <c r="P64" s="7">
        <v>2038</v>
      </c>
      <c r="Q64" s="7">
        <v>2039</v>
      </c>
      <c r="R64" s="7">
        <v>2040</v>
      </c>
      <c r="S64" s="7">
        <v>2041</v>
      </c>
      <c r="T64" s="7">
        <v>2042</v>
      </c>
      <c r="U64" s="7">
        <v>2043</v>
      </c>
      <c r="V64" s="7">
        <v>2044</v>
      </c>
      <c r="W64" s="7">
        <v>2045</v>
      </c>
      <c r="X64" s="7">
        <v>2046</v>
      </c>
      <c r="Y64" s="7">
        <v>2047</v>
      </c>
      <c r="Z64" s="7">
        <v>2048</v>
      </c>
      <c r="AA64" s="7">
        <v>2049</v>
      </c>
      <c r="AB64" s="7">
        <v>2050</v>
      </c>
      <c r="AC64" s="7">
        <v>2051</v>
      </c>
      <c r="AD64" s="7">
        <v>2052</v>
      </c>
      <c r="AE64" s="7">
        <v>2053</v>
      </c>
      <c r="AF64" s="7">
        <v>2054</v>
      </c>
      <c r="AG64" s="7">
        <v>2055</v>
      </c>
      <c r="AH64" s="7">
        <v>2056</v>
      </c>
      <c r="AI64" s="7">
        <v>2057</v>
      </c>
      <c r="AJ64" s="7">
        <v>2058</v>
      </c>
      <c r="AK64" s="7">
        <v>2059</v>
      </c>
      <c r="AL64" s="7">
        <v>2060</v>
      </c>
      <c r="AM64" s="7">
        <v>2061</v>
      </c>
      <c r="AN64" s="7">
        <v>2062</v>
      </c>
      <c r="AO64" s="7">
        <v>2063</v>
      </c>
      <c r="AP64" s="7">
        <v>2064</v>
      </c>
      <c r="AQ64" s="7">
        <v>2065</v>
      </c>
    </row>
    <row r="65" spans="1:43" x14ac:dyDescent="0.2">
      <c r="A65" s="557" t="s">
        <v>685</v>
      </c>
      <c r="B65" s="284">
        <f>SUM(D65:AQ65)</f>
        <v>225973232.80036795</v>
      </c>
      <c r="C65" s="750">
        <f>C41</f>
        <v>5073558.6513790553</v>
      </c>
      <c r="D65" s="9">
        <f>C65*1.01</f>
        <v>5124294.2378928456</v>
      </c>
      <c r="E65" s="9">
        <f t="shared" ref="E65" si="5">D65*1.01</f>
        <v>5175537.1802717745</v>
      </c>
      <c r="F65" s="9">
        <f>E65*1.01</f>
        <v>5227292.552074492</v>
      </c>
      <c r="G65" s="9">
        <f t="shared" ref="G65:R65" si="6">F65*1.01</f>
        <v>5279565.4775952371</v>
      </c>
      <c r="H65" s="9">
        <f t="shared" si="6"/>
        <v>5332361.1323711891</v>
      </c>
      <c r="I65" s="9">
        <f t="shared" si="6"/>
        <v>5385684.7436949015</v>
      </c>
      <c r="J65" s="9">
        <f t="shared" si="6"/>
        <v>5439541.5911318501</v>
      </c>
      <c r="K65" s="9">
        <f t="shared" si="6"/>
        <v>5493937.0070431689</v>
      </c>
      <c r="L65" s="9">
        <f t="shared" si="6"/>
        <v>5548876.3771136003</v>
      </c>
      <c r="M65" s="9">
        <f t="shared" si="6"/>
        <v>5604365.1408847366</v>
      </c>
      <c r="N65" s="9">
        <f t="shared" si="6"/>
        <v>5660408.792293584</v>
      </c>
      <c r="O65" s="9">
        <f t="shared" si="6"/>
        <v>5717012.8802165203</v>
      </c>
      <c r="P65" s="9">
        <f t="shared" si="6"/>
        <v>5774183.0090186857</v>
      </c>
      <c r="Q65" s="9">
        <f t="shared" si="6"/>
        <v>5831924.8391088722</v>
      </c>
      <c r="R65" s="9">
        <f t="shared" si="6"/>
        <v>5890244.0874999613</v>
      </c>
      <c r="S65" s="9">
        <f>R65*0.998</f>
        <v>5878463.5993249612</v>
      </c>
      <c r="T65" s="9">
        <f t="shared" ref="T65:AQ65" si="7">S65*0.998</f>
        <v>5866706.6721263109</v>
      </c>
      <c r="U65" s="9">
        <f t="shared" si="7"/>
        <v>5854973.258782058</v>
      </c>
      <c r="V65" s="9">
        <f t="shared" si="7"/>
        <v>5843263.3122644937</v>
      </c>
      <c r="W65" s="9">
        <f t="shared" si="7"/>
        <v>5831576.785639965</v>
      </c>
      <c r="X65" s="9">
        <f t="shared" si="7"/>
        <v>5819913.6320686853</v>
      </c>
      <c r="Y65" s="9">
        <f t="shared" si="7"/>
        <v>5808273.8048045477</v>
      </c>
      <c r="Z65" s="9">
        <f t="shared" si="7"/>
        <v>5796657.2571949381</v>
      </c>
      <c r="AA65" s="9">
        <f t="shared" si="7"/>
        <v>5785063.9426805479</v>
      </c>
      <c r="AB65" s="9">
        <f t="shared" si="7"/>
        <v>5773493.8147951867</v>
      </c>
      <c r="AC65" s="9">
        <f t="shared" si="7"/>
        <v>5761946.8271655962</v>
      </c>
      <c r="AD65" s="9">
        <f t="shared" si="7"/>
        <v>5750422.9335112646</v>
      </c>
      <c r="AE65" s="9">
        <f t="shared" si="7"/>
        <v>5738922.0876442418</v>
      </c>
      <c r="AF65" s="9">
        <f t="shared" si="7"/>
        <v>5727444.2434689533</v>
      </c>
      <c r="AG65" s="9">
        <f t="shared" si="7"/>
        <v>5715989.3549820157</v>
      </c>
      <c r="AH65" s="9">
        <f t="shared" si="7"/>
        <v>5704557.3762720516</v>
      </c>
      <c r="AI65" s="9">
        <f t="shared" si="7"/>
        <v>5693148.2615195075</v>
      </c>
      <c r="AJ65" s="9">
        <f t="shared" si="7"/>
        <v>5681761.9649964683</v>
      </c>
      <c r="AK65" s="9">
        <f t="shared" si="7"/>
        <v>5670398.4410664756</v>
      </c>
      <c r="AL65" s="9">
        <f t="shared" si="7"/>
        <v>5659057.6441843426</v>
      </c>
      <c r="AM65" s="9">
        <f t="shared" si="7"/>
        <v>5647739.5288959742</v>
      </c>
      <c r="AN65" s="9">
        <f t="shared" si="7"/>
        <v>5636444.0498381825</v>
      </c>
      <c r="AO65" s="9">
        <f t="shared" si="7"/>
        <v>5625171.1617385065</v>
      </c>
      <c r="AP65" s="9">
        <f t="shared" si="7"/>
        <v>5613920.8194150291</v>
      </c>
      <c r="AQ65" s="9">
        <f t="shared" si="7"/>
        <v>5602692.9777761986</v>
      </c>
    </row>
    <row r="68" spans="1:43" x14ac:dyDescent="0.2">
      <c r="A68" s="3"/>
      <c r="B68" s="3"/>
      <c r="C68" s="3" t="s">
        <v>10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2">
      <c r="A69" s="4" t="s">
        <v>718</v>
      </c>
      <c r="B69" s="4"/>
      <c r="C69" s="5">
        <v>0</v>
      </c>
      <c r="D69" s="5">
        <v>1</v>
      </c>
      <c r="E69" s="5">
        <v>2</v>
      </c>
      <c r="F69" s="5">
        <v>3</v>
      </c>
      <c r="G69" s="5">
        <v>4</v>
      </c>
      <c r="H69" s="5">
        <v>5</v>
      </c>
      <c r="I69" s="5">
        <v>6</v>
      </c>
      <c r="J69" s="5">
        <v>7</v>
      </c>
      <c r="K69" s="5">
        <v>8</v>
      </c>
      <c r="L69" s="5">
        <v>9</v>
      </c>
      <c r="M69" s="5">
        <v>10</v>
      </c>
      <c r="N69" s="5">
        <v>11</v>
      </c>
      <c r="O69" s="5">
        <v>12</v>
      </c>
      <c r="P69" s="5">
        <v>13</v>
      </c>
      <c r="Q69" s="5">
        <v>14</v>
      </c>
      <c r="R69" s="5">
        <v>15</v>
      </c>
      <c r="S69" s="5">
        <v>16</v>
      </c>
      <c r="T69" s="5">
        <v>17</v>
      </c>
      <c r="U69" s="5">
        <v>18</v>
      </c>
      <c r="V69" s="5">
        <v>19</v>
      </c>
      <c r="W69" s="5">
        <v>20</v>
      </c>
      <c r="X69" s="5">
        <v>21</v>
      </c>
      <c r="Y69" s="5">
        <v>22</v>
      </c>
      <c r="Z69" s="5">
        <v>23</v>
      </c>
      <c r="AA69" s="5">
        <v>24</v>
      </c>
      <c r="AB69" s="5">
        <v>25</v>
      </c>
      <c r="AC69" s="5">
        <v>26</v>
      </c>
      <c r="AD69" s="5">
        <v>27</v>
      </c>
      <c r="AE69" s="5">
        <v>28</v>
      </c>
      <c r="AF69" s="5">
        <v>29</v>
      </c>
      <c r="AG69" s="5">
        <v>30</v>
      </c>
      <c r="AH69" s="5">
        <v>31</v>
      </c>
      <c r="AI69" s="5">
        <v>32</v>
      </c>
      <c r="AJ69" s="5">
        <v>33</v>
      </c>
      <c r="AK69" s="5">
        <v>34</v>
      </c>
      <c r="AL69" s="5">
        <v>35</v>
      </c>
      <c r="AM69" s="5">
        <v>36</v>
      </c>
      <c r="AN69" s="5">
        <v>37</v>
      </c>
      <c r="AO69" s="5">
        <v>38</v>
      </c>
      <c r="AP69" s="5">
        <v>39</v>
      </c>
      <c r="AQ69" s="5">
        <v>40</v>
      </c>
    </row>
    <row r="70" spans="1:43" ht="12" thickBot="1" x14ac:dyDescent="0.25">
      <c r="A70" s="6" t="s">
        <v>34</v>
      </c>
      <c r="B70" s="6" t="s">
        <v>9</v>
      </c>
      <c r="C70" s="751">
        <v>2025</v>
      </c>
      <c r="D70" s="356">
        <v>2026</v>
      </c>
      <c r="E70" s="356">
        <v>2027</v>
      </c>
      <c r="F70" s="356">
        <v>2028</v>
      </c>
      <c r="G70" s="356">
        <v>2029</v>
      </c>
      <c r="H70" s="356">
        <v>2030</v>
      </c>
      <c r="I70" s="356">
        <v>2031</v>
      </c>
      <c r="J70" s="356">
        <v>2032</v>
      </c>
      <c r="K70" s="356">
        <v>2033</v>
      </c>
      <c r="L70" s="356">
        <v>2034</v>
      </c>
      <c r="M70" s="356">
        <v>2035</v>
      </c>
      <c r="N70" s="356">
        <v>2036</v>
      </c>
      <c r="O70" s="356">
        <v>2037</v>
      </c>
      <c r="P70" s="356">
        <v>2038</v>
      </c>
      <c r="Q70" s="356">
        <v>2039</v>
      </c>
      <c r="R70" s="356">
        <v>2040</v>
      </c>
      <c r="S70" s="356">
        <v>2041</v>
      </c>
      <c r="T70" s="356">
        <v>2042</v>
      </c>
      <c r="U70" s="356">
        <v>2043</v>
      </c>
      <c r="V70" s="356">
        <v>2044</v>
      </c>
      <c r="W70" s="356">
        <v>2045</v>
      </c>
      <c r="X70" s="356">
        <v>2046</v>
      </c>
      <c r="Y70" s="356">
        <v>2047</v>
      </c>
      <c r="Z70" s="356">
        <v>2048</v>
      </c>
      <c r="AA70" s="356">
        <v>2049</v>
      </c>
      <c r="AB70" s="356">
        <v>2050</v>
      </c>
      <c r="AC70" s="356">
        <v>2051</v>
      </c>
      <c r="AD70" s="356">
        <v>2052</v>
      </c>
      <c r="AE70" s="356">
        <v>2053</v>
      </c>
      <c r="AF70" s="356">
        <v>2054</v>
      </c>
      <c r="AG70" s="356">
        <v>2055</v>
      </c>
      <c r="AH70" s="356">
        <v>2056</v>
      </c>
      <c r="AI70" s="356">
        <v>2057</v>
      </c>
      <c r="AJ70" s="356">
        <v>2058</v>
      </c>
      <c r="AK70" s="356">
        <v>2059</v>
      </c>
      <c r="AL70" s="356">
        <v>2060</v>
      </c>
      <c r="AM70" s="356">
        <v>2061</v>
      </c>
      <c r="AN70" s="356">
        <v>2062</v>
      </c>
      <c r="AO70" s="356">
        <v>2063</v>
      </c>
      <c r="AP70" s="356">
        <v>2064</v>
      </c>
      <c r="AQ70" s="356">
        <v>2065</v>
      </c>
    </row>
    <row r="71" spans="1:43" x14ac:dyDescent="0.2">
      <c r="A71" s="557" t="s">
        <v>685</v>
      </c>
      <c r="B71" s="284">
        <f>SUM(D71:AQ71)</f>
        <v>714967016.37455261</v>
      </c>
      <c r="C71" s="750">
        <f>C65*$J$35*$L$35</f>
        <v>0</v>
      </c>
      <c r="D71" s="9">
        <f>D65*$J$34*$L$34</f>
        <v>16212988.223822912</v>
      </c>
      <c r="E71" s="9">
        <f t="shared" ref="E71:AQ71" si="8">E65*$J$34*$L$34</f>
        <v>16375118.106061142</v>
      </c>
      <c r="F71" s="9">
        <f t="shared" si="8"/>
        <v>16538869.287121752</v>
      </c>
      <c r="G71" s="9">
        <f t="shared" si="8"/>
        <v>16704257.979992973</v>
      </c>
      <c r="H71" s="9">
        <f t="shared" si="8"/>
        <v>16871300.559792899</v>
      </c>
      <c r="I71" s="9">
        <f t="shared" si="8"/>
        <v>17040013.565390829</v>
      </c>
      <c r="J71" s="9">
        <f t="shared" si="8"/>
        <v>17210413.701044738</v>
      </c>
      <c r="K71" s="9">
        <f t="shared" si="8"/>
        <v>17382517.838055186</v>
      </c>
      <c r="L71" s="9">
        <f t="shared" si="8"/>
        <v>17556343.016435739</v>
      </c>
      <c r="M71" s="9">
        <f t="shared" si="8"/>
        <v>17731906.446600094</v>
      </c>
      <c r="N71" s="9">
        <f t="shared" si="8"/>
        <v>17909225.511066094</v>
      </c>
      <c r="O71" s="9">
        <f t="shared" si="8"/>
        <v>18088317.766176756</v>
      </c>
      <c r="P71" s="9">
        <f t="shared" si="8"/>
        <v>18269200.943838526</v>
      </c>
      <c r="Q71" s="9">
        <f t="shared" si="8"/>
        <v>18451892.95327691</v>
      </c>
      <c r="R71" s="9">
        <f t="shared" si="8"/>
        <v>18636411.88280968</v>
      </c>
      <c r="S71" s="9">
        <f t="shared" si="8"/>
        <v>18599139.059044059</v>
      </c>
      <c r="T71" s="9">
        <f t="shared" si="8"/>
        <v>18561940.780925971</v>
      </c>
      <c r="U71" s="9">
        <f t="shared" si="8"/>
        <v>18524816.899364118</v>
      </c>
      <c r="V71" s="9">
        <f t="shared" si="8"/>
        <v>18487767.265565388</v>
      </c>
      <c r="W71" s="9">
        <f t="shared" si="8"/>
        <v>18450791.73103426</v>
      </c>
      <c r="X71" s="9">
        <f t="shared" si="8"/>
        <v>18413890.147572193</v>
      </c>
      <c r="Y71" s="9">
        <f t="shared" si="8"/>
        <v>18377062.367277049</v>
      </c>
      <c r="Z71" s="9">
        <f t="shared" si="8"/>
        <v>18340308.24254249</v>
      </c>
      <c r="AA71" s="9">
        <f t="shared" si="8"/>
        <v>18303627.626057405</v>
      </c>
      <c r="AB71" s="9">
        <f t="shared" si="8"/>
        <v>18267020.370805293</v>
      </c>
      <c r="AC71" s="9">
        <f t="shared" si="8"/>
        <v>18230486.330063682</v>
      </c>
      <c r="AD71" s="9">
        <f t="shared" si="8"/>
        <v>18194025.35740355</v>
      </c>
      <c r="AE71" s="9">
        <f t="shared" si="8"/>
        <v>18157637.306688741</v>
      </c>
      <c r="AF71" s="9">
        <f t="shared" si="8"/>
        <v>18121322.032075368</v>
      </c>
      <c r="AG71" s="9">
        <f t="shared" si="8"/>
        <v>18085079.388011217</v>
      </c>
      <c r="AH71" s="9">
        <f t="shared" si="8"/>
        <v>18048909.229235195</v>
      </c>
      <c r="AI71" s="9">
        <f t="shared" si="8"/>
        <v>18012811.410776723</v>
      </c>
      <c r="AJ71" s="9">
        <f t="shared" si="8"/>
        <v>17976785.787955169</v>
      </c>
      <c r="AK71" s="9">
        <f t="shared" si="8"/>
        <v>17940832.216379259</v>
      </c>
      <c r="AL71" s="9">
        <f t="shared" si="8"/>
        <v>17904950.551946498</v>
      </c>
      <c r="AM71" s="9">
        <f t="shared" si="8"/>
        <v>17869140.650842611</v>
      </c>
      <c r="AN71" s="9">
        <f t="shared" si="8"/>
        <v>17833402.369540922</v>
      </c>
      <c r="AO71" s="9">
        <f t="shared" si="8"/>
        <v>17797735.564801846</v>
      </c>
      <c r="AP71" s="9">
        <f t="shared" si="8"/>
        <v>17762140.093672238</v>
      </c>
      <c r="AQ71" s="9">
        <f t="shared" si="8"/>
        <v>17726615.813484892</v>
      </c>
    </row>
    <row r="74" spans="1:43" x14ac:dyDescent="0.2">
      <c r="A74" s="3"/>
      <c r="B74" s="3"/>
      <c r="C74" s="3" t="s">
        <v>10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2">
      <c r="A75" s="4" t="s">
        <v>719</v>
      </c>
      <c r="B75" s="4"/>
      <c r="C75" s="5">
        <v>0</v>
      </c>
      <c r="D75" s="5">
        <v>1</v>
      </c>
      <c r="E75" s="5">
        <v>2</v>
      </c>
      <c r="F75" s="5">
        <v>3</v>
      </c>
      <c r="G75" s="5">
        <v>4</v>
      </c>
      <c r="H75" s="5">
        <v>5</v>
      </c>
      <c r="I75" s="5">
        <v>6</v>
      </c>
      <c r="J75" s="5">
        <v>7</v>
      </c>
      <c r="K75" s="5">
        <v>8</v>
      </c>
      <c r="L75" s="5">
        <v>9</v>
      </c>
      <c r="M75" s="5">
        <v>10</v>
      </c>
      <c r="N75" s="5">
        <v>11</v>
      </c>
      <c r="O75" s="5">
        <v>12</v>
      </c>
      <c r="P75" s="5">
        <v>13</v>
      </c>
      <c r="Q75" s="5">
        <v>14</v>
      </c>
      <c r="R75" s="5">
        <v>15</v>
      </c>
      <c r="S75" s="5">
        <v>16</v>
      </c>
      <c r="T75" s="5">
        <v>17</v>
      </c>
      <c r="U75" s="5">
        <v>18</v>
      </c>
      <c r="V75" s="5">
        <v>19</v>
      </c>
      <c r="W75" s="5">
        <v>20</v>
      </c>
      <c r="X75" s="5">
        <v>21</v>
      </c>
      <c r="Y75" s="5">
        <v>22</v>
      </c>
      <c r="Z75" s="5">
        <v>23</v>
      </c>
      <c r="AA75" s="5">
        <v>24</v>
      </c>
      <c r="AB75" s="5">
        <v>25</v>
      </c>
      <c r="AC75" s="5">
        <v>26</v>
      </c>
      <c r="AD75" s="5">
        <v>27</v>
      </c>
      <c r="AE75" s="5">
        <v>28</v>
      </c>
      <c r="AF75" s="5">
        <v>29</v>
      </c>
      <c r="AG75" s="5">
        <v>30</v>
      </c>
      <c r="AH75" s="5">
        <v>31</v>
      </c>
      <c r="AI75" s="5">
        <v>32</v>
      </c>
      <c r="AJ75" s="5">
        <v>33</v>
      </c>
      <c r="AK75" s="5">
        <v>34</v>
      </c>
      <c r="AL75" s="5">
        <v>35</v>
      </c>
      <c r="AM75" s="5">
        <v>36</v>
      </c>
      <c r="AN75" s="5">
        <v>37</v>
      </c>
      <c r="AO75" s="5">
        <v>38</v>
      </c>
      <c r="AP75" s="5">
        <v>39</v>
      </c>
      <c r="AQ75" s="5">
        <v>40</v>
      </c>
    </row>
    <row r="76" spans="1:43" ht="12" thickBot="1" x14ac:dyDescent="0.25">
      <c r="A76" s="6" t="s">
        <v>34</v>
      </c>
      <c r="B76" s="354" t="s">
        <v>9</v>
      </c>
      <c r="C76" s="751">
        <v>2025</v>
      </c>
      <c r="D76" s="7">
        <v>2026</v>
      </c>
      <c r="E76" s="7">
        <v>2027</v>
      </c>
      <c r="F76" s="7">
        <v>2028</v>
      </c>
      <c r="G76" s="7">
        <v>2029</v>
      </c>
      <c r="H76" s="7">
        <v>2030</v>
      </c>
      <c r="I76" s="7">
        <v>2031</v>
      </c>
      <c r="J76" s="7">
        <v>2032</v>
      </c>
      <c r="K76" s="7">
        <v>2033</v>
      </c>
      <c r="L76" s="7">
        <v>2034</v>
      </c>
      <c r="M76" s="7">
        <v>2035</v>
      </c>
      <c r="N76" s="7">
        <v>2036</v>
      </c>
      <c r="O76" s="7">
        <v>2037</v>
      </c>
      <c r="P76" s="7">
        <v>2038</v>
      </c>
      <c r="Q76" s="7">
        <v>2039</v>
      </c>
      <c r="R76" s="7">
        <v>2040</v>
      </c>
      <c r="S76" s="7">
        <v>2041</v>
      </c>
      <c r="T76" s="7">
        <v>2042</v>
      </c>
      <c r="U76" s="7">
        <v>2043</v>
      </c>
      <c r="V76" s="7">
        <v>2044</v>
      </c>
      <c r="W76" s="7">
        <v>2045</v>
      </c>
      <c r="X76" s="7">
        <v>2046</v>
      </c>
      <c r="Y76" s="7">
        <v>2047</v>
      </c>
      <c r="Z76" s="7">
        <v>2048</v>
      </c>
      <c r="AA76" s="7">
        <v>2049</v>
      </c>
      <c r="AB76" s="7">
        <v>2050</v>
      </c>
      <c r="AC76" s="7">
        <v>2051</v>
      </c>
      <c r="AD76" s="7">
        <v>2052</v>
      </c>
      <c r="AE76" s="7">
        <v>2053</v>
      </c>
      <c r="AF76" s="7">
        <v>2054</v>
      </c>
      <c r="AG76" s="7">
        <v>2055</v>
      </c>
      <c r="AH76" s="7">
        <v>2056</v>
      </c>
      <c r="AI76" s="7">
        <v>2057</v>
      </c>
      <c r="AJ76" s="7">
        <v>2058</v>
      </c>
      <c r="AK76" s="7">
        <v>2059</v>
      </c>
      <c r="AL76" s="7">
        <v>2060</v>
      </c>
      <c r="AM76" s="7">
        <v>2061</v>
      </c>
      <c r="AN76" s="7">
        <v>2062</v>
      </c>
      <c r="AO76" s="7">
        <v>2063</v>
      </c>
      <c r="AP76" s="7">
        <v>2064</v>
      </c>
      <c r="AQ76" s="7">
        <v>2065</v>
      </c>
    </row>
    <row r="77" spans="1:43" x14ac:dyDescent="0.2">
      <c r="A77" s="557" t="s">
        <v>685</v>
      </c>
      <c r="B77" s="284">
        <f>SUM(D77:AQ77)</f>
        <v>29436012820.863262</v>
      </c>
      <c r="C77" s="355"/>
      <c r="D77" s="9">
        <f>D65*$J$34</f>
        <v>667507337.10901701</v>
      </c>
      <c r="E77" s="9">
        <f t="shared" ref="E77:AQ77" si="9">E65*$J$34</f>
        <v>674182410.48010719</v>
      </c>
      <c r="F77" s="9">
        <f t="shared" si="9"/>
        <v>680924234.58490825</v>
      </c>
      <c r="G77" s="9">
        <f t="shared" si="9"/>
        <v>687733476.9307574</v>
      </c>
      <c r="H77" s="9">
        <f t="shared" si="9"/>
        <v>694610811.7000649</v>
      </c>
      <c r="I77" s="9">
        <f t="shared" si="9"/>
        <v>701556919.8170656</v>
      </c>
      <c r="J77" s="9">
        <f t="shared" si="9"/>
        <v>708572489.01523626</v>
      </c>
      <c r="K77" s="9">
        <f t="shared" si="9"/>
        <v>715658213.90538859</v>
      </c>
      <c r="L77" s="9">
        <f t="shared" si="9"/>
        <v>722814796.04444253</v>
      </c>
      <c r="M77" s="9">
        <f t="shared" si="9"/>
        <v>730042944.00488698</v>
      </c>
      <c r="N77" s="9">
        <f t="shared" si="9"/>
        <v>737343373.4449358</v>
      </c>
      <c r="O77" s="9">
        <f t="shared" si="9"/>
        <v>744716807.17938519</v>
      </c>
      <c r="P77" s="9">
        <f t="shared" si="9"/>
        <v>752163975.2511791</v>
      </c>
      <c r="Q77" s="9">
        <f t="shared" si="9"/>
        <v>759685615.00369084</v>
      </c>
      <c r="R77" s="9">
        <f t="shared" si="9"/>
        <v>767282471.15372777</v>
      </c>
      <c r="S77" s="9">
        <f t="shared" si="9"/>
        <v>765747906.2114203</v>
      </c>
      <c r="T77" s="9">
        <f t="shared" si="9"/>
        <v>764216410.39899743</v>
      </c>
      <c r="U77" s="9">
        <f t="shared" si="9"/>
        <v>762687977.57819939</v>
      </c>
      <c r="V77" s="9">
        <f t="shared" si="9"/>
        <v>761162601.62304294</v>
      </c>
      <c r="W77" s="9">
        <f t="shared" si="9"/>
        <v>759640276.41979694</v>
      </c>
      <c r="X77" s="9">
        <f t="shared" si="9"/>
        <v>758120995.86695743</v>
      </c>
      <c r="Y77" s="9">
        <f t="shared" si="9"/>
        <v>756604753.8752234</v>
      </c>
      <c r="Z77" s="9">
        <f t="shared" si="9"/>
        <v>755091544.36747289</v>
      </c>
      <c r="AA77" s="9">
        <f t="shared" si="9"/>
        <v>753581361.2787379</v>
      </c>
      <c r="AB77" s="9">
        <f t="shared" si="9"/>
        <v>752074198.55618048</v>
      </c>
      <c r="AC77" s="9">
        <f t="shared" si="9"/>
        <v>750570050.15906811</v>
      </c>
      <c r="AD77" s="9">
        <f t="shared" si="9"/>
        <v>749068910.05874991</v>
      </c>
      <c r="AE77" s="9">
        <f t="shared" si="9"/>
        <v>747570772.23863232</v>
      </c>
      <c r="AF77" s="9">
        <f t="shared" si="9"/>
        <v>746075630.6941551</v>
      </c>
      <c r="AG77" s="9">
        <f t="shared" si="9"/>
        <v>744583479.4327668</v>
      </c>
      <c r="AH77" s="9">
        <f t="shared" si="9"/>
        <v>743094312.47390127</v>
      </c>
      <c r="AI77" s="9">
        <f t="shared" si="9"/>
        <v>741608123.84895349</v>
      </c>
      <c r="AJ77" s="9">
        <f t="shared" si="9"/>
        <v>740124907.60125554</v>
      </c>
      <c r="AK77" s="9">
        <f t="shared" si="9"/>
        <v>738644657.78605306</v>
      </c>
      <c r="AL77" s="9">
        <f t="shared" si="9"/>
        <v>737167368.47048092</v>
      </c>
      <c r="AM77" s="9">
        <f t="shared" si="9"/>
        <v>735693033.73354006</v>
      </c>
      <c r="AN77" s="9">
        <f t="shared" si="9"/>
        <v>734221647.66607296</v>
      </c>
      <c r="AO77" s="9">
        <f t="shared" si="9"/>
        <v>732753204.37074089</v>
      </c>
      <c r="AP77" s="9">
        <f t="shared" si="9"/>
        <v>731287697.9619993</v>
      </c>
      <c r="AQ77" s="9">
        <f t="shared" si="9"/>
        <v>729825122.56607533</v>
      </c>
    </row>
    <row r="80" spans="1:43" x14ac:dyDescent="0.2">
      <c r="A80" s="3"/>
      <c r="B80" s="3"/>
      <c r="C80" s="3" t="s">
        <v>10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2">
      <c r="A81" s="4" t="s">
        <v>720</v>
      </c>
      <c r="B81" s="4"/>
      <c r="C81" s="5">
        <v>0</v>
      </c>
      <c r="D81" s="5">
        <v>1</v>
      </c>
      <c r="E81" s="5">
        <v>2</v>
      </c>
      <c r="F81" s="5">
        <v>3</v>
      </c>
      <c r="G81" s="5">
        <v>4</v>
      </c>
      <c r="H81" s="5">
        <v>5</v>
      </c>
      <c r="I81" s="5">
        <v>6</v>
      </c>
      <c r="J81" s="5">
        <v>7</v>
      </c>
      <c r="K81" s="5">
        <v>8</v>
      </c>
      <c r="L81" s="5">
        <v>9</v>
      </c>
      <c r="M81" s="5">
        <v>10</v>
      </c>
      <c r="N81" s="5">
        <v>11</v>
      </c>
      <c r="O81" s="5">
        <v>12</v>
      </c>
      <c r="P81" s="5">
        <v>13</v>
      </c>
      <c r="Q81" s="5">
        <v>14</v>
      </c>
      <c r="R81" s="5">
        <v>15</v>
      </c>
      <c r="S81" s="5">
        <v>16</v>
      </c>
      <c r="T81" s="5">
        <v>17</v>
      </c>
      <c r="U81" s="5">
        <v>18</v>
      </c>
      <c r="V81" s="5">
        <v>19</v>
      </c>
      <c r="W81" s="5">
        <v>20</v>
      </c>
      <c r="X81" s="5">
        <v>21</v>
      </c>
      <c r="Y81" s="5">
        <v>22</v>
      </c>
      <c r="Z81" s="5">
        <v>23</v>
      </c>
      <c r="AA81" s="5">
        <v>24</v>
      </c>
      <c r="AB81" s="5">
        <v>25</v>
      </c>
      <c r="AC81" s="5">
        <v>26</v>
      </c>
      <c r="AD81" s="5">
        <v>27</v>
      </c>
      <c r="AE81" s="5">
        <v>28</v>
      </c>
      <c r="AF81" s="5">
        <v>29</v>
      </c>
      <c r="AG81" s="5">
        <v>30</v>
      </c>
      <c r="AH81" s="5">
        <v>31</v>
      </c>
      <c r="AI81" s="5">
        <v>32</v>
      </c>
      <c r="AJ81" s="5">
        <v>33</v>
      </c>
      <c r="AK81" s="5">
        <v>34</v>
      </c>
      <c r="AL81" s="5">
        <v>35</v>
      </c>
      <c r="AM81" s="5">
        <v>36</v>
      </c>
      <c r="AN81" s="5">
        <v>37</v>
      </c>
      <c r="AO81" s="5">
        <v>38</v>
      </c>
      <c r="AP81" s="5">
        <v>39</v>
      </c>
      <c r="AQ81" s="5">
        <v>40</v>
      </c>
    </row>
    <row r="82" spans="1:43" x14ac:dyDescent="0.2">
      <c r="A82" s="350" t="s">
        <v>34</v>
      </c>
      <c r="B82" s="354" t="s">
        <v>9</v>
      </c>
      <c r="C82" s="751">
        <v>2025</v>
      </c>
      <c r="D82" s="7">
        <v>2026</v>
      </c>
      <c r="E82" s="7">
        <v>2027</v>
      </c>
      <c r="F82" s="7">
        <v>2028</v>
      </c>
      <c r="G82" s="7">
        <v>2029</v>
      </c>
      <c r="H82" s="7">
        <v>2030</v>
      </c>
      <c r="I82" s="7">
        <v>2031</v>
      </c>
      <c r="J82" s="7">
        <v>2032</v>
      </c>
      <c r="K82" s="7">
        <v>2033</v>
      </c>
      <c r="L82" s="7">
        <v>2034</v>
      </c>
      <c r="M82" s="7">
        <v>2035</v>
      </c>
      <c r="N82" s="7">
        <v>2036</v>
      </c>
      <c r="O82" s="7">
        <v>2037</v>
      </c>
      <c r="P82" s="7">
        <v>2038</v>
      </c>
      <c r="Q82" s="7">
        <v>2039</v>
      </c>
      <c r="R82" s="7">
        <v>2040</v>
      </c>
      <c r="S82" s="7">
        <v>2041</v>
      </c>
      <c r="T82" s="7">
        <v>2042</v>
      </c>
      <c r="U82" s="7">
        <v>2043</v>
      </c>
      <c r="V82" s="7">
        <v>2044</v>
      </c>
      <c r="W82" s="7">
        <v>2045</v>
      </c>
      <c r="X82" s="7">
        <v>2046</v>
      </c>
      <c r="Y82" s="7">
        <v>2047</v>
      </c>
      <c r="Z82" s="7">
        <v>2048</v>
      </c>
      <c r="AA82" s="7">
        <v>2049</v>
      </c>
      <c r="AB82" s="7">
        <v>2050</v>
      </c>
      <c r="AC82" s="7">
        <v>2051</v>
      </c>
      <c r="AD82" s="7">
        <v>2052</v>
      </c>
      <c r="AE82" s="7">
        <v>2053</v>
      </c>
      <c r="AF82" s="7">
        <v>2054</v>
      </c>
      <c r="AG82" s="7">
        <v>2055</v>
      </c>
      <c r="AH82" s="7">
        <v>2056</v>
      </c>
      <c r="AI82" s="7">
        <v>2057</v>
      </c>
      <c r="AJ82" s="7">
        <v>2058</v>
      </c>
      <c r="AK82" s="7">
        <v>2059</v>
      </c>
      <c r="AL82" s="7">
        <v>2060</v>
      </c>
      <c r="AM82" s="7">
        <v>2061</v>
      </c>
      <c r="AN82" s="7">
        <v>2062</v>
      </c>
      <c r="AO82" s="7">
        <v>2063</v>
      </c>
      <c r="AP82" s="7">
        <v>2064</v>
      </c>
      <c r="AQ82" s="7">
        <v>2065</v>
      </c>
    </row>
    <row r="83" spans="1:43" x14ac:dyDescent="0.2">
      <c r="A83" s="586" t="s">
        <v>685</v>
      </c>
      <c r="B83" s="583">
        <f>SUM(D83:AQ83)</f>
        <v>361009747.85821664</v>
      </c>
      <c r="C83" s="584"/>
      <c r="D83" s="585">
        <f>D65*$P$34</f>
        <v>8186457.0765657369</v>
      </c>
      <c r="E83" s="585">
        <f t="shared" ref="E83:AQ83" si="10">E65*$P$34</f>
        <v>8268321.6473313952</v>
      </c>
      <c r="F83" s="585">
        <f t="shared" si="10"/>
        <v>8351004.8638047082</v>
      </c>
      <c r="G83" s="585">
        <f t="shared" si="10"/>
        <v>8434514.9124427568</v>
      </c>
      <c r="H83" s="585">
        <f t="shared" si="10"/>
        <v>8518860.0615671836</v>
      </c>
      <c r="I83" s="585">
        <f t="shared" si="10"/>
        <v>8604048.6621828564</v>
      </c>
      <c r="J83" s="585">
        <f t="shared" si="10"/>
        <v>8690089.1488046832</v>
      </c>
      <c r="K83" s="585">
        <f t="shared" si="10"/>
        <v>8776990.0402927306</v>
      </c>
      <c r="L83" s="585">
        <f t="shared" si="10"/>
        <v>8864759.9406956583</v>
      </c>
      <c r="M83" s="585">
        <f t="shared" si="10"/>
        <v>8953407.5401026141</v>
      </c>
      <c r="N83" s="585">
        <f t="shared" si="10"/>
        <v>9042941.6155036408</v>
      </c>
      <c r="O83" s="585">
        <f t="shared" si="10"/>
        <v>9133371.0316586774</v>
      </c>
      <c r="P83" s="585">
        <f t="shared" si="10"/>
        <v>9224704.7419752646</v>
      </c>
      <c r="Q83" s="585">
        <f t="shared" si="10"/>
        <v>9316951.7893950175</v>
      </c>
      <c r="R83" s="585">
        <f t="shared" si="10"/>
        <v>9410121.3072889689</v>
      </c>
      <c r="S83" s="585">
        <f t="shared" si="10"/>
        <v>9391301.0646743905</v>
      </c>
      <c r="T83" s="585">
        <f t="shared" si="10"/>
        <v>9372518.462545041</v>
      </c>
      <c r="U83" s="585">
        <f t="shared" si="10"/>
        <v>9353773.4256199505</v>
      </c>
      <c r="V83" s="585">
        <f t="shared" si="10"/>
        <v>9335065.8787687104</v>
      </c>
      <c r="W83" s="585">
        <f t="shared" si="10"/>
        <v>9316395.7470111735</v>
      </c>
      <c r="X83" s="585">
        <f t="shared" si="10"/>
        <v>9297762.9555171505</v>
      </c>
      <c r="Y83" s="585">
        <f t="shared" si="10"/>
        <v>9279167.4296061154</v>
      </c>
      <c r="Z83" s="585">
        <f t="shared" si="10"/>
        <v>9260609.0947469026</v>
      </c>
      <c r="AA83" s="585">
        <f t="shared" si="10"/>
        <v>9242087.8765574098</v>
      </c>
      <c r="AB83" s="585">
        <f t="shared" si="10"/>
        <v>9223603.7008042932</v>
      </c>
      <c r="AC83" s="585">
        <f t="shared" si="10"/>
        <v>9205156.4934026841</v>
      </c>
      <c r="AD83" s="585">
        <f t="shared" si="10"/>
        <v>9186746.1804158799</v>
      </c>
      <c r="AE83" s="585">
        <f t="shared" si="10"/>
        <v>9168372.6880550459</v>
      </c>
      <c r="AF83" s="585">
        <f t="shared" si="10"/>
        <v>9150035.9426789358</v>
      </c>
      <c r="AG83" s="585">
        <f t="shared" si="10"/>
        <v>9131735.8707935791</v>
      </c>
      <c r="AH83" s="585">
        <f t="shared" si="10"/>
        <v>9113472.3990519922</v>
      </c>
      <c r="AI83" s="585">
        <f t="shared" si="10"/>
        <v>9095245.4542538878</v>
      </c>
      <c r="AJ83" s="585">
        <f t="shared" si="10"/>
        <v>9077054.9633453805</v>
      </c>
      <c r="AK83" s="585">
        <f t="shared" si="10"/>
        <v>9058900.8534186892</v>
      </c>
      <c r="AL83" s="585">
        <f t="shared" si="10"/>
        <v>9040783.0517118517</v>
      </c>
      <c r="AM83" s="585">
        <f t="shared" si="10"/>
        <v>9022701.4856084287</v>
      </c>
      <c r="AN83" s="585">
        <f t="shared" si="10"/>
        <v>9004656.0826372132</v>
      </c>
      <c r="AO83" s="585">
        <f t="shared" si="10"/>
        <v>8986646.770471938</v>
      </c>
      <c r="AP83" s="585">
        <f t="shared" si="10"/>
        <v>8968673.4769309945</v>
      </c>
      <c r="AQ83" s="585">
        <f t="shared" si="10"/>
        <v>8950736.1299771313</v>
      </c>
    </row>
    <row r="84" spans="1:43" ht="10.35" customHeight="1" x14ac:dyDescent="0.2">
      <c r="A84" s="586" t="s">
        <v>721</v>
      </c>
      <c r="B84" s="8">
        <f>SUM(D84:AQ84)</f>
        <v>353480109.36861098</v>
      </c>
      <c r="C84" s="355"/>
      <c r="D84" s="9">
        <f>D83</f>
        <v>8186457.0765657369</v>
      </c>
      <c r="E84" s="9">
        <f t="shared" ref="E84:G84" si="11">E83</f>
        <v>8268321.6473313952</v>
      </c>
      <c r="F84" s="9">
        <f t="shared" si="11"/>
        <v>8351004.8638047082</v>
      </c>
      <c r="G84" s="9">
        <f t="shared" si="11"/>
        <v>8434514.9124427568</v>
      </c>
      <c r="H84" s="9">
        <f>H83/2+(H65*($P$34-$B$18/60)/2)</f>
        <v>8419722.5808478482</v>
      </c>
      <c r="I84" s="9">
        <f t="shared" ref="I84:AQ84" si="12">I65*($P$34-$B$18/60)</f>
        <v>8403790.9511297997</v>
      </c>
      <c r="J84" s="9">
        <f t="shared" si="12"/>
        <v>8487828.8606410976</v>
      </c>
      <c r="K84" s="9">
        <f t="shared" si="12"/>
        <v>8572707.1492475085</v>
      </c>
      <c r="L84" s="9">
        <f t="shared" si="12"/>
        <v>8658434.220739983</v>
      </c>
      <c r="M84" s="9">
        <f t="shared" si="12"/>
        <v>8745018.5629473832</v>
      </c>
      <c r="N84" s="9">
        <f t="shared" si="12"/>
        <v>8832468.7485768571</v>
      </c>
      <c r="O84" s="9">
        <f t="shared" si="12"/>
        <v>8920793.4360626265</v>
      </c>
      <c r="P84" s="9">
        <f t="shared" si="12"/>
        <v>9010001.3704232536</v>
      </c>
      <c r="Q84" s="9">
        <f t="shared" si="12"/>
        <v>9100101.3841274865</v>
      </c>
      <c r="R84" s="9">
        <f t="shared" si="12"/>
        <v>9191102.3979687616</v>
      </c>
      <c r="S84" s="9">
        <f t="shared" si="12"/>
        <v>9172720.1931728236</v>
      </c>
      <c r="T84" s="9">
        <f t="shared" si="12"/>
        <v>9154374.7527864762</v>
      </c>
      <c r="U84" s="9">
        <f t="shared" si="12"/>
        <v>9136066.0032809041</v>
      </c>
      <c r="V84" s="9">
        <f t="shared" si="12"/>
        <v>9117793.8712743409</v>
      </c>
      <c r="W84" s="9">
        <f t="shared" si="12"/>
        <v>9099558.2835317925</v>
      </c>
      <c r="X84" s="9">
        <f t="shared" si="12"/>
        <v>9081359.1669647302</v>
      </c>
      <c r="Y84" s="9">
        <f t="shared" si="12"/>
        <v>9063196.4486308005</v>
      </c>
      <c r="Z84" s="9">
        <f t="shared" si="12"/>
        <v>9045070.0557335373</v>
      </c>
      <c r="AA84" s="9">
        <f t="shared" si="12"/>
        <v>9026979.9156220704</v>
      </c>
      <c r="AB84" s="9">
        <f t="shared" si="12"/>
        <v>9008925.9557908271</v>
      </c>
      <c r="AC84" s="9">
        <f t="shared" si="12"/>
        <v>8990908.103879245</v>
      </c>
      <c r="AD84" s="9">
        <f t="shared" si="12"/>
        <v>8972926.2876714859</v>
      </c>
      <c r="AE84" s="9">
        <f t="shared" si="12"/>
        <v>8954980.435096141</v>
      </c>
      <c r="AF84" s="9">
        <f t="shared" si="12"/>
        <v>8937070.4742259495</v>
      </c>
      <c r="AG84" s="9">
        <f t="shared" si="12"/>
        <v>8919196.3332774974</v>
      </c>
      <c r="AH84" s="9">
        <f t="shared" si="12"/>
        <v>8901357.9406109434</v>
      </c>
      <c r="AI84" s="9">
        <f t="shared" si="12"/>
        <v>8883555.2247297205</v>
      </c>
      <c r="AJ84" s="9">
        <f t="shared" si="12"/>
        <v>8865788.1142802611</v>
      </c>
      <c r="AK84" s="9">
        <f t="shared" si="12"/>
        <v>8848056.5380517002</v>
      </c>
      <c r="AL84" s="9">
        <f t="shared" si="12"/>
        <v>8830360.4249755982</v>
      </c>
      <c r="AM84" s="9">
        <f t="shared" si="12"/>
        <v>8812699.7041256465</v>
      </c>
      <c r="AN84" s="9">
        <f t="shared" si="12"/>
        <v>8795074.3047173955</v>
      </c>
      <c r="AO84" s="9">
        <f t="shared" si="12"/>
        <v>8777484.1561079621</v>
      </c>
      <c r="AP84" s="9">
        <f t="shared" si="12"/>
        <v>8759929.1877957452</v>
      </c>
      <c r="AQ84" s="9">
        <f t="shared" si="12"/>
        <v>8742409.3294201531</v>
      </c>
    </row>
  </sheetData>
  <mergeCells count="19">
    <mergeCell ref="C23:D23"/>
    <mergeCell ref="B31:C31"/>
    <mergeCell ref="D31:E31"/>
    <mergeCell ref="F31:F33"/>
    <mergeCell ref="G31:G33"/>
    <mergeCell ref="O31:O33"/>
    <mergeCell ref="P31:P33"/>
    <mergeCell ref="A32:A33"/>
    <mergeCell ref="B32:B33"/>
    <mergeCell ref="C32:C33"/>
    <mergeCell ref="D32:D33"/>
    <mergeCell ref="E32:E33"/>
    <mergeCell ref="I31:I33"/>
    <mergeCell ref="J31:J33"/>
    <mergeCell ref="K31:K33"/>
    <mergeCell ref="L31:L33"/>
    <mergeCell ref="M31:M33"/>
    <mergeCell ref="N31:N33"/>
    <mergeCell ref="H31:H33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FCF3-CA59-4F46-A2A5-1C81E99E4D0F}">
  <sheetPr>
    <tabColor rgb="FFFFC000"/>
  </sheetPr>
  <dimension ref="B2:N55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49.5703125" style="2" customWidth="1"/>
    <col min="3" max="3" width="12.5703125" style="2" bestFit="1" customWidth="1"/>
    <col min="4" max="4" width="7.85546875" style="2" bestFit="1" customWidth="1"/>
    <col min="5" max="5" width="13" style="2" bestFit="1" customWidth="1"/>
    <col min="6" max="6" width="5.5703125" style="2" bestFit="1" customWidth="1"/>
    <col min="7" max="8" width="10.5703125" style="2" bestFit="1" customWidth="1"/>
    <col min="9" max="13" width="5.5703125" style="2" bestFit="1" customWidth="1"/>
    <col min="14" max="14" width="3.140625" style="2" bestFit="1" customWidth="1"/>
    <col min="15" max="16384" width="9.140625" style="2"/>
  </cols>
  <sheetData>
    <row r="2" spans="2:14" x14ac:dyDescent="0.2">
      <c r="B2" s="3" t="s">
        <v>372</v>
      </c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/>
      <c r="K3" s="5">
        <v>7</v>
      </c>
      <c r="L3" s="5">
        <v>8</v>
      </c>
      <c r="M3" s="5">
        <v>9</v>
      </c>
      <c r="N3" s="5"/>
    </row>
    <row r="4" spans="2:14" x14ac:dyDescent="0.2">
      <c r="B4" s="6" t="s">
        <v>167</v>
      </c>
      <c r="C4" s="6" t="s">
        <v>9</v>
      </c>
      <c r="D4" s="7">
        <f>'Parametre EMU550'!C13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>$D$4+G3</f>
        <v>2030</v>
      </c>
      <c r="I4" s="7">
        <f>$D$4+H3</f>
        <v>2031</v>
      </c>
      <c r="J4" s="7">
        <f t="shared" ref="J4" si="0">$D$4+I3</f>
        <v>2032</v>
      </c>
      <c r="K4" s="7">
        <f>J4+1</f>
        <v>2033</v>
      </c>
      <c r="L4" s="7">
        <f t="shared" ref="L4:M4" si="1">K4+1</f>
        <v>2034</v>
      </c>
      <c r="M4" s="7">
        <f t="shared" si="1"/>
        <v>2035</v>
      </c>
      <c r="N4" s="7" t="s">
        <v>371</v>
      </c>
    </row>
    <row r="5" spans="2:14" x14ac:dyDescent="0.2">
      <c r="B5" s="3" t="s">
        <v>274</v>
      </c>
      <c r="C5" s="13">
        <f>SUM(D5:M5)</f>
        <v>235921000</v>
      </c>
      <c r="D5" s="13">
        <f>SUM(D6:D10)</f>
        <v>0</v>
      </c>
      <c r="E5" s="13">
        <f t="shared" ref="E5:N5" si="2">SUM(E6:E10)</f>
        <v>0</v>
      </c>
      <c r="F5" s="13">
        <f t="shared" si="2"/>
        <v>0</v>
      </c>
      <c r="G5" s="13">
        <f t="shared" si="2"/>
        <v>134812000</v>
      </c>
      <c r="H5" s="13">
        <f t="shared" si="2"/>
        <v>101109000</v>
      </c>
      <c r="I5" s="13">
        <f t="shared" si="2"/>
        <v>0</v>
      </c>
      <c r="J5" s="13">
        <f t="shared" si="2"/>
        <v>0</v>
      </c>
      <c r="K5" s="13">
        <f t="shared" si="2"/>
        <v>0</v>
      </c>
      <c r="L5" s="13">
        <f t="shared" si="2"/>
        <v>0</v>
      </c>
      <c r="M5" s="13">
        <f t="shared" si="2"/>
        <v>0</v>
      </c>
      <c r="N5" s="13">
        <f t="shared" si="2"/>
        <v>0</v>
      </c>
    </row>
    <row r="6" spans="2:14" x14ac:dyDescent="0.2">
      <c r="B6" s="107" t="s">
        <v>472</v>
      </c>
      <c r="C6" s="8">
        <f t="shared" ref="C6:C17" si="3">SUM(D6:M6)</f>
        <v>94368400</v>
      </c>
      <c r="D6" s="109"/>
      <c r="E6" s="109"/>
      <c r="F6" s="109"/>
      <c r="G6" s="109">
        <f>'02 Zostatková hodnota EMU550'!G14*4</f>
        <v>53924800</v>
      </c>
      <c r="H6" s="109">
        <f>'02 Zostatková hodnota EMU550'!G14*3</f>
        <v>40443600</v>
      </c>
      <c r="I6" s="109">
        <f>'02 Zostatková hodnota EMU550'!$H$14</f>
        <v>0</v>
      </c>
      <c r="J6" s="109">
        <f>'02 Zostatková hodnota EMU550'!$H$14</f>
        <v>0</v>
      </c>
      <c r="K6" s="109">
        <f>'02 Zostatková hodnota EMU550'!$H$14</f>
        <v>0</v>
      </c>
      <c r="L6" s="109">
        <f>'02 Zostatková hodnota EMU550'!$H$14</f>
        <v>0</v>
      </c>
      <c r="M6" s="109">
        <f>'02 Zostatková hodnota EMU550'!$H$14</f>
        <v>0</v>
      </c>
      <c r="N6" s="109">
        <v>0</v>
      </c>
    </row>
    <row r="7" spans="2:14" x14ac:dyDescent="0.2">
      <c r="B7" s="107" t="s">
        <v>473</v>
      </c>
      <c r="C7" s="8">
        <f t="shared" si="3"/>
        <v>70776300</v>
      </c>
      <c r="D7" s="109"/>
      <c r="E7" s="109"/>
      <c r="F7" s="109"/>
      <c r="G7" s="109">
        <f>'02 Zostatková hodnota EMU550'!G15*4</f>
        <v>40443600</v>
      </c>
      <c r="H7" s="109">
        <f>'02 Zostatková hodnota EMU550'!G15*3</f>
        <v>30332700</v>
      </c>
      <c r="I7" s="109">
        <f>'02 Zostatková hodnota EMU550'!$H$15</f>
        <v>0</v>
      </c>
      <c r="J7" s="109">
        <f>'02 Zostatková hodnota EMU550'!$H$15</f>
        <v>0</v>
      </c>
      <c r="K7" s="109">
        <f>'02 Zostatková hodnota EMU550'!$H$15</f>
        <v>0</v>
      </c>
      <c r="L7" s="109">
        <f>'02 Zostatková hodnota EMU550'!$H$15</f>
        <v>0</v>
      </c>
      <c r="M7" s="109">
        <f>'02 Zostatková hodnota EMU550'!$H$15</f>
        <v>0</v>
      </c>
      <c r="N7" s="109">
        <v>0</v>
      </c>
    </row>
    <row r="8" spans="2:14" x14ac:dyDescent="0.2">
      <c r="B8" s="107" t="s">
        <v>474</v>
      </c>
      <c r="C8" s="8">
        <f t="shared" si="3"/>
        <v>0</v>
      </c>
      <c r="D8" s="109"/>
      <c r="E8" s="109"/>
      <c r="F8" s="109"/>
      <c r="G8" s="109">
        <f>'02 Zostatková hodnota EMU550'!G16*4</f>
        <v>0</v>
      </c>
      <c r="H8" s="109">
        <f>'02 Zostatková hodnota EMU550'!G16*3</f>
        <v>0</v>
      </c>
      <c r="I8" s="109">
        <f>'02 Zostatková hodnota EMU550'!$H$16</f>
        <v>0</v>
      </c>
      <c r="J8" s="109">
        <f>'02 Zostatková hodnota EMU550'!$H$16</f>
        <v>0</v>
      </c>
      <c r="K8" s="109">
        <f>'02 Zostatková hodnota EMU550'!$H$16</f>
        <v>0</v>
      </c>
      <c r="L8" s="109">
        <f>'02 Zostatková hodnota EMU550'!$H$16</f>
        <v>0</v>
      </c>
      <c r="M8" s="109">
        <f>'02 Zostatková hodnota EMU550'!$H$16</f>
        <v>0</v>
      </c>
      <c r="N8" s="109">
        <v>0</v>
      </c>
    </row>
    <row r="9" spans="2:14" x14ac:dyDescent="0.2">
      <c r="B9" s="107" t="s">
        <v>475</v>
      </c>
      <c r="C9" s="8">
        <f t="shared" si="3"/>
        <v>23592100</v>
      </c>
      <c r="D9" s="109"/>
      <c r="E9" s="109"/>
      <c r="F9" s="109"/>
      <c r="G9" s="109">
        <f>'02 Zostatková hodnota EMU550'!G17*4</f>
        <v>13481200</v>
      </c>
      <c r="H9" s="109">
        <f>'02 Zostatková hodnota EMU550'!G17*3</f>
        <v>10110900</v>
      </c>
      <c r="I9" s="109">
        <f>'02 Zostatková hodnota EMU550'!$H$17</f>
        <v>0</v>
      </c>
      <c r="J9" s="109">
        <f>'02 Zostatková hodnota EMU550'!$H$17</f>
        <v>0</v>
      </c>
      <c r="K9" s="109">
        <f>'02 Zostatková hodnota EMU550'!$H$17</f>
        <v>0</v>
      </c>
      <c r="L9" s="109">
        <f>'02 Zostatková hodnota EMU550'!$H$17</f>
        <v>0</v>
      </c>
      <c r="M9" s="109">
        <f>'02 Zostatková hodnota EMU550'!$H$17</f>
        <v>0</v>
      </c>
      <c r="N9" s="109">
        <v>0</v>
      </c>
    </row>
    <row r="10" spans="2:14" x14ac:dyDescent="0.2">
      <c r="B10" s="107" t="s">
        <v>476</v>
      </c>
      <c r="C10" s="8">
        <f t="shared" si="3"/>
        <v>47184200</v>
      </c>
      <c r="D10" s="109"/>
      <c r="E10" s="109"/>
      <c r="F10" s="109"/>
      <c r="G10" s="109">
        <f>'02 Zostatková hodnota EMU550'!G18*4</f>
        <v>26962400</v>
      </c>
      <c r="H10" s="109">
        <f>'02 Zostatková hodnota EMU550'!G18*3</f>
        <v>20221800</v>
      </c>
      <c r="I10" s="109">
        <f>'02 Zostatková hodnota EMU550'!$H$18</f>
        <v>0</v>
      </c>
      <c r="J10" s="109">
        <f>'02 Zostatková hodnota EMU550'!$H$18</f>
        <v>0</v>
      </c>
      <c r="K10" s="109">
        <f>'02 Zostatková hodnota EMU550'!$H$18</f>
        <v>0</v>
      </c>
      <c r="L10" s="109">
        <f>'02 Zostatková hodnota EMU550'!$H$18</f>
        <v>0</v>
      </c>
      <c r="M10" s="109">
        <f>'02 Zostatková hodnota EMU550'!$H$18</f>
        <v>0</v>
      </c>
      <c r="N10" s="109">
        <v>0</v>
      </c>
    </row>
    <row r="11" spans="2:14" x14ac:dyDescent="0.2">
      <c r="B11" s="3" t="s">
        <v>48</v>
      </c>
      <c r="C11" s="8">
        <f t="shared" si="3"/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s="12" customFormat="1" x14ac:dyDescent="0.2">
      <c r="B12" s="10" t="s">
        <v>187</v>
      </c>
      <c r="C12" s="13">
        <f t="shared" si="3"/>
        <v>235921000</v>
      </c>
      <c r="D12" s="11">
        <f t="shared" ref="D12:N12" si="4">SUM(D5:D5,D11:D11)</f>
        <v>0</v>
      </c>
      <c r="E12" s="11">
        <f t="shared" si="4"/>
        <v>0</v>
      </c>
      <c r="F12" s="11">
        <f t="shared" si="4"/>
        <v>0</v>
      </c>
      <c r="G12" s="11">
        <f t="shared" si="4"/>
        <v>134812000</v>
      </c>
      <c r="H12" s="11">
        <f t="shared" si="4"/>
        <v>101109000</v>
      </c>
      <c r="I12" s="11">
        <f t="shared" si="4"/>
        <v>0</v>
      </c>
      <c r="J12" s="11">
        <f t="shared" si="4"/>
        <v>0</v>
      </c>
      <c r="K12" s="11">
        <f t="shared" si="4"/>
        <v>0</v>
      </c>
      <c r="L12" s="11">
        <f t="shared" si="4"/>
        <v>0</v>
      </c>
      <c r="M12" s="11">
        <f t="shared" si="4"/>
        <v>0</v>
      </c>
      <c r="N12" s="11">
        <f t="shared" si="4"/>
        <v>0</v>
      </c>
    </row>
    <row r="13" spans="2:14" x14ac:dyDescent="0.2">
      <c r="B13" s="3" t="s">
        <v>44</v>
      </c>
      <c r="C13" s="8">
        <f t="shared" si="3"/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0</v>
      </c>
    </row>
    <row r="14" spans="2:14" x14ac:dyDescent="0.2">
      <c r="B14" s="3" t="s">
        <v>374</v>
      </c>
      <c r="C14" s="8">
        <f t="shared" si="3"/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ht="11.25" customHeight="1" x14ac:dyDescent="0.2">
      <c r="B15" s="10" t="s">
        <v>375</v>
      </c>
      <c r="C15" s="13">
        <f t="shared" si="3"/>
        <v>235921000</v>
      </c>
      <c r="D15" s="13">
        <f t="shared" ref="D15:J15" si="5">SUM(D12:D13)</f>
        <v>0</v>
      </c>
      <c r="E15" s="13">
        <f t="shared" si="5"/>
        <v>0</v>
      </c>
      <c r="F15" s="13">
        <f t="shared" si="5"/>
        <v>0</v>
      </c>
      <c r="G15" s="13">
        <f t="shared" si="5"/>
        <v>134812000</v>
      </c>
      <c r="H15" s="13">
        <f t="shared" si="5"/>
        <v>101109000</v>
      </c>
      <c r="I15" s="13">
        <f t="shared" si="5"/>
        <v>0</v>
      </c>
      <c r="J15" s="13">
        <f t="shared" si="5"/>
        <v>0</v>
      </c>
      <c r="K15" s="13">
        <f t="shared" ref="K15:N15" si="6">SUM(K12:K13)</f>
        <v>0</v>
      </c>
      <c r="L15" s="13">
        <f t="shared" si="6"/>
        <v>0</v>
      </c>
      <c r="M15" s="13">
        <f t="shared" si="6"/>
        <v>0</v>
      </c>
      <c r="N15" s="13">
        <f t="shared" si="6"/>
        <v>0</v>
      </c>
    </row>
    <row r="16" spans="2:14" x14ac:dyDescent="0.2">
      <c r="B16" s="3" t="s">
        <v>49</v>
      </c>
      <c r="C16" s="8">
        <f t="shared" si="3"/>
        <v>54261830</v>
      </c>
      <c r="D16" s="9"/>
      <c r="E16" s="9"/>
      <c r="F16" s="9">
        <f>F15*23%</f>
        <v>0</v>
      </c>
      <c r="G16" s="9">
        <f>G15*23%</f>
        <v>31006760</v>
      </c>
      <c r="H16" s="9">
        <f t="shared" ref="H16:J16" si="7">H15*23%</f>
        <v>23255070</v>
      </c>
      <c r="I16" s="9">
        <f t="shared" si="7"/>
        <v>0</v>
      </c>
      <c r="J16" s="9">
        <f t="shared" si="7"/>
        <v>0</v>
      </c>
      <c r="K16" s="9">
        <f>K15*23%</f>
        <v>0</v>
      </c>
      <c r="L16" s="9">
        <f t="shared" ref="L16:M16" si="8">L15*23%</f>
        <v>0</v>
      </c>
      <c r="M16" s="9">
        <f t="shared" si="8"/>
        <v>0</v>
      </c>
      <c r="N16" s="9"/>
    </row>
    <row r="17" spans="2:14" x14ac:dyDescent="0.2">
      <c r="B17" s="4" t="s">
        <v>168</v>
      </c>
      <c r="C17" s="13">
        <f t="shared" si="3"/>
        <v>290182830</v>
      </c>
      <c r="D17" s="13">
        <f t="shared" ref="D17:N17" si="9">SUM(D15:D16)</f>
        <v>0</v>
      </c>
      <c r="E17" s="13">
        <f t="shared" si="9"/>
        <v>0</v>
      </c>
      <c r="F17" s="13">
        <f t="shared" si="9"/>
        <v>0</v>
      </c>
      <c r="G17" s="13">
        <f t="shared" si="9"/>
        <v>165818760</v>
      </c>
      <c r="H17" s="13">
        <f t="shared" si="9"/>
        <v>124364070</v>
      </c>
      <c r="I17" s="13">
        <f t="shared" si="9"/>
        <v>0</v>
      </c>
      <c r="J17" s="13">
        <f t="shared" si="9"/>
        <v>0</v>
      </c>
      <c r="K17" s="13">
        <f t="shared" si="9"/>
        <v>0</v>
      </c>
      <c r="L17" s="13">
        <f t="shared" si="9"/>
        <v>0</v>
      </c>
      <c r="M17" s="13">
        <f t="shared" si="9"/>
        <v>0</v>
      </c>
      <c r="N17" s="13">
        <f t="shared" si="9"/>
        <v>0</v>
      </c>
    </row>
    <row r="18" spans="2:14" x14ac:dyDescent="0.2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">
      <c r="B19" s="206" t="s">
        <v>169</v>
      </c>
      <c r="C19" s="207">
        <f>SUM(D19:M19)</f>
        <v>235921000</v>
      </c>
      <c r="D19" s="207"/>
      <c r="E19" s="207"/>
      <c r="F19" s="207">
        <f t="shared" ref="F19:M19" si="10">F15</f>
        <v>0</v>
      </c>
      <c r="G19" s="207">
        <f t="shared" si="10"/>
        <v>134812000</v>
      </c>
      <c r="H19" s="207">
        <f t="shared" si="10"/>
        <v>101109000</v>
      </c>
      <c r="I19" s="207">
        <f t="shared" si="10"/>
        <v>0</v>
      </c>
      <c r="J19" s="207">
        <f t="shared" si="10"/>
        <v>0</v>
      </c>
      <c r="K19" s="207">
        <f t="shared" si="10"/>
        <v>0</v>
      </c>
      <c r="L19" s="207">
        <f t="shared" si="10"/>
        <v>0</v>
      </c>
      <c r="M19" s="207">
        <f t="shared" si="10"/>
        <v>0</v>
      </c>
      <c r="N19" s="207">
        <v>0</v>
      </c>
    </row>
    <row r="20" spans="2:14" x14ac:dyDescent="0.2">
      <c r="B20" s="206" t="s">
        <v>170</v>
      </c>
      <c r="C20" s="207">
        <f>SUM(D20:M20)</f>
        <v>54261830</v>
      </c>
      <c r="D20" s="207">
        <f t="shared" ref="D20:N20" si="11">D17-D19</f>
        <v>0</v>
      </c>
      <c r="E20" s="207">
        <f t="shared" si="11"/>
        <v>0</v>
      </c>
      <c r="F20" s="207">
        <v>0</v>
      </c>
      <c r="G20" s="207">
        <f t="shared" si="11"/>
        <v>31006760</v>
      </c>
      <c r="H20" s="207">
        <f t="shared" si="11"/>
        <v>23255070</v>
      </c>
      <c r="I20" s="207">
        <f t="shared" si="11"/>
        <v>0</v>
      </c>
      <c r="J20" s="207">
        <f t="shared" si="11"/>
        <v>0</v>
      </c>
      <c r="K20" s="207">
        <f t="shared" si="11"/>
        <v>0</v>
      </c>
      <c r="L20" s="207">
        <f t="shared" si="11"/>
        <v>0</v>
      </c>
      <c r="M20" s="207">
        <f t="shared" si="11"/>
        <v>0</v>
      </c>
      <c r="N20" s="207">
        <f t="shared" si="11"/>
        <v>0</v>
      </c>
    </row>
    <row r="21" spans="2:14" x14ac:dyDescent="0.2">
      <c r="B21" s="1"/>
    </row>
    <row r="23" spans="2:14" x14ac:dyDescent="0.2">
      <c r="B23" s="3"/>
      <c r="C23" s="3"/>
      <c r="D23" s="3" t="s">
        <v>10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">
      <c r="B24" s="4"/>
      <c r="C24" s="4"/>
      <c r="D24" s="5">
        <v>1</v>
      </c>
      <c r="E24" s="5">
        <v>2</v>
      </c>
      <c r="F24" s="5">
        <v>3</v>
      </c>
      <c r="G24" s="5">
        <v>4</v>
      </c>
      <c r="H24" s="5">
        <v>5</v>
      </c>
      <c r="I24" s="5">
        <v>6</v>
      </c>
      <c r="J24" s="5"/>
      <c r="K24" s="5">
        <v>7</v>
      </c>
      <c r="L24" s="5">
        <v>8</v>
      </c>
      <c r="M24" s="5">
        <v>9</v>
      </c>
      <c r="N24" s="5"/>
    </row>
    <row r="25" spans="2:14" x14ac:dyDescent="0.2">
      <c r="B25" s="6" t="s">
        <v>38</v>
      </c>
      <c r="C25" s="6" t="s">
        <v>9</v>
      </c>
      <c r="D25" s="7">
        <f t="shared" ref="D25:N25" si="12">D4</f>
        <v>2026</v>
      </c>
      <c r="E25" s="7">
        <f t="shared" si="12"/>
        <v>2027</v>
      </c>
      <c r="F25" s="7">
        <f t="shared" si="12"/>
        <v>2028</v>
      </c>
      <c r="G25" s="7">
        <f t="shared" si="12"/>
        <v>2029</v>
      </c>
      <c r="H25" s="7">
        <f t="shared" si="12"/>
        <v>2030</v>
      </c>
      <c r="I25" s="7">
        <f t="shared" si="12"/>
        <v>2031</v>
      </c>
      <c r="J25" s="7">
        <f t="shared" si="12"/>
        <v>2032</v>
      </c>
      <c r="K25" s="7">
        <f t="shared" si="12"/>
        <v>2033</v>
      </c>
      <c r="L25" s="7">
        <f t="shared" si="12"/>
        <v>2034</v>
      </c>
      <c r="M25" s="7">
        <f t="shared" si="12"/>
        <v>2035</v>
      </c>
      <c r="N25" s="7" t="str">
        <f t="shared" si="12"/>
        <v>...</v>
      </c>
    </row>
    <row r="26" spans="2:14" x14ac:dyDescent="0.2">
      <c r="B26" s="3" t="s">
        <v>274</v>
      </c>
      <c r="C26" s="8">
        <f>SUM(D26:M26)</f>
        <v>212328900</v>
      </c>
      <c r="D26" s="8">
        <f>SUM(D27:D31)</f>
        <v>0</v>
      </c>
      <c r="E26" s="8">
        <f t="shared" ref="E26:N26" si="13">SUM(E27:E31)</f>
        <v>0</v>
      </c>
      <c r="F26" s="8">
        <f t="shared" si="13"/>
        <v>0</v>
      </c>
      <c r="G26" s="8">
        <f t="shared" si="13"/>
        <v>121330800</v>
      </c>
      <c r="H26" s="8">
        <f t="shared" si="13"/>
        <v>90998100</v>
      </c>
      <c r="I26" s="8">
        <f t="shared" si="13"/>
        <v>0</v>
      </c>
      <c r="J26" s="8">
        <f t="shared" si="13"/>
        <v>0</v>
      </c>
      <c r="K26" s="8">
        <f t="shared" si="13"/>
        <v>0</v>
      </c>
      <c r="L26" s="8">
        <f t="shared" si="13"/>
        <v>0</v>
      </c>
      <c r="M26" s="8">
        <f t="shared" si="13"/>
        <v>0</v>
      </c>
      <c r="N26" s="108">
        <f t="shared" si="13"/>
        <v>0</v>
      </c>
    </row>
    <row r="27" spans="2:14" x14ac:dyDescent="0.2">
      <c r="B27" s="107" t="s">
        <v>472</v>
      </c>
      <c r="C27" s="8">
        <f t="shared" ref="C27:C33" si="14">SUM(D27:M27)</f>
        <v>84931560</v>
      </c>
      <c r="D27" s="108">
        <f>D6*'Parametre EMU550'!$C$47</f>
        <v>0</v>
      </c>
      <c r="E27" s="108">
        <f>E6*'Parametre EMU550'!$C$47</f>
        <v>0</v>
      </c>
      <c r="F27" s="108">
        <f>F6*'Parametre EMU550'!$C$47</f>
        <v>0</v>
      </c>
      <c r="G27" s="108">
        <f>G6*'Parametre EMU550'!$C$47</f>
        <v>48532320</v>
      </c>
      <c r="H27" s="108">
        <f>H6*'Parametre EMU550'!$C$47</f>
        <v>36399240</v>
      </c>
      <c r="I27" s="108">
        <f>I6*'Parametre EMU550'!$C$47</f>
        <v>0</v>
      </c>
      <c r="J27" s="108">
        <f>J6*'Parametre EMU550'!$C$47</f>
        <v>0</v>
      </c>
      <c r="K27" s="108">
        <f>K6*'Parametre EMU550'!$C$47</f>
        <v>0</v>
      </c>
      <c r="L27" s="108">
        <f>L6*'Parametre EMU550'!$C$47</f>
        <v>0</v>
      </c>
      <c r="M27" s="108">
        <f>M6*'Parametre EMU550'!$C$47</f>
        <v>0</v>
      </c>
      <c r="N27" s="108">
        <f>N6*'Parametre EMU550'!$C$47</f>
        <v>0</v>
      </c>
    </row>
    <row r="28" spans="2:14" x14ac:dyDescent="0.2">
      <c r="B28" s="107" t="s">
        <v>473</v>
      </c>
      <c r="C28" s="8">
        <f t="shared" si="14"/>
        <v>63698670</v>
      </c>
      <c r="D28" s="108">
        <f>D7*'Parametre EMU550'!$C$47</f>
        <v>0</v>
      </c>
      <c r="E28" s="108">
        <f>E7*'Parametre EMU550'!$C$47</f>
        <v>0</v>
      </c>
      <c r="F28" s="108">
        <f>F7*'Parametre EMU550'!$C$47</f>
        <v>0</v>
      </c>
      <c r="G28" s="108">
        <f>G7*'Parametre EMU550'!$C$47</f>
        <v>36399240</v>
      </c>
      <c r="H28" s="108">
        <f>H7*'Parametre EMU550'!$C$47</f>
        <v>27299430</v>
      </c>
      <c r="I28" s="108">
        <f>I7*'Parametre EMU550'!$C$47</f>
        <v>0</v>
      </c>
      <c r="J28" s="108">
        <f>J7*'Parametre EMU550'!$C$47</f>
        <v>0</v>
      </c>
      <c r="K28" s="108">
        <f>K7*'Parametre EMU550'!$C$47</f>
        <v>0</v>
      </c>
      <c r="L28" s="108">
        <f>L7*'Parametre EMU550'!$C$47</f>
        <v>0</v>
      </c>
      <c r="M28" s="108">
        <f>M7*'Parametre EMU550'!$C$47</f>
        <v>0</v>
      </c>
      <c r="N28" s="108">
        <f>N7*'Parametre EMU550'!$C$47</f>
        <v>0</v>
      </c>
    </row>
    <row r="29" spans="2:14" x14ac:dyDescent="0.2">
      <c r="B29" s="107" t="s">
        <v>474</v>
      </c>
      <c r="C29" s="8">
        <f t="shared" si="14"/>
        <v>0</v>
      </c>
      <c r="D29" s="108">
        <f>D8*'Parametre EMU550'!$C$47</f>
        <v>0</v>
      </c>
      <c r="E29" s="108">
        <f>E8*'Parametre EMU550'!$C$47</f>
        <v>0</v>
      </c>
      <c r="F29" s="108">
        <f>F8*'Parametre EMU550'!$C$47</f>
        <v>0</v>
      </c>
      <c r="G29" s="108">
        <f>G8*'Parametre EMU550'!$C$47</f>
        <v>0</v>
      </c>
      <c r="H29" s="108">
        <f>H8*'Parametre EMU550'!$C$47</f>
        <v>0</v>
      </c>
      <c r="I29" s="108">
        <f>I8*'Parametre EMU550'!$C$47</f>
        <v>0</v>
      </c>
      <c r="J29" s="108">
        <f>J8*'Parametre EMU550'!$C$47</f>
        <v>0</v>
      </c>
      <c r="K29" s="108">
        <f>K8*'Parametre EMU550'!$C$47</f>
        <v>0</v>
      </c>
      <c r="L29" s="108">
        <f>L8*'Parametre EMU550'!$C$47</f>
        <v>0</v>
      </c>
      <c r="M29" s="108">
        <f>M8*'Parametre EMU550'!$C$47</f>
        <v>0</v>
      </c>
      <c r="N29" s="108">
        <f>N8*'Parametre EMU550'!$C$47</f>
        <v>0</v>
      </c>
    </row>
    <row r="30" spans="2:14" x14ac:dyDescent="0.2">
      <c r="B30" s="107" t="s">
        <v>475</v>
      </c>
      <c r="C30" s="8">
        <f t="shared" si="14"/>
        <v>21232890</v>
      </c>
      <c r="D30" s="108">
        <f>D9*'Parametre EMU550'!$C$47</f>
        <v>0</v>
      </c>
      <c r="E30" s="108">
        <f>E9*'Parametre EMU550'!$C$47</f>
        <v>0</v>
      </c>
      <c r="F30" s="108">
        <f>F9*'Parametre EMU550'!$C$47</f>
        <v>0</v>
      </c>
      <c r="G30" s="108">
        <f>G9*'Parametre EMU550'!$C$47</f>
        <v>12133080</v>
      </c>
      <c r="H30" s="108">
        <f>H9*'Parametre EMU550'!$C$47</f>
        <v>9099810</v>
      </c>
      <c r="I30" s="108">
        <f>I9*'Parametre EMU550'!$C$47</f>
        <v>0</v>
      </c>
      <c r="J30" s="108">
        <f>J9*'Parametre EMU550'!$C$47</f>
        <v>0</v>
      </c>
      <c r="K30" s="108">
        <f>K9*'Parametre EMU550'!$C$47</f>
        <v>0</v>
      </c>
      <c r="L30" s="108">
        <f>L9*'Parametre EMU550'!$C$47</f>
        <v>0</v>
      </c>
      <c r="M30" s="108">
        <f>M9*'Parametre EMU550'!$C$47</f>
        <v>0</v>
      </c>
      <c r="N30" s="108">
        <f>N9*'Parametre EMU550'!$C$47</f>
        <v>0</v>
      </c>
    </row>
    <row r="31" spans="2:14" x14ac:dyDescent="0.2">
      <c r="B31" s="107" t="s">
        <v>476</v>
      </c>
      <c r="C31" s="8">
        <f t="shared" si="14"/>
        <v>42465780</v>
      </c>
      <c r="D31" s="108">
        <f>D10*'Parametre EMU550'!$C$47</f>
        <v>0</v>
      </c>
      <c r="E31" s="108">
        <f>E10*'Parametre EMU550'!$C$47</f>
        <v>0</v>
      </c>
      <c r="F31" s="108">
        <f>F10*'Parametre EMU550'!$C$47</f>
        <v>0</v>
      </c>
      <c r="G31" s="108">
        <f>G10*'Parametre EMU550'!$C$47</f>
        <v>24266160</v>
      </c>
      <c r="H31" s="108">
        <f>H10*'Parametre EMU550'!$C$47</f>
        <v>18199620</v>
      </c>
      <c r="I31" s="108">
        <f>I10*'Parametre EMU550'!$C$47</f>
        <v>0</v>
      </c>
      <c r="J31" s="108">
        <f>J10*'Parametre EMU550'!$C$47</f>
        <v>0</v>
      </c>
      <c r="K31" s="108">
        <f>K10*'Parametre EMU550'!$C$47</f>
        <v>0</v>
      </c>
      <c r="L31" s="108">
        <f>L10*'Parametre EMU550'!$C$47</f>
        <v>0</v>
      </c>
      <c r="M31" s="108">
        <f>M10*'Parametre EMU550'!$C$47</f>
        <v>0</v>
      </c>
      <c r="N31" s="108">
        <f>N10*'Parametre EMU550'!$C$47</f>
        <v>0</v>
      </c>
    </row>
    <row r="32" spans="2:14" x14ac:dyDescent="0.2">
      <c r="B32" s="3" t="s">
        <v>48</v>
      </c>
      <c r="C32" s="8">
        <f t="shared" si="14"/>
        <v>0</v>
      </c>
      <c r="D32" s="8">
        <f>D11*'Parametre EMU550'!$C$47</f>
        <v>0</v>
      </c>
      <c r="E32" s="8">
        <f>E11*'Parametre EMU550'!$C$47</f>
        <v>0</v>
      </c>
      <c r="F32" s="8">
        <f>F11*'Parametre EMU550'!$C$47</f>
        <v>0</v>
      </c>
      <c r="G32" s="8">
        <f>G11*'Parametre EMU550'!$C$47</f>
        <v>0</v>
      </c>
      <c r="H32" s="8">
        <f>H11*'Parametre EMU550'!$C$47</f>
        <v>0</v>
      </c>
      <c r="I32" s="8">
        <f>I11*'Parametre EMU550'!$C$47</f>
        <v>0</v>
      </c>
      <c r="J32" s="8">
        <f>J11*'Parametre EMU550'!$C$47</f>
        <v>0</v>
      </c>
      <c r="K32" s="8">
        <f>K11*'Parametre EMU550'!$C$47</f>
        <v>0</v>
      </c>
      <c r="L32" s="8">
        <f>L11*'Parametre EMU550'!$C$47</f>
        <v>0</v>
      </c>
      <c r="M32" s="8">
        <f>M11*'Parametre EMU550'!$C$47</f>
        <v>0</v>
      </c>
      <c r="N32" s="108">
        <f>N11*'Parametre EMU550'!$C$47</f>
        <v>0</v>
      </c>
    </row>
    <row r="33" spans="2:14" x14ac:dyDescent="0.2">
      <c r="B33" s="4" t="s">
        <v>45</v>
      </c>
      <c r="C33" s="13">
        <f t="shared" si="14"/>
        <v>212328900</v>
      </c>
      <c r="D33" s="13">
        <f t="shared" ref="D33:N33" si="15">SUM(D26:D26,D32:D32)</f>
        <v>0</v>
      </c>
      <c r="E33" s="13">
        <f t="shared" si="15"/>
        <v>0</v>
      </c>
      <c r="F33" s="13">
        <f t="shared" si="15"/>
        <v>0</v>
      </c>
      <c r="G33" s="13">
        <f t="shared" si="15"/>
        <v>121330800</v>
      </c>
      <c r="H33" s="13">
        <f t="shared" si="15"/>
        <v>90998100</v>
      </c>
      <c r="I33" s="13">
        <f t="shared" si="15"/>
        <v>0</v>
      </c>
      <c r="J33" s="13">
        <f t="shared" si="15"/>
        <v>0</v>
      </c>
      <c r="K33" s="13">
        <f t="shared" si="15"/>
        <v>0</v>
      </c>
      <c r="L33" s="13">
        <f t="shared" si="15"/>
        <v>0</v>
      </c>
      <c r="M33" s="13">
        <f t="shared" si="15"/>
        <v>0</v>
      </c>
      <c r="N33" s="13">
        <f t="shared" si="15"/>
        <v>0</v>
      </c>
    </row>
    <row r="34" spans="2:14" x14ac:dyDescent="0.2">
      <c r="B34" s="15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</row>
    <row r="35" spans="2:14" x14ac:dyDescent="0.2">
      <c r="B35" s="15" t="s">
        <v>273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spans="2:14" x14ac:dyDescent="0.2">
      <c r="B36" s="105" t="s">
        <v>472</v>
      </c>
    </row>
    <row r="37" spans="2:14" x14ac:dyDescent="0.2">
      <c r="B37" s="208" t="s">
        <v>490</v>
      </c>
    </row>
    <row r="38" spans="2:14" x14ac:dyDescent="0.2">
      <c r="B38" s="105" t="s">
        <v>473</v>
      </c>
    </row>
    <row r="39" spans="2:14" x14ac:dyDescent="0.2">
      <c r="B39" s="208" t="s">
        <v>491</v>
      </c>
    </row>
    <row r="40" spans="2:14" x14ac:dyDescent="0.2">
      <c r="B40" s="105" t="s">
        <v>474</v>
      </c>
    </row>
    <row r="41" spans="2:14" x14ac:dyDescent="0.2">
      <c r="B41" s="208" t="s">
        <v>492</v>
      </c>
    </row>
    <row r="42" spans="2:14" x14ac:dyDescent="0.2">
      <c r="B42" s="105" t="s">
        <v>475</v>
      </c>
    </row>
    <row r="43" spans="2:14" x14ac:dyDescent="0.2">
      <c r="B43" s="208" t="s">
        <v>493</v>
      </c>
    </row>
    <row r="44" spans="2:14" x14ac:dyDescent="0.2">
      <c r="B44" s="105" t="s">
        <v>476</v>
      </c>
    </row>
    <row r="45" spans="2:14" x14ac:dyDescent="0.2">
      <c r="B45" s="208" t="s">
        <v>494</v>
      </c>
    </row>
    <row r="46" spans="2:14" x14ac:dyDescent="0.2">
      <c r="B46" s="106" t="s">
        <v>163</v>
      </c>
    </row>
    <row r="47" spans="2:14" x14ac:dyDescent="0.2">
      <c r="B47" s="1" t="s">
        <v>275</v>
      </c>
    </row>
    <row r="48" spans="2:14" x14ac:dyDescent="0.2">
      <c r="B48" s="105" t="s">
        <v>164</v>
      </c>
    </row>
    <row r="49" spans="2:5" x14ac:dyDescent="0.2">
      <c r="B49" s="208" t="s">
        <v>376</v>
      </c>
    </row>
    <row r="50" spans="2:5" x14ac:dyDescent="0.2">
      <c r="B50" s="105" t="s">
        <v>377</v>
      </c>
    </row>
    <row r="51" spans="2:5" x14ac:dyDescent="0.2">
      <c r="B51" s="208" t="s">
        <v>378</v>
      </c>
    </row>
    <row r="53" spans="2:5" ht="22.5" x14ac:dyDescent="0.2">
      <c r="B53" s="286" t="s">
        <v>516</v>
      </c>
      <c r="C53" s="287" t="s">
        <v>517</v>
      </c>
      <c r="D53" s="288" t="s">
        <v>518</v>
      </c>
      <c r="E53" s="287" t="s">
        <v>519</v>
      </c>
    </row>
    <row r="54" spans="2:5" x14ac:dyDescent="0.2">
      <c r="B54" s="130" t="s">
        <v>675</v>
      </c>
      <c r="C54" s="66">
        <v>33703000</v>
      </c>
      <c r="D54" s="43">
        <v>7</v>
      </c>
      <c r="E54" s="289">
        <f>C54*D54</f>
        <v>235921000</v>
      </c>
    </row>
    <row r="55" spans="2:5" x14ac:dyDescent="0.2">
      <c r="B55" s="290" t="s">
        <v>512</v>
      </c>
      <c r="C55" s="291"/>
      <c r="D55" s="292">
        <f>SUM(D54:D54)</f>
        <v>7</v>
      </c>
      <c r="E55" s="293">
        <f>SUM(E54:E54)</f>
        <v>235921000</v>
      </c>
    </row>
  </sheetData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7512-5F60-4D62-B069-CE429DCBF665}">
  <sheetPr>
    <tabColor rgb="FFFFC000"/>
  </sheetPr>
  <dimension ref="B1:R21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50.85546875" style="2" customWidth="1"/>
    <col min="3" max="9" width="13.85546875" style="2" customWidth="1"/>
    <col min="10" max="11" width="5" style="2" bestFit="1" customWidth="1"/>
    <col min="12" max="12" width="12.85546875" style="2" customWidth="1"/>
    <col min="13" max="36" width="5" style="2" bestFit="1" customWidth="1"/>
    <col min="37" max="16384" width="9.140625" style="2"/>
  </cols>
  <sheetData>
    <row r="1" spans="2:18" ht="12" thickBot="1" x14ac:dyDescent="0.25"/>
    <row r="2" spans="2:18" x14ac:dyDescent="0.2">
      <c r="B2" s="15" t="s">
        <v>76</v>
      </c>
      <c r="H2" s="53" t="s">
        <v>77</v>
      </c>
      <c r="I2" s="54" t="s">
        <v>78</v>
      </c>
    </row>
    <row r="3" spans="2:18" ht="56.25" x14ac:dyDescent="0.2">
      <c r="B3" s="47" t="s">
        <v>479</v>
      </c>
      <c r="C3" s="48" t="s">
        <v>276</v>
      </c>
      <c r="D3" s="48" t="s">
        <v>64</v>
      </c>
      <c r="E3" s="48" t="s">
        <v>31</v>
      </c>
      <c r="F3" s="48" t="s">
        <v>30</v>
      </c>
      <c r="G3" s="49" t="s">
        <v>32</v>
      </c>
      <c r="H3" s="51" t="s">
        <v>16</v>
      </c>
      <c r="I3" s="52" t="s">
        <v>16</v>
      </c>
      <c r="L3" s="2" t="s">
        <v>165</v>
      </c>
    </row>
    <row r="4" spans="2:18" x14ac:dyDescent="0.2">
      <c r="B4" s="16" t="s">
        <v>472</v>
      </c>
      <c r="C4" s="18">
        <v>50</v>
      </c>
      <c r="D4" s="112">
        <f>$E$21-'Parametre EMU550'!$C$15</f>
        <v>35</v>
      </c>
      <c r="E4" s="17">
        <f>ROUNDDOWN(D4/C4,0)</f>
        <v>0</v>
      </c>
      <c r="F4" s="18">
        <f>C4+(E4*C4)</f>
        <v>50</v>
      </c>
      <c r="G4" s="50">
        <f>(F4-D4)/C4</f>
        <v>0.3</v>
      </c>
      <c r="H4" s="151">
        <f>G4*'01 Investičné výdavky EMU550'!C6</f>
        <v>28310520</v>
      </c>
      <c r="I4" s="153">
        <f>H4*'Parametre EMU550'!$C$47</f>
        <v>25479468</v>
      </c>
      <c r="L4" s="2" t="s">
        <v>166</v>
      </c>
    </row>
    <row r="5" spans="2:18" x14ac:dyDescent="0.2">
      <c r="B5" s="16" t="s">
        <v>473</v>
      </c>
      <c r="C5" s="18">
        <v>30</v>
      </c>
      <c r="D5" s="112">
        <f>$E$21-'Parametre EMU550'!$C$15</f>
        <v>35</v>
      </c>
      <c r="E5" s="17">
        <f t="shared" ref="E5:E8" si="0">ROUNDDOWN(D5/C5,0)</f>
        <v>1</v>
      </c>
      <c r="F5" s="18">
        <f t="shared" ref="F5:F8" si="1">C5+(E5*C5)</f>
        <v>60</v>
      </c>
      <c r="G5" s="50">
        <f t="shared" ref="G5:G8" si="2">(F5-D5)/C5</f>
        <v>0.83333333333333337</v>
      </c>
      <c r="H5" s="151">
        <f>G5*'01 Investičné výdavky EMU550'!C7</f>
        <v>58980250</v>
      </c>
      <c r="I5" s="153">
        <f>H5*'Parametre EMU550'!$C$47</f>
        <v>53082225</v>
      </c>
      <c r="K5" s="205" t="s">
        <v>477</v>
      </c>
      <c r="L5" s="279">
        <f>'01 Investičné výdavky EMU550'!C6*1</f>
        <v>94368400</v>
      </c>
      <c r="M5" s="280">
        <f>E5</f>
        <v>1</v>
      </c>
      <c r="N5" s="280" t="s">
        <v>478</v>
      </c>
      <c r="O5" s="280"/>
      <c r="P5" s="280"/>
      <c r="Q5" s="280"/>
      <c r="R5" s="280"/>
    </row>
    <row r="6" spans="2:18" x14ac:dyDescent="0.2">
      <c r="B6" s="16" t="s">
        <v>474</v>
      </c>
      <c r="C6" s="18">
        <v>30</v>
      </c>
      <c r="D6" s="112">
        <f>$E$21-'Parametre EMU550'!$C$15</f>
        <v>35</v>
      </c>
      <c r="E6" s="17">
        <f t="shared" si="0"/>
        <v>1</v>
      </c>
      <c r="F6" s="18">
        <f t="shared" si="1"/>
        <v>60</v>
      </c>
      <c r="G6" s="50">
        <f t="shared" si="2"/>
        <v>0.83333333333333337</v>
      </c>
      <c r="H6" s="151">
        <f>G6*'01 Investičné výdavky EMU550'!C8</f>
        <v>0</v>
      </c>
      <c r="I6" s="153">
        <f>H6*'Parametre EMU550'!$C$47</f>
        <v>0</v>
      </c>
      <c r="K6" s="205" t="s">
        <v>477</v>
      </c>
      <c r="L6" s="279">
        <f>'01 Investičné výdavky EMU550'!C7*1</f>
        <v>70776300</v>
      </c>
      <c r="M6" s="280">
        <f t="shared" ref="M6:M8" si="3">E6</f>
        <v>1</v>
      </c>
      <c r="N6" s="280" t="s">
        <v>478</v>
      </c>
      <c r="O6" s="280"/>
      <c r="P6" s="280"/>
      <c r="Q6" s="280"/>
      <c r="R6" s="280"/>
    </row>
    <row r="7" spans="2:18" x14ac:dyDescent="0.2">
      <c r="B7" s="16" t="s">
        <v>475</v>
      </c>
      <c r="C7" s="18">
        <v>30</v>
      </c>
      <c r="D7" s="112">
        <f>$E$21-'Parametre EMU550'!$C$15</f>
        <v>35</v>
      </c>
      <c r="E7" s="17">
        <f t="shared" si="0"/>
        <v>1</v>
      </c>
      <c r="F7" s="18">
        <f t="shared" si="1"/>
        <v>60</v>
      </c>
      <c r="G7" s="50">
        <f t="shared" si="2"/>
        <v>0.83333333333333337</v>
      </c>
      <c r="H7" s="151">
        <f>G7*'01 Investičné výdavky EMU550'!C9</f>
        <v>19660083.333333336</v>
      </c>
      <c r="I7" s="153">
        <f>H7*'Parametre EMU550'!$C$47</f>
        <v>17694075.000000004</v>
      </c>
      <c r="K7" s="205" t="s">
        <v>477</v>
      </c>
      <c r="L7" s="279">
        <f>'01 Investičné výdavky EMU550'!C8*1</f>
        <v>0</v>
      </c>
      <c r="M7" s="280">
        <f t="shared" si="3"/>
        <v>1</v>
      </c>
      <c r="N7" s="280" t="s">
        <v>478</v>
      </c>
      <c r="O7" s="280"/>
      <c r="P7" s="280"/>
      <c r="Q7" s="280"/>
      <c r="R7" s="280"/>
    </row>
    <row r="8" spans="2:18" ht="12" thickBot="1" x14ac:dyDescent="0.25">
      <c r="B8" s="16" t="s">
        <v>476</v>
      </c>
      <c r="C8" s="18">
        <v>20</v>
      </c>
      <c r="D8" s="112">
        <f>$E$21-'Parametre EMU550'!$C$15</f>
        <v>35</v>
      </c>
      <c r="E8" s="17">
        <f t="shared" si="0"/>
        <v>1</v>
      </c>
      <c r="F8" s="18">
        <f t="shared" si="1"/>
        <v>40</v>
      </c>
      <c r="G8" s="50">
        <f t="shared" si="2"/>
        <v>0.25</v>
      </c>
      <c r="H8" s="151">
        <f>G8*'01 Investičné výdavky EMU550'!C10</f>
        <v>11796050</v>
      </c>
      <c r="I8" s="153">
        <f>H8*'Parametre EMU550'!$C$47</f>
        <v>10616445</v>
      </c>
      <c r="K8" s="205" t="s">
        <v>477</v>
      </c>
      <c r="L8" s="279">
        <f>'01 Investičné výdavky EMU550'!C9*1</f>
        <v>23592100</v>
      </c>
      <c r="M8" s="280">
        <f t="shared" si="3"/>
        <v>1</v>
      </c>
      <c r="N8" s="280" t="s">
        <v>478</v>
      </c>
      <c r="O8" s="280"/>
      <c r="P8" s="280"/>
      <c r="Q8" s="280"/>
      <c r="R8" s="280"/>
    </row>
    <row r="9" spans="2:18" ht="12" thickBot="1" x14ac:dyDescent="0.25">
      <c r="B9" s="4" t="s">
        <v>16</v>
      </c>
      <c r="C9" s="3"/>
      <c r="D9" s="3"/>
      <c r="E9" s="3"/>
      <c r="F9" s="3"/>
      <c r="G9" s="26"/>
      <c r="H9" s="152">
        <f>SUM(H4:H8)</f>
        <v>118746903.33333334</v>
      </c>
      <c r="I9" s="150">
        <f>SUM(I4:I8)</f>
        <v>106872213</v>
      </c>
    </row>
    <row r="10" spans="2:18" x14ac:dyDescent="0.2">
      <c r="B10" s="1" t="s">
        <v>277</v>
      </c>
    </row>
    <row r="12" spans="2:18" x14ac:dyDescent="0.2">
      <c r="B12" s="15" t="s">
        <v>379</v>
      </c>
      <c r="G12" s="760" t="s">
        <v>661</v>
      </c>
      <c r="H12" s="496"/>
    </row>
    <row r="13" spans="2:18" ht="22.5" x14ac:dyDescent="0.2">
      <c r="B13" s="47" t="s">
        <v>480</v>
      </c>
      <c r="C13" s="48" t="s">
        <v>380</v>
      </c>
      <c r="D13" s="48" t="s">
        <v>381</v>
      </c>
      <c r="E13" s="48" t="s">
        <v>382</v>
      </c>
      <c r="G13" s="749">
        <f>'01 Investičné výdavky EMU550'!C54</f>
        <v>33703000</v>
      </c>
      <c r="H13" s="294"/>
    </row>
    <row r="14" spans="2:18" x14ac:dyDescent="0.2">
      <c r="B14" s="16" t="s">
        <v>472</v>
      </c>
      <c r="C14" s="18">
        <f>C4</f>
        <v>50</v>
      </c>
      <c r="D14" s="209">
        <f>'01 Investičné výdavky EMU550'!C6</f>
        <v>94368400</v>
      </c>
      <c r="E14" s="3">
        <f>ROUND(D14/$D$19,2)</f>
        <v>0.4</v>
      </c>
      <c r="G14" s="749">
        <f>G13*40%</f>
        <v>13481200</v>
      </c>
      <c r="H14" s="294"/>
    </row>
    <row r="15" spans="2:18" x14ac:dyDescent="0.2">
      <c r="B15" s="16" t="s">
        <v>473</v>
      </c>
      <c r="C15" s="18">
        <f t="shared" ref="C15:C18" si="4">C5</f>
        <v>30</v>
      </c>
      <c r="D15" s="209">
        <f>'01 Investičné výdavky EMU550'!C7</f>
        <v>70776300</v>
      </c>
      <c r="E15" s="3">
        <f t="shared" ref="E15:E18" si="5">ROUND(D15/$D$19,2)</f>
        <v>0.3</v>
      </c>
      <c r="G15" s="749">
        <f>G13*30%</f>
        <v>10110900</v>
      </c>
      <c r="H15" s="294"/>
    </row>
    <row r="16" spans="2:18" x14ac:dyDescent="0.2">
      <c r="B16" s="16" t="s">
        <v>474</v>
      </c>
      <c r="C16" s="18">
        <f t="shared" si="4"/>
        <v>30</v>
      </c>
      <c r="D16" s="209">
        <f>'01 Investičné výdavky EMU550'!C8</f>
        <v>0</v>
      </c>
      <c r="E16" s="3">
        <f t="shared" si="5"/>
        <v>0</v>
      </c>
      <c r="G16" s="749">
        <f>G13*0%</f>
        <v>0</v>
      </c>
      <c r="H16" s="294"/>
    </row>
    <row r="17" spans="2:8" x14ac:dyDescent="0.2">
      <c r="B17" s="16" t="s">
        <v>475</v>
      </c>
      <c r="C17" s="18">
        <f t="shared" si="4"/>
        <v>30</v>
      </c>
      <c r="D17" s="209">
        <f>'01 Investičné výdavky EMU550'!C9</f>
        <v>23592100</v>
      </c>
      <c r="E17" s="3">
        <f t="shared" si="5"/>
        <v>0.1</v>
      </c>
      <c r="G17" s="749">
        <f>G13*10%</f>
        <v>3370300</v>
      </c>
      <c r="H17" s="294"/>
    </row>
    <row r="18" spans="2:8" x14ac:dyDescent="0.2">
      <c r="B18" s="16" t="s">
        <v>476</v>
      </c>
      <c r="C18" s="18">
        <f t="shared" si="4"/>
        <v>20</v>
      </c>
      <c r="D18" s="209">
        <f>'01 Investičné výdavky EMU550'!C10</f>
        <v>47184200</v>
      </c>
      <c r="E18" s="3">
        <f t="shared" si="5"/>
        <v>0.2</v>
      </c>
      <c r="G18" s="749">
        <f>G13*20%</f>
        <v>6740600</v>
      </c>
      <c r="H18" s="294"/>
    </row>
    <row r="19" spans="2:8" ht="12" thickBot="1" x14ac:dyDescent="0.25">
      <c r="B19" s="210"/>
      <c r="C19" s="211"/>
      <c r="D19" s="212">
        <f>SUM(D14:D18)</f>
        <v>235921000</v>
      </c>
      <c r="E19" s="211"/>
    </row>
    <row r="20" spans="2:8" x14ac:dyDescent="0.2">
      <c r="B20" s="213" t="s">
        <v>383</v>
      </c>
      <c r="C20" s="214"/>
      <c r="D20" s="215"/>
      <c r="E20" s="216">
        <f>IFERROR(ROUND(SUMPRODUCT(C14:C18,E14:E18),0),0)</f>
        <v>36</v>
      </c>
    </row>
    <row r="21" spans="2:8" ht="12" thickBot="1" x14ac:dyDescent="0.25">
      <c r="B21" s="217" t="s">
        <v>384</v>
      </c>
      <c r="C21" s="218"/>
      <c r="D21" s="219"/>
      <c r="E21" s="220">
        <f>IF(E20&lt;='Parametre EMU550'!C16,ROUND(E20+'Parametre EMU550'!C15,0),40)</f>
        <v>40</v>
      </c>
    </row>
  </sheetData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28D3-4AAD-4884-A754-426653992A98}">
  <sheetPr>
    <tabColor rgb="FFFFC000"/>
  </sheetPr>
  <dimension ref="B2:AQ46"/>
  <sheetViews>
    <sheetView zoomScale="90" zoomScaleNormal="90" workbookViewId="0"/>
  </sheetViews>
  <sheetFormatPr defaultColWidth="9.140625" defaultRowHeight="11.25" x14ac:dyDescent="0.2"/>
  <cols>
    <col min="1" max="1" width="2" style="2" customWidth="1"/>
    <col min="2" max="2" width="41.5703125" style="2" customWidth="1"/>
    <col min="3" max="3" width="12" style="2" bestFit="1" customWidth="1"/>
    <col min="4" max="8" width="9.5703125" style="2" bestFit="1" customWidth="1"/>
    <col min="9" max="10" width="10.140625" style="2" bestFit="1" customWidth="1"/>
    <col min="11" max="18" width="9.5703125" style="2" bestFit="1" customWidth="1"/>
    <col min="19" max="20" width="10.140625" style="2" bestFit="1" customWidth="1"/>
    <col min="21" max="29" width="9.5703125" style="2" bestFit="1" customWidth="1"/>
    <col min="30" max="30" width="10.140625" style="2" bestFit="1" customWidth="1"/>
    <col min="31" max="38" width="9.5703125" style="2" bestFit="1" customWidth="1"/>
    <col min="39" max="40" width="10.140625" style="2" bestFit="1" customWidth="1"/>
    <col min="41" max="42" width="9.5703125" style="2" bestFit="1" customWidth="1"/>
    <col min="43" max="43" width="10.140625" style="2" bestFit="1" customWidth="1"/>
    <col min="44" max="44" width="7.42578125" style="2" customWidth="1"/>
    <col min="45" max="16384" width="9.140625" style="2"/>
  </cols>
  <sheetData>
    <row r="2" spans="2:43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 t="s">
        <v>50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  <c r="AM3" s="3">
        <v>36</v>
      </c>
      <c r="AN3" s="3">
        <v>37</v>
      </c>
      <c r="AO3" s="3">
        <v>38</v>
      </c>
      <c r="AP3" s="3">
        <v>39</v>
      </c>
      <c r="AQ3" s="3">
        <v>40</v>
      </c>
    </row>
    <row r="4" spans="2:43" x14ac:dyDescent="0.2">
      <c r="B4" s="6" t="s">
        <v>33</v>
      </c>
      <c r="C4" s="6" t="s">
        <v>9</v>
      </c>
      <c r="D4" s="7">
        <f>'Parametre EMU550'!C13</f>
        <v>2026</v>
      </c>
      <c r="E4" s="7">
        <f>$D$4+D3</f>
        <v>2027</v>
      </c>
      <c r="F4" s="7">
        <f>$D$4+E3</f>
        <v>2028</v>
      </c>
      <c r="G4" s="7">
        <f>$D$4+F3</f>
        <v>2029</v>
      </c>
      <c r="H4" s="7">
        <f t="shared" ref="H4:AK4" si="0">$D$4+G3</f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si="0"/>
        <v>2056</v>
      </c>
      <c r="AI4" s="7">
        <f t="shared" si="0"/>
        <v>2057</v>
      </c>
      <c r="AJ4" s="7">
        <f t="shared" si="0"/>
        <v>2058</v>
      </c>
      <c r="AK4" s="7">
        <f t="shared" si="0"/>
        <v>2059</v>
      </c>
      <c r="AL4" s="7">
        <f t="shared" ref="AL4:AQ4" si="1">$D$4+AK3</f>
        <v>2060</v>
      </c>
      <c r="AM4" s="7">
        <f t="shared" si="1"/>
        <v>2061</v>
      </c>
      <c r="AN4" s="7">
        <f t="shared" si="1"/>
        <v>2062</v>
      </c>
      <c r="AO4" s="7">
        <f t="shared" si="1"/>
        <v>2063</v>
      </c>
      <c r="AP4" s="7">
        <f t="shared" si="1"/>
        <v>2064</v>
      </c>
      <c r="AQ4" s="7">
        <f t="shared" si="1"/>
        <v>2065</v>
      </c>
    </row>
    <row r="5" spans="2:43" x14ac:dyDescent="0.2">
      <c r="B5" s="3" t="s">
        <v>281</v>
      </c>
      <c r="C5" s="8">
        <f>SUM(D5:AQ5)</f>
        <v>1112679814.2240002</v>
      </c>
      <c r="D5" s="9">
        <f>'03A PV EMU550 bez proj. pomoc'!D28</f>
        <v>27816995.355600003</v>
      </c>
      <c r="E5" s="9">
        <f>'03A PV EMU550 bez proj. pomoc'!E28</f>
        <v>27816995.355600003</v>
      </c>
      <c r="F5" s="9">
        <f>'03A PV EMU550 bez proj. pomoc'!F28</f>
        <v>27816995.355600003</v>
      </c>
      <c r="G5" s="9">
        <f>'03A PV EMU550 bez proj. pomoc'!G28</f>
        <v>27816995.355600003</v>
      </c>
      <c r="H5" s="9">
        <f>'03A PV EMU550 bez proj. pomoc'!H28</f>
        <v>27816995.355600003</v>
      </c>
      <c r="I5" s="9">
        <f>'03A PV EMU550 bez proj. pomoc'!I28</f>
        <v>27816995.355600003</v>
      </c>
      <c r="J5" s="9">
        <f>'03A PV EMU550 bez proj. pomoc'!J28</f>
        <v>27816995.355600003</v>
      </c>
      <c r="K5" s="9">
        <f>'03A PV EMU550 bez proj. pomoc'!K28</f>
        <v>27816995.355600003</v>
      </c>
      <c r="L5" s="9">
        <f>'03A PV EMU550 bez proj. pomoc'!L28</f>
        <v>27816995.355600003</v>
      </c>
      <c r="M5" s="9">
        <f>'03A PV EMU550 bez proj. pomoc'!M28</f>
        <v>27816995.355600003</v>
      </c>
      <c r="N5" s="9">
        <f>'03A PV EMU550 bez proj. pomoc'!N28</f>
        <v>27816995.355600003</v>
      </c>
      <c r="O5" s="9">
        <f>'03A PV EMU550 bez proj. pomoc'!O28</f>
        <v>27816995.355600003</v>
      </c>
      <c r="P5" s="9">
        <f>'03A PV EMU550 bez proj. pomoc'!P28</f>
        <v>27816995.355600003</v>
      </c>
      <c r="Q5" s="9">
        <f>'03A PV EMU550 bez proj. pomoc'!Q28</f>
        <v>27816995.355600003</v>
      </c>
      <c r="R5" s="9">
        <f>'03A PV EMU550 bez proj. pomoc'!R28</f>
        <v>27816995.355600003</v>
      </c>
      <c r="S5" s="9">
        <f>'03A PV EMU550 bez proj. pomoc'!S28</f>
        <v>27816995.355600003</v>
      </c>
      <c r="T5" s="9">
        <f>'03A PV EMU550 bez proj. pomoc'!T28</f>
        <v>27816995.355600003</v>
      </c>
      <c r="U5" s="9">
        <f>'03A PV EMU550 bez proj. pomoc'!U28</f>
        <v>27816995.355600003</v>
      </c>
      <c r="V5" s="9">
        <f>'03A PV EMU550 bez proj. pomoc'!V28</f>
        <v>27816995.355600003</v>
      </c>
      <c r="W5" s="9">
        <f>'03A PV EMU550 bez proj. pomoc'!W28</f>
        <v>27816995.355600003</v>
      </c>
      <c r="X5" s="9">
        <f>'03A PV EMU550 bez proj. pomoc'!X28</f>
        <v>27816995.355600003</v>
      </c>
      <c r="Y5" s="9">
        <f>'03A PV EMU550 bez proj. pomoc'!Y28</f>
        <v>27816995.355600003</v>
      </c>
      <c r="Z5" s="9">
        <f>'03A PV EMU550 bez proj. pomoc'!Z28</f>
        <v>27816995.355600003</v>
      </c>
      <c r="AA5" s="9">
        <f>'03A PV EMU550 bez proj. pomoc'!AA28</f>
        <v>27816995.355600003</v>
      </c>
      <c r="AB5" s="9">
        <f>'03A PV EMU550 bez proj. pomoc'!AB28</f>
        <v>27816995.355600003</v>
      </c>
      <c r="AC5" s="9">
        <f>'03A PV EMU550 bez proj. pomoc'!AC28</f>
        <v>27816995.355600003</v>
      </c>
      <c r="AD5" s="9">
        <f>'03A PV EMU550 bez proj. pomoc'!AD28</f>
        <v>27816995.355600003</v>
      </c>
      <c r="AE5" s="9">
        <f>'03A PV EMU550 bez proj. pomoc'!AE28</f>
        <v>27816995.355600003</v>
      </c>
      <c r="AF5" s="9">
        <f>'03A PV EMU550 bez proj. pomoc'!AF28</f>
        <v>27816995.355600003</v>
      </c>
      <c r="AG5" s="9">
        <f>'03A PV EMU550 bez proj. pomoc'!AG28</f>
        <v>27816995.355600003</v>
      </c>
      <c r="AH5" s="9">
        <f>'03A PV EMU550 bez proj. pomoc'!AH28</f>
        <v>27816995.355600003</v>
      </c>
      <c r="AI5" s="9">
        <f>'03A PV EMU550 bez proj. pomoc'!AI28</f>
        <v>27816995.355600003</v>
      </c>
      <c r="AJ5" s="9">
        <f>'03A PV EMU550 bez proj. pomoc'!AJ28</f>
        <v>27816995.355600003</v>
      </c>
      <c r="AK5" s="9">
        <f>'03A PV EMU550 bez proj. pomoc'!AK28</f>
        <v>27816995.355600003</v>
      </c>
      <c r="AL5" s="9">
        <f>'03A PV EMU550 bez proj. pomoc'!AL28</f>
        <v>27816995.355600003</v>
      </c>
      <c r="AM5" s="9">
        <f>'03A PV EMU550 bez proj. pomoc'!AM28</f>
        <v>27816995.355600003</v>
      </c>
      <c r="AN5" s="9">
        <f>'03A PV EMU550 bez proj. pomoc'!AN28</f>
        <v>27816995.355600003</v>
      </c>
      <c r="AO5" s="9">
        <f>'03A PV EMU550 bez proj. pomoc'!AO28</f>
        <v>27816995.355600003</v>
      </c>
      <c r="AP5" s="9">
        <f>'03A PV EMU550 bez proj. pomoc'!AP28</f>
        <v>27816995.355600003</v>
      </c>
      <c r="AQ5" s="9">
        <f>'03A PV EMU550 bez proj. pomoc'!AQ28</f>
        <v>27816995.355600003</v>
      </c>
    </row>
    <row r="6" spans="2:43" x14ac:dyDescent="0.2">
      <c r="B6" s="3" t="s">
        <v>279</v>
      </c>
      <c r="C6" s="8">
        <f t="shared" ref="C6:C10" si="2">SUM(D6:AQ6)</f>
        <v>375200000</v>
      </c>
      <c r="D6" s="9">
        <f>'03A PV EMU550 bez proj. pomoc'!D29</f>
        <v>0</v>
      </c>
      <c r="E6" s="9">
        <f>'03A PV EMU550 bez proj. pomoc'!E29</f>
        <v>0</v>
      </c>
      <c r="F6" s="9">
        <f>'03A PV EMU550 bez proj. pomoc'!F29</f>
        <v>0</v>
      </c>
      <c r="G6" s="9">
        <f>'03A PV EMU550 bez proj. pomoc'!G29</f>
        <v>0</v>
      </c>
      <c r="H6" s="9">
        <f>'03A PV EMU550 bez proj. pomoc'!H29</f>
        <v>0</v>
      </c>
      <c r="I6" s="9">
        <f>'03A PV EMU550 bez proj. pomoc'!I29</f>
        <v>26800000</v>
      </c>
      <c r="J6" s="9">
        <f>'03A PV EMU550 bez proj. pomoc'!J29</f>
        <v>26800000</v>
      </c>
      <c r="K6" s="9">
        <f>'03A PV EMU550 bez proj. pomoc'!K29</f>
        <v>0</v>
      </c>
      <c r="L6" s="9">
        <f>'03A PV EMU550 bez proj. pomoc'!L29</f>
        <v>0</v>
      </c>
      <c r="M6" s="9">
        <f>'03A PV EMU550 bez proj. pomoc'!M29</f>
        <v>0</v>
      </c>
      <c r="N6" s="9">
        <f>'03A PV EMU550 bez proj. pomoc'!N29</f>
        <v>0</v>
      </c>
      <c r="O6" s="9">
        <f>'03A PV EMU550 bez proj. pomoc'!O29</f>
        <v>0</v>
      </c>
      <c r="P6" s="9">
        <f>'03A PV EMU550 bez proj. pomoc'!P29</f>
        <v>0</v>
      </c>
      <c r="Q6" s="9">
        <f>'03A PV EMU550 bez proj. pomoc'!Q29</f>
        <v>0</v>
      </c>
      <c r="R6" s="9">
        <f>'03A PV EMU550 bez proj. pomoc'!R29</f>
        <v>0</v>
      </c>
      <c r="S6" s="9">
        <f>'03A PV EMU550 bez proj. pomoc'!S29</f>
        <v>53600000</v>
      </c>
      <c r="T6" s="9">
        <f>'03A PV EMU550 bez proj. pomoc'!T29</f>
        <v>53600000</v>
      </c>
      <c r="U6" s="9">
        <f>'03A PV EMU550 bez proj. pomoc'!U29</f>
        <v>0</v>
      </c>
      <c r="V6" s="9">
        <f>'03A PV EMU550 bez proj. pomoc'!V29</f>
        <v>0</v>
      </c>
      <c r="W6" s="9">
        <f>'03A PV EMU550 bez proj. pomoc'!W29</f>
        <v>0</v>
      </c>
      <c r="X6" s="9">
        <f>'03A PV EMU550 bez proj. pomoc'!X29</f>
        <v>0</v>
      </c>
      <c r="Y6" s="9">
        <f>'03A PV EMU550 bez proj. pomoc'!Y29</f>
        <v>0</v>
      </c>
      <c r="Z6" s="9">
        <f>'03A PV EMU550 bez proj. pomoc'!Z29</f>
        <v>0</v>
      </c>
      <c r="AA6" s="9">
        <f>'03A PV EMU550 bez proj. pomoc'!AA29</f>
        <v>0</v>
      </c>
      <c r="AB6" s="9">
        <f>'03A PV EMU550 bez proj. pomoc'!AB29</f>
        <v>0</v>
      </c>
      <c r="AC6" s="9">
        <f>'03A PV EMU550 bez proj. pomoc'!AC29</f>
        <v>26800000</v>
      </c>
      <c r="AD6" s="9">
        <f>'03A PV EMU550 bez proj. pomoc'!AD29</f>
        <v>26800000</v>
      </c>
      <c r="AE6" s="9">
        <f>'03A PV EMU550 bez proj. pomoc'!AE29</f>
        <v>0</v>
      </c>
      <c r="AF6" s="9">
        <f>'03A PV EMU550 bez proj. pomoc'!AF29</f>
        <v>0</v>
      </c>
      <c r="AG6" s="9">
        <f>'03A PV EMU550 bez proj. pomoc'!AG29</f>
        <v>0</v>
      </c>
      <c r="AH6" s="9">
        <f>'03A PV EMU550 bez proj. pomoc'!AH29</f>
        <v>0</v>
      </c>
      <c r="AI6" s="9">
        <f>'03A PV EMU550 bez proj. pomoc'!AI29</f>
        <v>0</v>
      </c>
      <c r="AJ6" s="9">
        <f>'03A PV EMU550 bez proj. pomoc'!AJ29</f>
        <v>0</v>
      </c>
      <c r="AK6" s="9">
        <f>'03A PV EMU550 bez proj. pomoc'!AK29</f>
        <v>0</v>
      </c>
      <c r="AL6" s="9">
        <f>'03A PV EMU550 bez proj. pomoc'!AL29</f>
        <v>0</v>
      </c>
      <c r="AM6" s="9">
        <f>'03A PV EMU550 bez proj. pomoc'!AM29</f>
        <v>53600000</v>
      </c>
      <c r="AN6" s="9">
        <f>'03A PV EMU550 bez proj. pomoc'!AN29</f>
        <v>53600000</v>
      </c>
      <c r="AO6" s="9">
        <f>'03A PV EMU550 bez proj. pomoc'!AO29</f>
        <v>0</v>
      </c>
      <c r="AP6" s="9">
        <f>'03A PV EMU550 bez proj. pomoc'!AP29</f>
        <v>0</v>
      </c>
      <c r="AQ6" s="9">
        <f>'03A PV EMU550 bez proj. pomoc'!AQ29</f>
        <v>53600000</v>
      </c>
    </row>
    <row r="7" spans="2:43" x14ac:dyDescent="0.2">
      <c r="B7" s="4" t="s">
        <v>278</v>
      </c>
      <c r="C7" s="13">
        <f t="shared" si="2"/>
        <v>1487879814.2240005</v>
      </c>
      <c r="D7" s="13">
        <f t="shared" ref="D7:AK7" si="3">SUM(D5:D6)</f>
        <v>27816995.355600003</v>
      </c>
      <c r="E7" s="13">
        <f t="shared" si="3"/>
        <v>27816995.355600003</v>
      </c>
      <c r="F7" s="13">
        <f t="shared" si="3"/>
        <v>27816995.355600003</v>
      </c>
      <c r="G7" s="13">
        <f t="shared" si="3"/>
        <v>27816995.355600003</v>
      </c>
      <c r="H7" s="13">
        <f t="shared" si="3"/>
        <v>27816995.355600003</v>
      </c>
      <c r="I7" s="13">
        <f t="shared" si="3"/>
        <v>54616995.355599999</v>
      </c>
      <c r="J7" s="13">
        <f t="shared" si="3"/>
        <v>54616995.355599999</v>
      </c>
      <c r="K7" s="13">
        <f t="shared" si="3"/>
        <v>27816995.355600003</v>
      </c>
      <c r="L7" s="13">
        <f t="shared" si="3"/>
        <v>27816995.355600003</v>
      </c>
      <c r="M7" s="13">
        <f t="shared" si="3"/>
        <v>27816995.355600003</v>
      </c>
      <c r="N7" s="13">
        <f t="shared" si="3"/>
        <v>27816995.355600003</v>
      </c>
      <c r="O7" s="13">
        <f t="shared" si="3"/>
        <v>27816995.355600003</v>
      </c>
      <c r="P7" s="13">
        <f t="shared" si="3"/>
        <v>27816995.355600003</v>
      </c>
      <c r="Q7" s="13">
        <f t="shared" si="3"/>
        <v>27816995.355600003</v>
      </c>
      <c r="R7" s="13">
        <f t="shared" si="3"/>
        <v>27816995.355600003</v>
      </c>
      <c r="S7" s="13">
        <f t="shared" si="3"/>
        <v>81416995.355599999</v>
      </c>
      <c r="T7" s="13">
        <f t="shared" si="3"/>
        <v>81416995.355599999</v>
      </c>
      <c r="U7" s="13">
        <f t="shared" si="3"/>
        <v>27816995.355600003</v>
      </c>
      <c r="V7" s="13">
        <f t="shared" si="3"/>
        <v>27816995.355600003</v>
      </c>
      <c r="W7" s="13">
        <f t="shared" si="3"/>
        <v>27816995.355600003</v>
      </c>
      <c r="X7" s="13">
        <f t="shared" si="3"/>
        <v>27816995.355600003</v>
      </c>
      <c r="Y7" s="13">
        <f t="shared" si="3"/>
        <v>27816995.355600003</v>
      </c>
      <c r="Z7" s="13">
        <f t="shared" si="3"/>
        <v>27816995.355600003</v>
      </c>
      <c r="AA7" s="13">
        <f t="shared" si="3"/>
        <v>27816995.355600003</v>
      </c>
      <c r="AB7" s="13">
        <f t="shared" si="3"/>
        <v>27816995.355600003</v>
      </c>
      <c r="AC7" s="13">
        <f t="shared" si="3"/>
        <v>54616995.355599999</v>
      </c>
      <c r="AD7" s="13">
        <f t="shared" si="3"/>
        <v>54616995.355599999</v>
      </c>
      <c r="AE7" s="13">
        <f t="shared" si="3"/>
        <v>27816995.355600003</v>
      </c>
      <c r="AF7" s="13">
        <f t="shared" si="3"/>
        <v>27816995.355600003</v>
      </c>
      <c r="AG7" s="13">
        <f t="shared" si="3"/>
        <v>27816995.355600003</v>
      </c>
      <c r="AH7" s="13">
        <f t="shared" si="3"/>
        <v>27816995.355600003</v>
      </c>
      <c r="AI7" s="13">
        <f t="shared" si="3"/>
        <v>27816995.355600003</v>
      </c>
      <c r="AJ7" s="13">
        <f t="shared" si="3"/>
        <v>27816995.355600003</v>
      </c>
      <c r="AK7" s="13">
        <f t="shared" si="3"/>
        <v>27816995.355600003</v>
      </c>
      <c r="AL7" s="13">
        <f t="shared" ref="AL7:AQ7" si="4">SUM(AL5:AL6)</f>
        <v>27816995.355600003</v>
      </c>
      <c r="AM7" s="13">
        <f t="shared" si="4"/>
        <v>81416995.355599999</v>
      </c>
      <c r="AN7" s="13">
        <f t="shared" si="4"/>
        <v>81416995.355599999</v>
      </c>
      <c r="AO7" s="13">
        <f t="shared" si="4"/>
        <v>27816995.355600003</v>
      </c>
      <c r="AP7" s="13">
        <f t="shared" si="4"/>
        <v>27816995.355600003</v>
      </c>
      <c r="AQ7" s="13">
        <f t="shared" si="4"/>
        <v>81416995.355599999</v>
      </c>
    </row>
    <row r="8" spans="2:43" x14ac:dyDescent="0.2">
      <c r="B8" s="3" t="s">
        <v>54</v>
      </c>
      <c r="C8" s="8">
        <f t="shared" si="2"/>
        <v>157162415.61600009</v>
      </c>
      <c r="D8" s="9">
        <f>'03A PV EMU550 bez proj. pomoc'!D31</f>
        <v>3929060.3904000008</v>
      </c>
      <c r="E8" s="9">
        <f>'03A PV EMU550 bez proj. pomoc'!E31</f>
        <v>3929060.3904000008</v>
      </c>
      <c r="F8" s="9">
        <f>'03A PV EMU550 bez proj. pomoc'!F31</f>
        <v>3929060.3904000008</v>
      </c>
      <c r="G8" s="9">
        <f>'03A PV EMU550 bez proj. pomoc'!G31</f>
        <v>3929060.3904000008</v>
      </c>
      <c r="H8" s="9">
        <f>'03A PV EMU550 bez proj. pomoc'!H31</f>
        <v>3929060.3904000008</v>
      </c>
      <c r="I8" s="9">
        <f>'03A PV EMU550 bez proj. pomoc'!I31</f>
        <v>3929060.3904000008</v>
      </c>
      <c r="J8" s="9">
        <f>'03A PV EMU550 bez proj. pomoc'!J31</f>
        <v>3929060.3904000008</v>
      </c>
      <c r="K8" s="9">
        <f>'03A PV EMU550 bez proj. pomoc'!K31</f>
        <v>3929060.3904000008</v>
      </c>
      <c r="L8" s="9">
        <f>'03A PV EMU550 bez proj. pomoc'!L31</f>
        <v>3929060.3904000008</v>
      </c>
      <c r="M8" s="9">
        <f>'03A PV EMU550 bez proj. pomoc'!M31</f>
        <v>3929060.3904000008</v>
      </c>
      <c r="N8" s="9">
        <f>'03A PV EMU550 bez proj. pomoc'!N31</f>
        <v>3929060.3904000008</v>
      </c>
      <c r="O8" s="9">
        <f>'03A PV EMU550 bez proj. pomoc'!O31</f>
        <v>3929060.3904000008</v>
      </c>
      <c r="P8" s="9">
        <f>'03A PV EMU550 bez proj. pomoc'!P31</f>
        <v>3929060.3904000008</v>
      </c>
      <c r="Q8" s="9">
        <f>'03A PV EMU550 bez proj. pomoc'!Q31</f>
        <v>3929060.3904000008</v>
      </c>
      <c r="R8" s="9">
        <f>'03A PV EMU550 bez proj. pomoc'!R31</f>
        <v>3929060.3904000008</v>
      </c>
      <c r="S8" s="9">
        <f>'03A PV EMU550 bez proj. pomoc'!S31</f>
        <v>3929060.3904000008</v>
      </c>
      <c r="T8" s="9">
        <f>'03A PV EMU550 bez proj. pomoc'!T31</f>
        <v>3929060.3904000008</v>
      </c>
      <c r="U8" s="9">
        <f>'03A PV EMU550 bez proj. pomoc'!U31</f>
        <v>3929060.3904000008</v>
      </c>
      <c r="V8" s="9">
        <f>'03A PV EMU550 bez proj. pomoc'!V31</f>
        <v>3929060.3904000008</v>
      </c>
      <c r="W8" s="9">
        <f>'03A PV EMU550 bez proj. pomoc'!W31</f>
        <v>3929060.3904000008</v>
      </c>
      <c r="X8" s="9">
        <f>'03A PV EMU550 bez proj. pomoc'!X31</f>
        <v>3929060.3904000008</v>
      </c>
      <c r="Y8" s="9">
        <f>'03A PV EMU550 bez proj. pomoc'!Y31</f>
        <v>3929060.3904000008</v>
      </c>
      <c r="Z8" s="9">
        <f>'03A PV EMU550 bez proj. pomoc'!Z31</f>
        <v>3929060.3904000008</v>
      </c>
      <c r="AA8" s="9">
        <f>'03A PV EMU550 bez proj. pomoc'!AA31</f>
        <v>3929060.3904000008</v>
      </c>
      <c r="AB8" s="9">
        <f>'03A PV EMU550 bez proj. pomoc'!AB31</f>
        <v>3929060.3904000008</v>
      </c>
      <c r="AC8" s="9">
        <f>'03A PV EMU550 bez proj. pomoc'!AC31</f>
        <v>3929060.3904000008</v>
      </c>
      <c r="AD8" s="9">
        <f>'03A PV EMU550 bez proj. pomoc'!AD31</f>
        <v>3929060.3904000008</v>
      </c>
      <c r="AE8" s="9">
        <f>'03A PV EMU550 bez proj. pomoc'!AE31</f>
        <v>3929060.3904000008</v>
      </c>
      <c r="AF8" s="9">
        <f>'03A PV EMU550 bez proj. pomoc'!AF31</f>
        <v>3929060.3904000008</v>
      </c>
      <c r="AG8" s="9">
        <f>'03A PV EMU550 bez proj. pomoc'!AG31</f>
        <v>3929060.3904000008</v>
      </c>
      <c r="AH8" s="9">
        <f>'03A PV EMU550 bez proj. pomoc'!AH31</f>
        <v>3929060.3904000008</v>
      </c>
      <c r="AI8" s="9">
        <f>'03A PV EMU550 bez proj. pomoc'!AI31</f>
        <v>3929060.3904000008</v>
      </c>
      <c r="AJ8" s="9">
        <f>'03A PV EMU550 bez proj. pomoc'!AJ31</f>
        <v>3929060.3904000008</v>
      </c>
      <c r="AK8" s="9">
        <f>'03A PV EMU550 bez proj. pomoc'!AK31</f>
        <v>3929060.3904000008</v>
      </c>
      <c r="AL8" s="9">
        <f>'03A PV EMU550 bez proj. pomoc'!AL31</f>
        <v>3929060.3904000008</v>
      </c>
      <c r="AM8" s="9">
        <f>'03A PV EMU550 bez proj. pomoc'!AM31</f>
        <v>3929060.3904000008</v>
      </c>
      <c r="AN8" s="9">
        <f>'03A PV EMU550 bez proj. pomoc'!AN31</f>
        <v>3929060.3904000008</v>
      </c>
      <c r="AO8" s="9">
        <f>'03A PV EMU550 bez proj. pomoc'!AO31</f>
        <v>3929060.3904000008</v>
      </c>
      <c r="AP8" s="9">
        <f>'03A PV EMU550 bez proj. pomoc'!AP31</f>
        <v>3929060.3904000008</v>
      </c>
      <c r="AQ8" s="9">
        <f>'03A PV EMU550 bez proj. pomoc'!AQ31</f>
        <v>3929060.3904000008</v>
      </c>
    </row>
    <row r="9" spans="2:43" ht="12" thickBot="1" x14ac:dyDescent="0.25">
      <c r="B9" s="20" t="s">
        <v>52</v>
      </c>
      <c r="C9" s="13">
        <f t="shared" si="2"/>
        <v>157162415.61600009</v>
      </c>
      <c r="D9" s="21">
        <f t="shared" ref="D9:AK9" si="5">SUM(D8:D8)</f>
        <v>3929060.3904000008</v>
      </c>
      <c r="E9" s="21">
        <f t="shared" si="5"/>
        <v>3929060.3904000008</v>
      </c>
      <c r="F9" s="21">
        <f t="shared" si="5"/>
        <v>3929060.3904000008</v>
      </c>
      <c r="G9" s="21">
        <f t="shared" si="5"/>
        <v>3929060.3904000008</v>
      </c>
      <c r="H9" s="21">
        <f t="shared" si="5"/>
        <v>3929060.3904000008</v>
      </c>
      <c r="I9" s="21">
        <f t="shared" si="5"/>
        <v>3929060.3904000008</v>
      </c>
      <c r="J9" s="21">
        <f t="shared" si="5"/>
        <v>3929060.3904000008</v>
      </c>
      <c r="K9" s="21">
        <f t="shared" si="5"/>
        <v>3929060.3904000008</v>
      </c>
      <c r="L9" s="21">
        <f t="shared" si="5"/>
        <v>3929060.3904000008</v>
      </c>
      <c r="M9" s="21">
        <f t="shared" si="5"/>
        <v>3929060.3904000008</v>
      </c>
      <c r="N9" s="21">
        <f t="shared" si="5"/>
        <v>3929060.3904000008</v>
      </c>
      <c r="O9" s="21">
        <f t="shared" si="5"/>
        <v>3929060.3904000008</v>
      </c>
      <c r="P9" s="21">
        <f t="shared" si="5"/>
        <v>3929060.3904000008</v>
      </c>
      <c r="Q9" s="21">
        <f t="shared" si="5"/>
        <v>3929060.3904000008</v>
      </c>
      <c r="R9" s="21">
        <f t="shared" si="5"/>
        <v>3929060.3904000008</v>
      </c>
      <c r="S9" s="21">
        <f t="shared" si="5"/>
        <v>3929060.3904000008</v>
      </c>
      <c r="T9" s="21">
        <f t="shared" si="5"/>
        <v>3929060.3904000008</v>
      </c>
      <c r="U9" s="21">
        <f t="shared" si="5"/>
        <v>3929060.3904000008</v>
      </c>
      <c r="V9" s="21">
        <f t="shared" si="5"/>
        <v>3929060.3904000008</v>
      </c>
      <c r="W9" s="21">
        <f t="shared" si="5"/>
        <v>3929060.3904000008</v>
      </c>
      <c r="X9" s="21">
        <f t="shared" si="5"/>
        <v>3929060.3904000008</v>
      </c>
      <c r="Y9" s="21">
        <f t="shared" si="5"/>
        <v>3929060.3904000008</v>
      </c>
      <c r="Z9" s="21">
        <f t="shared" si="5"/>
        <v>3929060.3904000008</v>
      </c>
      <c r="AA9" s="21">
        <f t="shared" si="5"/>
        <v>3929060.3904000008</v>
      </c>
      <c r="AB9" s="21">
        <f t="shared" si="5"/>
        <v>3929060.3904000008</v>
      </c>
      <c r="AC9" s="21">
        <f t="shared" si="5"/>
        <v>3929060.3904000008</v>
      </c>
      <c r="AD9" s="21">
        <f t="shared" si="5"/>
        <v>3929060.3904000008</v>
      </c>
      <c r="AE9" s="21">
        <f t="shared" si="5"/>
        <v>3929060.3904000008</v>
      </c>
      <c r="AF9" s="21">
        <f t="shared" si="5"/>
        <v>3929060.3904000008</v>
      </c>
      <c r="AG9" s="21">
        <f t="shared" si="5"/>
        <v>3929060.3904000008</v>
      </c>
      <c r="AH9" s="21">
        <f t="shared" si="5"/>
        <v>3929060.3904000008</v>
      </c>
      <c r="AI9" s="21">
        <f t="shared" si="5"/>
        <v>3929060.3904000008</v>
      </c>
      <c r="AJ9" s="21">
        <f t="shared" si="5"/>
        <v>3929060.3904000008</v>
      </c>
      <c r="AK9" s="21">
        <f t="shared" si="5"/>
        <v>3929060.3904000008</v>
      </c>
      <c r="AL9" s="21">
        <f t="shared" ref="AL9:AQ9" si="6">SUM(AL8:AL8)</f>
        <v>3929060.3904000008</v>
      </c>
      <c r="AM9" s="21">
        <f t="shared" si="6"/>
        <v>3929060.3904000008</v>
      </c>
      <c r="AN9" s="21">
        <f t="shared" si="6"/>
        <v>3929060.3904000008</v>
      </c>
      <c r="AO9" s="21">
        <f t="shared" si="6"/>
        <v>3929060.3904000008</v>
      </c>
      <c r="AP9" s="21">
        <f t="shared" si="6"/>
        <v>3929060.3904000008</v>
      </c>
      <c r="AQ9" s="21">
        <f t="shared" si="6"/>
        <v>3929060.3904000008</v>
      </c>
    </row>
    <row r="10" spans="2:43" ht="12" thickTop="1" x14ac:dyDescent="0.2">
      <c r="B10" s="22" t="s">
        <v>51</v>
      </c>
      <c r="C10" s="13">
        <f t="shared" si="2"/>
        <v>1645042229.8400011</v>
      </c>
      <c r="D10" s="23">
        <f t="shared" ref="D10:AK10" si="7">SUM(D7,D9)</f>
        <v>31746055.746000003</v>
      </c>
      <c r="E10" s="23">
        <f t="shared" si="7"/>
        <v>31746055.746000003</v>
      </c>
      <c r="F10" s="23">
        <f t="shared" si="7"/>
        <v>31746055.746000003</v>
      </c>
      <c r="G10" s="23">
        <f t="shared" si="7"/>
        <v>31746055.746000003</v>
      </c>
      <c r="H10" s="23">
        <f t="shared" si="7"/>
        <v>31746055.746000003</v>
      </c>
      <c r="I10" s="23">
        <f t="shared" si="7"/>
        <v>58546055.745999999</v>
      </c>
      <c r="J10" s="23">
        <f t="shared" si="7"/>
        <v>58546055.745999999</v>
      </c>
      <c r="K10" s="23">
        <f t="shared" si="7"/>
        <v>31746055.746000003</v>
      </c>
      <c r="L10" s="23">
        <f t="shared" si="7"/>
        <v>31746055.746000003</v>
      </c>
      <c r="M10" s="23">
        <f t="shared" si="7"/>
        <v>31746055.746000003</v>
      </c>
      <c r="N10" s="23">
        <f t="shared" si="7"/>
        <v>31746055.746000003</v>
      </c>
      <c r="O10" s="23">
        <f t="shared" si="7"/>
        <v>31746055.746000003</v>
      </c>
      <c r="P10" s="23">
        <f t="shared" si="7"/>
        <v>31746055.746000003</v>
      </c>
      <c r="Q10" s="23">
        <f t="shared" si="7"/>
        <v>31746055.746000003</v>
      </c>
      <c r="R10" s="23">
        <f t="shared" si="7"/>
        <v>31746055.746000003</v>
      </c>
      <c r="S10" s="23">
        <f t="shared" si="7"/>
        <v>85346055.746000007</v>
      </c>
      <c r="T10" s="23">
        <f t="shared" si="7"/>
        <v>85346055.746000007</v>
      </c>
      <c r="U10" s="23">
        <f t="shared" si="7"/>
        <v>31746055.746000003</v>
      </c>
      <c r="V10" s="23">
        <f t="shared" si="7"/>
        <v>31746055.746000003</v>
      </c>
      <c r="W10" s="23">
        <f t="shared" si="7"/>
        <v>31746055.746000003</v>
      </c>
      <c r="X10" s="23">
        <f t="shared" si="7"/>
        <v>31746055.746000003</v>
      </c>
      <c r="Y10" s="23">
        <f t="shared" si="7"/>
        <v>31746055.746000003</v>
      </c>
      <c r="Z10" s="23">
        <f t="shared" si="7"/>
        <v>31746055.746000003</v>
      </c>
      <c r="AA10" s="23">
        <f t="shared" si="7"/>
        <v>31746055.746000003</v>
      </c>
      <c r="AB10" s="23">
        <f t="shared" si="7"/>
        <v>31746055.746000003</v>
      </c>
      <c r="AC10" s="23">
        <f t="shared" si="7"/>
        <v>58546055.745999999</v>
      </c>
      <c r="AD10" s="23">
        <f t="shared" si="7"/>
        <v>58546055.745999999</v>
      </c>
      <c r="AE10" s="23">
        <f t="shared" si="7"/>
        <v>31746055.746000003</v>
      </c>
      <c r="AF10" s="23">
        <f t="shared" si="7"/>
        <v>31746055.746000003</v>
      </c>
      <c r="AG10" s="23">
        <f t="shared" si="7"/>
        <v>31746055.746000003</v>
      </c>
      <c r="AH10" s="23">
        <f t="shared" si="7"/>
        <v>31746055.746000003</v>
      </c>
      <c r="AI10" s="23">
        <f t="shared" si="7"/>
        <v>31746055.746000003</v>
      </c>
      <c r="AJ10" s="23">
        <f t="shared" si="7"/>
        <v>31746055.746000003</v>
      </c>
      <c r="AK10" s="23">
        <f t="shared" si="7"/>
        <v>31746055.746000003</v>
      </c>
      <c r="AL10" s="23">
        <f t="shared" ref="AL10:AQ10" si="8">SUM(AL7,AL9)</f>
        <v>31746055.746000003</v>
      </c>
      <c r="AM10" s="23">
        <f t="shared" si="8"/>
        <v>85346055.746000007</v>
      </c>
      <c r="AN10" s="23">
        <f t="shared" si="8"/>
        <v>85346055.746000007</v>
      </c>
      <c r="AO10" s="23">
        <f t="shared" si="8"/>
        <v>31746055.746000003</v>
      </c>
      <c r="AP10" s="23">
        <f t="shared" si="8"/>
        <v>31746055.746000003</v>
      </c>
      <c r="AQ10" s="23">
        <f t="shared" si="8"/>
        <v>85346055.746000007</v>
      </c>
    </row>
    <row r="13" spans="2:43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2:43" x14ac:dyDescent="0.2">
      <c r="B14" s="4" t="s">
        <v>55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  <c r="AH14" s="5">
        <v>31</v>
      </c>
      <c r="AI14" s="5">
        <v>32</v>
      </c>
      <c r="AJ14" s="5">
        <v>33</v>
      </c>
      <c r="AK14" s="5">
        <v>34</v>
      </c>
      <c r="AL14" s="5">
        <v>35</v>
      </c>
      <c r="AM14" s="5">
        <v>36</v>
      </c>
      <c r="AN14" s="5">
        <v>37</v>
      </c>
      <c r="AO14" s="5">
        <v>38</v>
      </c>
      <c r="AP14" s="5">
        <v>39</v>
      </c>
      <c r="AQ14" s="5">
        <v>40</v>
      </c>
    </row>
    <row r="15" spans="2:43" x14ac:dyDescent="0.2">
      <c r="B15" s="6" t="s">
        <v>34</v>
      </c>
      <c r="C15" s="6" t="s">
        <v>9</v>
      </c>
      <c r="D15" s="7">
        <f>D4</f>
        <v>2026</v>
      </c>
      <c r="E15" s="7">
        <f>$D$4+D14</f>
        <v>2027</v>
      </c>
      <c r="F15" s="7">
        <f>$D$4+E14</f>
        <v>2028</v>
      </c>
      <c r="G15" s="7">
        <f>$D$4+F14</f>
        <v>2029</v>
      </c>
      <c r="H15" s="7">
        <f t="shared" ref="H15:AK15" si="9">$D$4+G14</f>
        <v>2030</v>
      </c>
      <c r="I15" s="7">
        <f t="shared" si="9"/>
        <v>2031</v>
      </c>
      <c r="J15" s="7">
        <f t="shared" si="9"/>
        <v>2032</v>
      </c>
      <c r="K15" s="7">
        <f t="shared" si="9"/>
        <v>2033</v>
      </c>
      <c r="L15" s="7">
        <f t="shared" si="9"/>
        <v>2034</v>
      </c>
      <c r="M15" s="7">
        <f t="shared" si="9"/>
        <v>2035</v>
      </c>
      <c r="N15" s="7">
        <f t="shared" si="9"/>
        <v>2036</v>
      </c>
      <c r="O15" s="7">
        <f t="shared" si="9"/>
        <v>2037</v>
      </c>
      <c r="P15" s="7">
        <f t="shared" si="9"/>
        <v>2038</v>
      </c>
      <c r="Q15" s="7">
        <f t="shared" si="9"/>
        <v>2039</v>
      </c>
      <c r="R15" s="7">
        <f t="shared" si="9"/>
        <v>2040</v>
      </c>
      <c r="S15" s="7">
        <f t="shared" si="9"/>
        <v>2041</v>
      </c>
      <c r="T15" s="7">
        <f t="shared" si="9"/>
        <v>2042</v>
      </c>
      <c r="U15" s="7">
        <f t="shared" si="9"/>
        <v>2043</v>
      </c>
      <c r="V15" s="7">
        <f t="shared" si="9"/>
        <v>2044</v>
      </c>
      <c r="W15" s="7">
        <f t="shared" si="9"/>
        <v>2045</v>
      </c>
      <c r="X15" s="7">
        <f t="shared" si="9"/>
        <v>2046</v>
      </c>
      <c r="Y15" s="7">
        <f t="shared" si="9"/>
        <v>2047</v>
      </c>
      <c r="Z15" s="7">
        <f t="shared" si="9"/>
        <v>2048</v>
      </c>
      <c r="AA15" s="7">
        <f t="shared" si="9"/>
        <v>2049</v>
      </c>
      <c r="AB15" s="7">
        <f t="shared" si="9"/>
        <v>2050</v>
      </c>
      <c r="AC15" s="7">
        <f t="shared" si="9"/>
        <v>2051</v>
      </c>
      <c r="AD15" s="7">
        <f t="shared" si="9"/>
        <v>2052</v>
      </c>
      <c r="AE15" s="7">
        <f t="shared" si="9"/>
        <v>2053</v>
      </c>
      <c r="AF15" s="7">
        <f t="shared" si="9"/>
        <v>2054</v>
      </c>
      <c r="AG15" s="7">
        <f t="shared" si="9"/>
        <v>2055</v>
      </c>
      <c r="AH15" s="7">
        <f t="shared" si="9"/>
        <v>2056</v>
      </c>
      <c r="AI15" s="7">
        <f t="shared" si="9"/>
        <v>2057</v>
      </c>
      <c r="AJ15" s="7">
        <f t="shared" si="9"/>
        <v>2058</v>
      </c>
      <c r="AK15" s="7">
        <f t="shared" si="9"/>
        <v>2059</v>
      </c>
      <c r="AL15" s="7">
        <f t="shared" ref="AL15:AQ15" si="10">$D$4+AK14</f>
        <v>2060</v>
      </c>
      <c r="AM15" s="7">
        <f t="shared" si="10"/>
        <v>2061</v>
      </c>
      <c r="AN15" s="7">
        <f t="shared" si="10"/>
        <v>2062</v>
      </c>
      <c r="AO15" s="7">
        <f t="shared" si="10"/>
        <v>2063</v>
      </c>
      <c r="AP15" s="7">
        <f t="shared" si="10"/>
        <v>2064</v>
      </c>
      <c r="AQ15" s="7">
        <f t="shared" si="10"/>
        <v>2065</v>
      </c>
    </row>
    <row r="16" spans="2:43" x14ac:dyDescent="0.2">
      <c r="B16" s="3" t="s">
        <v>281</v>
      </c>
      <c r="C16" s="8">
        <f>SUM(D16:AQ16)</f>
        <v>918468995.91480076</v>
      </c>
      <c r="D16" s="9">
        <f>'03B PV EMU550 s proj. pomoc.'!D45</f>
        <v>27816995.355600003</v>
      </c>
      <c r="E16" s="9">
        <f>'03B PV EMU550 s proj. pomoc.'!E45</f>
        <v>27816995.355600003</v>
      </c>
      <c r="F16" s="9">
        <f>'03B PV EMU550 s proj. pomoc.'!F45</f>
        <v>27816995.355600003</v>
      </c>
      <c r="G16" s="9">
        <f>'03B PV EMU550 s proj. pomoc.'!G45</f>
        <v>27816995.355600003</v>
      </c>
      <c r="H16" s="9">
        <f>'03B PV EMU550 s proj. pomoc.'!H45</f>
        <v>27801391.582800005</v>
      </c>
      <c r="I16" s="9">
        <f>'03B PV EMU550 s proj. pomoc.'!I45</f>
        <v>27789688.753199998</v>
      </c>
      <c r="J16" s="9">
        <f>'03B PV EMU550 s proj. pomoc.'!J45</f>
        <v>27789688.753199998</v>
      </c>
      <c r="K16" s="9">
        <f>'03B PV EMU550 s proj. pomoc.'!K45</f>
        <v>27789688.753199998</v>
      </c>
      <c r="L16" s="9">
        <f>'03B PV EMU550 s proj. pomoc.'!L45</f>
        <v>27789688.753199998</v>
      </c>
      <c r="M16" s="9">
        <f>'03B PV EMU550 s proj. pomoc.'!M45</f>
        <v>27789688.753199998</v>
      </c>
      <c r="N16" s="9">
        <f>'03B PV EMU550 s proj. pomoc.'!N45</f>
        <v>27789688.753199998</v>
      </c>
      <c r="O16" s="9">
        <f>'03B PV EMU550 s proj. pomoc.'!O45</f>
        <v>27789688.753199998</v>
      </c>
      <c r="P16" s="9">
        <f>'03B PV EMU550 s proj. pomoc.'!P45</f>
        <v>27789688.753199998</v>
      </c>
      <c r="Q16" s="9">
        <f>'03B PV EMU550 s proj. pomoc.'!Q45</f>
        <v>27731123.276999999</v>
      </c>
      <c r="R16" s="9">
        <f>'03B PV EMU550 s proj. pomoc.'!R45</f>
        <v>27731123.276999999</v>
      </c>
      <c r="S16" s="9">
        <f>'03B PV EMU550 s proj. pomoc.'!S45</f>
        <v>20064794.653200001</v>
      </c>
      <c r="T16" s="9">
        <f>'03B PV EMU550 s proj. pomoc.'!T45</f>
        <v>20064794.653200001</v>
      </c>
      <c r="U16" s="9">
        <f>'03B PV EMU550 s proj. pomoc.'!U45</f>
        <v>20064794.653200001</v>
      </c>
      <c r="V16" s="9">
        <f>'03B PV EMU550 s proj. pomoc.'!V45</f>
        <v>20064794.653200001</v>
      </c>
      <c r="W16" s="9">
        <f>'03B PV EMU550 s proj. pomoc.'!W45</f>
        <v>20064794.653200001</v>
      </c>
      <c r="X16" s="9">
        <f>'03B PV EMU550 s proj. pomoc.'!X45</f>
        <v>20064794.653200001</v>
      </c>
      <c r="Y16" s="9">
        <f>'03B PV EMU550 s proj. pomoc.'!Y45</f>
        <v>20064794.653200001</v>
      </c>
      <c r="Z16" s="9">
        <f>'03B PV EMU550 s proj. pomoc.'!Z45</f>
        <v>20064794.653200001</v>
      </c>
      <c r="AA16" s="9">
        <f>'03B PV EMU550 s proj. pomoc.'!AA45</f>
        <v>20064794.653200001</v>
      </c>
      <c r="AB16" s="9">
        <f>'03B PV EMU550 s proj. pomoc.'!AB45</f>
        <v>20064794.653200001</v>
      </c>
      <c r="AC16" s="9">
        <f>'03B PV EMU550 s proj. pomoc.'!AC45</f>
        <v>20064794.653200001</v>
      </c>
      <c r="AD16" s="9">
        <f>'03B PV EMU550 s proj. pomoc.'!AD45</f>
        <v>20064794.653200001</v>
      </c>
      <c r="AE16" s="9">
        <f>'03B PV EMU550 s proj. pomoc.'!AE45</f>
        <v>20064794.653200001</v>
      </c>
      <c r="AF16" s="9">
        <f>'03B PV EMU550 s proj. pomoc.'!AF45</f>
        <v>20064794.653200001</v>
      </c>
      <c r="AG16" s="9">
        <f>'03B PV EMU550 s proj. pomoc.'!AG45</f>
        <v>20064794.653200001</v>
      </c>
      <c r="AH16" s="9">
        <f>'03B PV EMU550 s proj. pomoc.'!AH45</f>
        <v>20064794.653200001</v>
      </c>
      <c r="AI16" s="9">
        <f>'03B PV EMU550 s proj. pomoc.'!AI45</f>
        <v>20064794.653200001</v>
      </c>
      <c r="AJ16" s="9">
        <f>'03B PV EMU550 s proj. pomoc.'!AJ45</f>
        <v>20064794.653200001</v>
      </c>
      <c r="AK16" s="9">
        <f>'03B PV EMU550 s proj. pomoc.'!AK45</f>
        <v>20064794.653200001</v>
      </c>
      <c r="AL16" s="9">
        <f>'03B PV EMU550 s proj. pomoc.'!AL45</f>
        <v>20064794.653200001</v>
      </c>
      <c r="AM16" s="9">
        <f>'03B PV EMU550 s proj. pomoc.'!AM45</f>
        <v>20064794.653200001</v>
      </c>
      <c r="AN16" s="9">
        <f>'03B PV EMU550 s proj. pomoc.'!AN45</f>
        <v>20064794.653200001</v>
      </c>
      <c r="AO16" s="9">
        <f>'03B PV EMU550 s proj. pomoc.'!AO45</f>
        <v>20064794.653200001</v>
      </c>
      <c r="AP16" s="9">
        <f>'03B PV EMU550 s proj. pomoc.'!AP45</f>
        <v>20064794.653200001</v>
      </c>
      <c r="AQ16" s="9">
        <f>'03B PV EMU550 s proj. pomoc.'!AQ45</f>
        <v>20064794.653200001</v>
      </c>
    </row>
    <row r="17" spans="2:43" x14ac:dyDescent="0.2">
      <c r="B17" s="3" t="s">
        <v>279</v>
      </c>
      <c r="C17" s="8">
        <f t="shared" ref="C17:C21" si="11">SUM(D17:AQ17)</f>
        <v>70776300</v>
      </c>
      <c r="D17" s="9">
        <f>'03B PV EMU550 s proj. pomoc.'!D46</f>
        <v>0</v>
      </c>
      <c r="E17" s="9">
        <f>'03B PV EMU550 s proj. pomoc.'!E46</f>
        <v>0</v>
      </c>
      <c r="F17" s="9">
        <f>'03B PV EMU550 s proj. pomoc.'!F46</f>
        <v>0</v>
      </c>
      <c r="G17" s="9">
        <f>'03B PV EMU550 s proj. pomoc.'!G46</f>
        <v>0</v>
      </c>
      <c r="H17" s="9">
        <f>'03B PV EMU550 s proj. pomoc.'!H46</f>
        <v>0</v>
      </c>
      <c r="I17" s="9">
        <f>'03B PV EMU550 s proj. pomoc.'!I46</f>
        <v>0</v>
      </c>
      <c r="J17" s="9">
        <f>'03B PV EMU550 s proj. pomoc.'!J46</f>
        <v>0</v>
      </c>
      <c r="K17" s="9">
        <f>'03B PV EMU550 s proj. pomoc.'!K46</f>
        <v>0</v>
      </c>
      <c r="L17" s="9">
        <f>'03B PV EMU550 s proj. pomoc.'!L46</f>
        <v>0</v>
      </c>
      <c r="M17" s="9">
        <f>'03B PV EMU550 s proj. pomoc.'!M46</f>
        <v>0</v>
      </c>
      <c r="N17" s="9">
        <f>'03B PV EMU550 s proj. pomoc.'!N46</f>
        <v>0</v>
      </c>
      <c r="O17" s="9">
        <f>'03B PV EMU550 s proj. pomoc.'!O46</f>
        <v>0</v>
      </c>
      <c r="P17" s="9">
        <f>'03B PV EMU550 s proj. pomoc.'!P46</f>
        <v>0</v>
      </c>
      <c r="Q17" s="9">
        <f>'03B PV EMU550 s proj. pomoc.'!Q46</f>
        <v>0</v>
      </c>
      <c r="R17" s="9">
        <f>'03B PV EMU550 s proj. pomoc.'!R46</f>
        <v>0</v>
      </c>
      <c r="S17" s="9">
        <f>'03B PV EMU550 s proj. pomoc.'!S46</f>
        <v>0</v>
      </c>
      <c r="T17" s="9">
        <f>'03B PV EMU550 s proj. pomoc.'!T46</f>
        <v>0</v>
      </c>
      <c r="U17" s="9">
        <f>'03B PV EMU550 s proj. pomoc.'!U46</f>
        <v>0</v>
      </c>
      <c r="V17" s="9">
        <f>'03B PV EMU550 s proj. pomoc.'!V46</f>
        <v>0</v>
      </c>
      <c r="W17" s="9">
        <f>'03B PV EMU550 s proj. pomoc.'!W46</f>
        <v>0</v>
      </c>
      <c r="X17" s="9">
        <f>'03B PV EMU550 s proj. pomoc.'!X46</f>
        <v>0</v>
      </c>
      <c r="Y17" s="9">
        <f>'03B PV EMU550 s proj. pomoc.'!Y46</f>
        <v>0</v>
      </c>
      <c r="Z17" s="9">
        <f>'03B PV EMU550 s proj. pomoc.'!Z46</f>
        <v>0</v>
      </c>
      <c r="AA17" s="9">
        <f>'03B PV EMU550 s proj. pomoc.'!AA46</f>
        <v>0</v>
      </c>
      <c r="AB17" s="9">
        <f>'03B PV EMU550 s proj. pomoc.'!AB46</f>
        <v>0</v>
      </c>
      <c r="AC17" s="9">
        <f>'03B PV EMU550 s proj. pomoc.'!AC46</f>
        <v>23592100</v>
      </c>
      <c r="AD17" s="9">
        <f>'03B PV EMU550 s proj. pomoc.'!AD46</f>
        <v>0</v>
      </c>
      <c r="AE17" s="9">
        <f>'03B PV EMU550 s proj. pomoc.'!AE46</f>
        <v>0</v>
      </c>
      <c r="AF17" s="9">
        <f>'03B PV EMU550 s proj. pomoc.'!AF46</f>
        <v>0</v>
      </c>
      <c r="AG17" s="9">
        <f>'03B PV EMU550 s proj. pomoc.'!AG46</f>
        <v>0</v>
      </c>
      <c r="AH17" s="9">
        <f>'03B PV EMU550 s proj. pomoc.'!AH46</f>
        <v>0</v>
      </c>
      <c r="AI17" s="9">
        <f>'03B PV EMU550 s proj. pomoc.'!AI46</f>
        <v>0</v>
      </c>
      <c r="AJ17" s="9">
        <f>'03B PV EMU550 s proj. pomoc.'!AJ46</f>
        <v>0</v>
      </c>
      <c r="AK17" s="9">
        <f>'03B PV EMU550 s proj. pomoc.'!AK46</f>
        <v>0</v>
      </c>
      <c r="AL17" s="9">
        <f>'03B PV EMU550 s proj. pomoc.'!AL46</f>
        <v>0</v>
      </c>
      <c r="AM17" s="9">
        <f>'03B PV EMU550 s proj. pomoc.'!AM46</f>
        <v>47184200</v>
      </c>
      <c r="AN17" s="9">
        <f>'03B PV EMU550 s proj. pomoc.'!AN46</f>
        <v>0</v>
      </c>
      <c r="AO17" s="9">
        <f>'03B PV EMU550 s proj. pomoc.'!AO46</f>
        <v>0</v>
      </c>
      <c r="AP17" s="9">
        <f>'03B PV EMU550 s proj. pomoc.'!AP46</f>
        <v>0</v>
      </c>
      <c r="AQ17" s="9">
        <f>'03B PV EMU550 s proj. pomoc.'!AQ46</f>
        <v>0</v>
      </c>
    </row>
    <row r="18" spans="2:43" x14ac:dyDescent="0.2">
      <c r="B18" s="4" t="s">
        <v>278</v>
      </c>
      <c r="C18" s="13">
        <f t="shared" si="11"/>
        <v>989245295.91480076</v>
      </c>
      <c r="D18" s="13">
        <f t="shared" ref="D18:AK18" si="12">SUM(D16:D17)</f>
        <v>27816995.355600003</v>
      </c>
      <c r="E18" s="13">
        <f t="shared" si="12"/>
        <v>27816995.355600003</v>
      </c>
      <c r="F18" s="13">
        <f t="shared" si="12"/>
        <v>27816995.355600003</v>
      </c>
      <c r="G18" s="13">
        <f t="shared" si="12"/>
        <v>27816995.355600003</v>
      </c>
      <c r="H18" s="13">
        <f t="shared" si="12"/>
        <v>27801391.582800005</v>
      </c>
      <c r="I18" s="13">
        <f t="shared" si="12"/>
        <v>27789688.753199998</v>
      </c>
      <c r="J18" s="13">
        <f t="shared" si="12"/>
        <v>27789688.753199998</v>
      </c>
      <c r="K18" s="13">
        <f t="shared" si="12"/>
        <v>27789688.753199998</v>
      </c>
      <c r="L18" s="13">
        <f t="shared" si="12"/>
        <v>27789688.753199998</v>
      </c>
      <c r="M18" s="13">
        <f t="shared" si="12"/>
        <v>27789688.753199998</v>
      </c>
      <c r="N18" s="13">
        <f t="shared" si="12"/>
        <v>27789688.753199998</v>
      </c>
      <c r="O18" s="13">
        <f t="shared" si="12"/>
        <v>27789688.753199998</v>
      </c>
      <c r="P18" s="13">
        <f t="shared" si="12"/>
        <v>27789688.753199998</v>
      </c>
      <c r="Q18" s="13">
        <f t="shared" si="12"/>
        <v>27731123.276999999</v>
      </c>
      <c r="R18" s="13">
        <f t="shared" si="12"/>
        <v>27731123.276999999</v>
      </c>
      <c r="S18" s="13">
        <f t="shared" si="12"/>
        <v>20064794.653200001</v>
      </c>
      <c r="T18" s="13">
        <f t="shared" si="12"/>
        <v>20064794.653200001</v>
      </c>
      <c r="U18" s="13">
        <f t="shared" si="12"/>
        <v>20064794.653200001</v>
      </c>
      <c r="V18" s="13">
        <f t="shared" si="12"/>
        <v>20064794.653200001</v>
      </c>
      <c r="W18" s="13">
        <f t="shared" si="12"/>
        <v>20064794.653200001</v>
      </c>
      <c r="X18" s="13">
        <f t="shared" si="12"/>
        <v>20064794.653200001</v>
      </c>
      <c r="Y18" s="13">
        <f t="shared" si="12"/>
        <v>20064794.653200001</v>
      </c>
      <c r="Z18" s="13">
        <f t="shared" si="12"/>
        <v>20064794.653200001</v>
      </c>
      <c r="AA18" s="13">
        <f t="shared" si="12"/>
        <v>20064794.653200001</v>
      </c>
      <c r="AB18" s="13">
        <f t="shared" si="12"/>
        <v>20064794.653200001</v>
      </c>
      <c r="AC18" s="13">
        <f t="shared" si="12"/>
        <v>43656894.653200001</v>
      </c>
      <c r="AD18" s="13">
        <f t="shared" si="12"/>
        <v>20064794.653200001</v>
      </c>
      <c r="AE18" s="13">
        <f t="shared" si="12"/>
        <v>20064794.653200001</v>
      </c>
      <c r="AF18" s="13">
        <f t="shared" si="12"/>
        <v>20064794.653200001</v>
      </c>
      <c r="AG18" s="13">
        <f t="shared" si="12"/>
        <v>20064794.653200001</v>
      </c>
      <c r="AH18" s="13">
        <f t="shared" si="12"/>
        <v>20064794.653200001</v>
      </c>
      <c r="AI18" s="13">
        <f t="shared" si="12"/>
        <v>20064794.653200001</v>
      </c>
      <c r="AJ18" s="13">
        <f t="shared" si="12"/>
        <v>20064794.653200001</v>
      </c>
      <c r="AK18" s="13">
        <f t="shared" si="12"/>
        <v>20064794.653200001</v>
      </c>
      <c r="AL18" s="13">
        <f t="shared" ref="AL18:AQ18" si="13">SUM(AL16:AL17)</f>
        <v>20064794.653200001</v>
      </c>
      <c r="AM18" s="13">
        <f t="shared" si="13"/>
        <v>67248994.653200001</v>
      </c>
      <c r="AN18" s="13">
        <f t="shared" si="13"/>
        <v>20064794.653200001</v>
      </c>
      <c r="AO18" s="13">
        <f t="shared" si="13"/>
        <v>20064794.653200001</v>
      </c>
      <c r="AP18" s="13">
        <f t="shared" si="13"/>
        <v>20064794.653200001</v>
      </c>
      <c r="AQ18" s="13">
        <f t="shared" si="13"/>
        <v>20064794.653200001</v>
      </c>
    </row>
    <row r="19" spans="2:43" x14ac:dyDescent="0.2">
      <c r="B19" s="3" t="s">
        <v>54</v>
      </c>
      <c r="C19" s="8">
        <f t="shared" si="11"/>
        <v>188945166.19739985</v>
      </c>
      <c r="D19" s="9">
        <f>'03B PV EMU550 s proj. pomoc.'!D48</f>
        <v>3929060.3904000008</v>
      </c>
      <c r="E19" s="9">
        <f>'03B PV EMU550 s proj. pomoc.'!E48</f>
        <v>3929060.3904000008</v>
      </c>
      <c r="F19" s="9">
        <f>'03B PV EMU550 s proj. pomoc.'!F48</f>
        <v>3929060.3904000008</v>
      </c>
      <c r="G19" s="9">
        <f>'03B PV EMU550 s proj. pomoc.'!G48</f>
        <v>3929060.3904000008</v>
      </c>
      <c r="H19" s="9">
        <f>'03B PV EMU550 s proj. pomoc.'!H48</f>
        <v>4439626.6648000004</v>
      </c>
      <c r="I19" s="9">
        <f>'03B PV EMU550 s proj. pomoc.'!I48</f>
        <v>4822551.3706</v>
      </c>
      <c r="J19" s="9">
        <f>'03B PV EMU550 s proj. pomoc.'!J48</f>
        <v>4822551.3706</v>
      </c>
      <c r="K19" s="9">
        <f>'03B PV EMU550 s proj. pomoc.'!K48</f>
        <v>4822551.3706</v>
      </c>
      <c r="L19" s="9">
        <f>'03B PV EMU550 s proj. pomoc.'!L48</f>
        <v>4822551.3706</v>
      </c>
      <c r="M19" s="9">
        <f>'03B PV EMU550 s proj. pomoc.'!M48</f>
        <v>4822551.3706</v>
      </c>
      <c r="N19" s="9">
        <f>'03B PV EMU550 s proj. pomoc.'!N48</f>
        <v>4822551.3706</v>
      </c>
      <c r="O19" s="9">
        <f>'03B PV EMU550 s proj. pomoc.'!O48</f>
        <v>4822551.3706</v>
      </c>
      <c r="P19" s="9">
        <f>'03B PV EMU550 s proj. pomoc.'!P48</f>
        <v>4822551.3706</v>
      </c>
      <c r="Q19" s="9">
        <f>'03B PV EMU550 s proj. pomoc.'!Q48</f>
        <v>4822551.3706</v>
      </c>
      <c r="R19" s="9">
        <f>'03B PV EMU550 s proj. pomoc.'!R48</f>
        <v>4822551.3706</v>
      </c>
      <c r="S19" s="9">
        <f>'03B PV EMU550 s proj. pomoc.'!S48</f>
        <v>4822551.3706</v>
      </c>
      <c r="T19" s="9">
        <f>'03B PV EMU550 s proj. pomoc.'!T48</f>
        <v>4822551.3706</v>
      </c>
      <c r="U19" s="9">
        <f>'03B PV EMU550 s proj. pomoc.'!U48</f>
        <v>4822551.3706</v>
      </c>
      <c r="V19" s="9">
        <f>'03B PV EMU550 s proj. pomoc.'!V48</f>
        <v>4822551.3706</v>
      </c>
      <c r="W19" s="9">
        <f>'03B PV EMU550 s proj. pomoc.'!W48</f>
        <v>4822551.3706</v>
      </c>
      <c r="X19" s="9">
        <f>'03B PV EMU550 s proj. pomoc.'!X48</f>
        <v>4822551.3706</v>
      </c>
      <c r="Y19" s="9">
        <f>'03B PV EMU550 s proj. pomoc.'!Y48</f>
        <v>4822551.3706</v>
      </c>
      <c r="Z19" s="9">
        <f>'03B PV EMU550 s proj. pomoc.'!Z48</f>
        <v>4822551.3706</v>
      </c>
      <c r="AA19" s="9">
        <f>'03B PV EMU550 s proj. pomoc.'!AA48</f>
        <v>4822551.3706</v>
      </c>
      <c r="AB19" s="9">
        <f>'03B PV EMU550 s proj. pomoc.'!AB48</f>
        <v>4822551.3706</v>
      </c>
      <c r="AC19" s="9">
        <f>'03B PV EMU550 s proj. pomoc.'!AC48</f>
        <v>4822551.3706</v>
      </c>
      <c r="AD19" s="9">
        <f>'03B PV EMU550 s proj. pomoc.'!AD48</f>
        <v>4822551.3706</v>
      </c>
      <c r="AE19" s="9">
        <f>'03B PV EMU550 s proj. pomoc.'!AE48</f>
        <v>4822551.3706</v>
      </c>
      <c r="AF19" s="9">
        <f>'03B PV EMU550 s proj. pomoc.'!AF48</f>
        <v>4822551.3706</v>
      </c>
      <c r="AG19" s="9">
        <f>'03B PV EMU550 s proj. pomoc.'!AG48</f>
        <v>4822551.3706</v>
      </c>
      <c r="AH19" s="9">
        <f>'03B PV EMU550 s proj. pomoc.'!AH48</f>
        <v>4822551.3706</v>
      </c>
      <c r="AI19" s="9">
        <f>'03B PV EMU550 s proj. pomoc.'!AI48</f>
        <v>4822551.3706</v>
      </c>
      <c r="AJ19" s="9">
        <f>'03B PV EMU550 s proj. pomoc.'!AJ48</f>
        <v>4822551.3706</v>
      </c>
      <c r="AK19" s="9">
        <f>'03B PV EMU550 s proj. pomoc.'!AK48</f>
        <v>4822551.3706</v>
      </c>
      <c r="AL19" s="9">
        <f>'03B PV EMU550 s proj. pomoc.'!AL48</f>
        <v>4822551.3706</v>
      </c>
      <c r="AM19" s="9">
        <f>'03B PV EMU550 s proj. pomoc.'!AM48</f>
        <v>4822551.3706</v>
      </c>
      <c r="AN19" s="9">
        <f>'03B PV EMU550 s proj. pomoc.'!AN48</f>
        <v>4822551.3706</v>
      </c>
      <c r="AO19" s="9">
        <f>'03B PV EMU550 s proj. pomoc.'!AO48</f>
        <v>4822551.3706</v>
      </c>
      <c r="AP19" s="9">
        <f>'03B PV EMU550 s proj. pomoc.'!AP48</f>
        <v>4822551.3706</v>
      </c>
      <c r="AQ19" s="9">
        <f>'03B PV EMU550 s proj. pomoc.'!AQ48</f>
        <v>4822551.3706</v>
      </c>
    </row>
    <row r="20" spans="2:43" ht="12" thickBot="1" x14ac:dyDescent="0.25">
      <c r="B20" s="20" t="s">
        <v>52</v>
      </c>
      <c r="C20" s="13">
        <f t="shared" si="11"/>
        <v>188945166.19739985</v>
      </c>
      <c r="D20" s="21">
        <f t="shared" ref="D20:AK20" si="14">SUM(D19:D19)</f>
        <v>3929060.3904000008</v>
      </c>
      <c r="E20" s="21">
        <f t="shared" si="14"/>
        <v>3929060.3904000008</v>
      </c>
      <c r="F20" s="21">
        <f t="shared" si="14"/>
        <v>3929060.3904000008</v>
      </c>
      <c r="G20" s="21">
        <f t="shared" si="14"/>
        <v>3929060.3904000008</v>
      </c>
      <c r="H20" s="21">
        <f t="shared" si="14"/>
        <v>4439626.6648000004</v>
      </c>
      <c r="I20" s="21">
        <f t="shared" si="14"/>
        <v>4822551.3706</v>
      </c>
      <c r="J20" s="21">
        <f t="shared" si="14"/>
        <v>4822551.3706</v>
      </c>
      <c r="K20" s="21">
        <f t="shared" si="14"/>
        <v>4822551.3706</v>
      </c>
      <c r="L20" s="21">
        <f t="shared" si="14"/>
        <v>4822551.3706</v>
      </c>
      <c r="M20" s="21">
        <f t="shared" si="14"/>
        <v>4822551.3706</v>
      </c>
      <c r="N20" s="21">
        <f t="shared" si="14"/>
        <v>4822551.3706</v>
      </c>
      <c r="O20" s="21">
        <f t="shared" si="14"/>
        <v>4822551.3706</v>
      </c>
      <c r="P20" s="21">
        <f t="shared" si="14"/>
        <v>4822551.3706</v>
      </c>
      <c r="Q20" s="21">
        <f t="shared" si="14"/>
        <v>4822551.3706</v>
      </c>
      <c r="R20" s="21">
        <f t="shared" si="14"/>
        <v>4822551.3706</v>
      </c>
      <c r="S20" s="21">
        <f t="shared" si="14"/>
        <v>4822551.3706</v>
      </c>
      <c r="T20" s="21">
        <f t="shared" si="14"/>
        <v>4822551.3706</v>
      </c>
      <c r="U20" s="21">
        <f t="shared" si="14"/>
        <v>4822551.3706</v>
      </c>
      <c r="V20" s="21">
        <f t="shared" si="14"/>
        <v>4822551.3706</v>
      </c>
      <c r="W20" s="21">
        <f t="shared" si="14"/>
        <v>4822551.3706</v>
      </c>
      <c r="X20" s="21">
        <f t="shared" si="14"/>
        <v>4822551.3706</v>
      </c>
      <c r="Y20" s="21">
        <f t="shared" si="14"/>
        <v>4822551.3706</v>
      </c>
      <c r="Z20" s="21">
        <f t="shared" si="14"/>
        <v>4822551.3706</v>
      </c>
      <c r="AA20" s="21">
        <f t="shared" si="14"/>
        <v>4822551.3706</v>
      </c>
      <c r="AB20" s="21">
        <f t="shared" si="14"/>
        <v>4822551.3706</v>
      </c>
      <c r="AC20" s="21">
        <f t="shared" si="14"/>
        <v>4822551.3706</v>
      </c>
      <c r="AD20" s="21">
        <f t="shared" si="14"/>
        <v>4822551.3706</v>
      </c>
      <c r="AE20" s="21">
        <f t="shared" si="14"/>
        <v>4822551.3706</v>
      </c>
      <c r="AF20" s="21">
        <f t="shared" si="14"/>
        <v>4822551.3706</v>
      </c>
      <c r="AG20" s="21">
        <f t="shared" si="14"/>
        <v>4822551.3706</v>
      </c>
      <c r="AH20" s="21">
        <f t="shared" si="14"/>
        <v>4822551.3706</v>
      </c>
      <c r="AI20" s="21">
        <f t="shared" si="14"/>
        <v>4822551.3706</v>
      </c>
      <c r="AJ20" s="21">
        <f t="shared" si="14"/>
        <v>4822551.3706</v>
      </c>
      <c r="AK20" s="21">
        <f t="shared" si="14"/>
        <v>4822551.3706</v>
      </c>
      <c r="AL20" s="21">
        <f t="shared" ref="AL20:AQ20" si="15">SUM(AL19:AL19)</f>
        <v>4822551.3706</v>
      </c>
      <c r="AM20" s="21">
        <f t="shared" si="15"/>
        <v>4822551.3706</v>
      </c>
      <c r="AN20" s="21">
        <f t="shared" si="15"/>
        <v>4822551.3706</v>
      </c>
      <c r="AO20" s="21">
        <f t="shared" si="15"/>
        <v>4822551.3706</v>
      </c>
      <c r="AP20" s="21">
        <f t="shared" si="15"/>
        <v>4822551.3706</v>
      </c>
      <c r="AQ20" s="21">
        <f t="shared" si="15"/>
        <v>4822551.3706</v>
      </c>
    </row>
    <row r="21" spans="2:43" ht="12" thickTop="1" x14ac:dyDescent="0.2">
      <c r="B21" s="22" t="s">
        <v>51</v>
      </c>
      <c r="C21" s="13">
        <f t="shared" si="11"/>
        <v>1178190462.1121998</v>
      </c>
      <c r="D21" s="23">
        <f t="shared" ref="D21:AK21" si="16">SUM(D18,D20)</f>
        <v>31746055.746000003</v>
      </c>
      <c r="E21" s="23">
        <f t="shared" si="16"/>
        <v>31746055.746000003</v>
      </c>
      <c r="F21" s="23">
        <f t="shared" si="16"/>
        <v>31746055.746000003</v>
      </c>
      <c r="G21" s="23">
        <f t="shared" si="16"/>
        <v>31746055.746000003</v>
      </c>
      <c r="H21" s="23">
        <f t="shared" si="16"/>
        <v>32241018.247600004</v>
      </c>
      <c r="I21" s="23">
        <f t="shared" si="16"/>
        <v>32612240.123799998</v>
      </c>
      <c r="J21" s="23">
        <f t="shared" si="16"/>
        <v>32612240.123799998</v>
      </c>
      <c r="K21" s="23">
        <f t="shared" si="16"/>
        <v>32612240.123799998</v>
      </c>
      <c r="L21" s="23">
        <f t="shared" si="16"/>
        <v>32612240.123799998</v>
      </c>
      <c r="M21" s="23">
        <f t="shared" si="16"/>
        <v>32612240.123799998</v>
      </c>
      <c r="N21" s="23">
        <f t="shared" si="16"/>
        <v>32612240.123799998</v>
      </c>
      <c r="O21" s="23">
        <f t="shared" si="16"/>
        <v>32612240.123799998</v>
      </c>
      <c r="P21" s="23">
        <f t="shared" si="16"/>
        <v>32612240.123799998</v>
      </c>
      <c r="Q21" s="23">
        <f t="shared" si="16"/>
        <v>32553674.647599999</v>
      </c>
      <c r="R21" s="23">
        <f t="shared" si="16"/>
        <v>32553674.647599999</v>
      </c>
      <c r="S21" s="23">
        <f t="shared" si="16"/>
        <v>24887346.023800001</v>
      </c>
      <c r="T21" s="23">
        <f t="shared" si="16"/>
        <v>24887346.023800001</v>
      </c>
      <c r="U21" s="23">
        <f t="shared" si="16"/>
        <v>24887346.023800001</v>
      </c>
      <c r="V21" s="23">
        <f t="shared" si="16"/>
        <v>24887346.023800001</v>
      </c>
      <c r="W21" s="23">
        <f t="shared" si="16"/>
        <v>24887346.023800001</v>
      </c>
      <c r="X21" s="23">
        <f t="shared" si="16"/>
        <v>24887346.023800001</v>
      </c>
      <c r="Y21" s="23">
        <f t="shared" si="16"/>
        <v>24887346.023800001</v>
      </c>
      <c r="Z21" s="23">
        <f t="shared" si="16"/>
        <v>24887346.023800001</v>
      </c>
      <c r="AA21" s="23">
        <f t="shared" si="16"/>
        <v>24887346.023800001</v>
      </c>
      <c r="AB21" s="23">
        <f t="shared" si="16"/>
        <v>24887346.023800001</v>
      </c>
      <c r="AC21" s="23">
        <f t="shared" si="16"/>
        <v>48479446.023800001</v>
      </c>
      <c r="AD21" s="23">
        <f t="shared" si="16"/>
        <v>24887346.023800001</v>
      </c>
      <c r="AE21" s="23">
        <f t="shared" si="16"/>
        <v>24887346.023800001</v>
      </c>
      <c r="AF21" s="23">
        <f t="shared" si="16"/>
        <v>24887346.023800001</v>
      </c>
      <c r="AG21" s="23">
        <f t="shared" si="16"/>
        <v>24887346.023800001</v>
      </c>
      <c r="AH21" s="23">
        <f t="shared" si="16"/>
        <v>24887346.023800001</v>
      </c>
      <c r="AI21" s="23">
        <f t="shared" si="16"/>
        <v>24887346.023800001</v>
      </c>
      <c r="AJ21" s="23">
        <f t="shared" si="16"/>
        <v>24887346.023800001</v>
      </c>
      <c r="AK21" s="23">
        <f t="shared" si="16"/>
        <v>24887346.023800001</v>
      </c>
      <c r="AL21" s="23">
        <f t="shared" ref="AL21:AQ21" si="17">SUM(AL18,AL20)</f>
        <v>24887346.023800001</v>
      </c>
      <c r="AM21" s="23">
        <f t="shared" si="17"/>
        <v>72071546.023800001</v>
      </c>
      <c r="AN21" s="23">
        <f t="shared" si="17"/>
        <v>24887346.023800001</v>
      </c>
      <c r="AO21" s="23">
        <f t="shared" si="17"/>
        <v>24887346.023800001</v>
      </c>
      <c r="AP21" s="23">
        <f t="shared" si="17"/>
        <v>24887346.023800001</v>
      </c>
      <c r="AQ21" s="23">
        <f t="shared" si="17"/>
        <v>24887346.023800001</v>
      </c>
    </row>
    <row r="24" spans="2:43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2:43" x14ac:dyDescent="0.2">
      <c r="B25" s="4" t="s">
        <v>56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  <c r="AH25" s="3">
        <v>31</v>
      </c>
      <c r="AI25" s="3">
        <v>32</v>
      </c>
      <c r="AJ25" s="3">
        <v>33</v>
      </c>
      <c r="AK25" s="3">
        <v>34</v>
      </c>
      <c r="AL25" s="3">
        <v>35</v>
      </c>
      <c r="AM25" s="3">
        <v>36</v>
      </c>
      <c r="AN25" s="3">
        <v>37</v>
      </c>
      <c r="AO25" s="3">
        <v>38</v>
      </c>
      <c r="AP25" s="3">
        <v>39</v>
      </c>
      <c r="AQ25" s="3">
        <v>40</v>
      </c>
    </row>
    <row r="26" spans="2:43" x14ac:dyDescent="0.2">
      <c r="B26" s="154" t="s">
        <v>43</v>
      </c>
      <c r="C26" s="154" t="s">
        <v>9</v>
      </c>
      <c r="D26" s="281">
        <f t="shared" ref="D26:AK26" si="18">D4</f>
        <v>2026</v>
      </c>
      <c r="E26" s="281">
        <f t="shared" si="18"/>
        <v>2027</v>
      </c>
      <c r="F26" s="281">
        <f t="shared" si="18"/>
        <v>2028</v>
      </c>
      <c r="G26" s="281">
        <f t="shared" si="18"/>
        <v>2029</v>
      </c>
      <c r="H26" s="281">
        <f t="shared" si="18"/>
        <v>2030</v>
      </c>
      <c r="I26" s="281">
        <f t="shared" si="18"/>
        <v>2031</v>
      </c>
      <c r="J26" s="281">
        <f t="shared" si="18"/>
        <v>2032</v>
      </c>
      <c r="K26" s="281">
        <f t="shared" si="18"/>
        <v>2033</v>
      </c>
      <c r="L26" s="281">
        <f t="shared" si="18"/>
        <v>2034</v>
      </c>
      <c r="M26" s="281">
        <f t="shared" si="18"/>
        <v>2035</v>
      </c>
      <c r="N26" s="281">
        <f t="shared" si="18"/>
        <v>2036</v>
      </c>
      <c r="O26" s="281">
        <f t="shared" si="18"/>
        <v>2037</v>
      </c>
      <c r="P26" s="281">
        <f t="shared" si="18"/>
        <v>2038</v>
      </c>
      <c r="Q26" s="281">
        <f t="shared" si="18"/>
        <v>2039</v>
      </c>
      <c r="R26" s="281">
        <f t="shared" si="18"/>
        <v>2040</v>
      </c>
      <c r="S26" s="281">
        <f t="shared" si="18"/>
        <v>2041</v>
      </c>
      <c r="T26" s="281">
        <f t="shared" si="18"/>
        <v>2042</v>
      </c>
      <c r="U26" s="281">
        <f t="shared" si="18"/>
        <v>2043</v>
      </c>
      <c r="V26" s="281">
        <f t="shared" si="18"/>
        <v>2044</v>
      </c>
      <c r="W26" s="281">
        <f t="shared" si="18"/>
        <v>2045</v>
      </c>
      <c r="X26" s="281">
        <f t="shared" si="18"/>
        <v>2046</v>
      </c>
      <c r="Y26" s="281">
        <f t="shared" si="18"/>
        <v>2047</v>
      </c>
      <c r="Z26" s="281">
        <f t="shared" si="18"/>
        <v>2048</v>
      </c>
      <c r="AA26" s="281">
        <f t="shared" si="18"/>
        <v>2049</v>
      </c>
      <c r="AB26" s="281">
        <f t="shared" si="18"/>
        <v>2050</v>
      </c>
      <c r="AC26" s="281">
        <f t="shared" si="18"/>
        <v>2051</v>
      </c>
      <c r="AD26" s="281">
        <f t="shared" si="18"/>
        <v>2052</v>
      </c>
      <c r="AE26" s="281">
        <f t="shared" si="18"/>
        <v>2053</v>
      </c>
      <c r="AF26" s="281">
        <f t="shared" si="18"/>
        <v>2054</v>
      </c>
      <c r="AG26" s="281">
        <f t="shared" si="18"/>
        <v>2055</v>
      </c>
      <c r="AH26" s="281">
        <f t="shared" si="18"/>
        <v>2056</v>
      </c>
      <c r="AI26" s="281">
        <f t="shared" si="18"/>
        <v>2057</v>
      </c>
      <c r="AJ26" s="281">
        <f t="shared" si="18"/>
        <v>2058</v>
      </c>
      <c r="AK26" s="281">
        <f t="shared" si="18"/>
        <v>2059</v>
      </c>
      <c r="AL26" s="281">
        <f t="shared" ref="AL26:AQ26" si="19">AL4</f>
        <v>2060</v>
      </c>
      <c r="AM26" s="281">
        <f t="shared" si="19"/>
        <v>2061</v>
      </c>
      <c r="AN26" s="281">
        <f t="shared" si="19"/>
        <v>2062</v>
      </c>
      <c r="AO26" s="281">
        <f t="shared" si="19"/>
        <v>2063</v>
      </c>
      <c r="AP26" s="281">
        <f t="shared" si="19"/>
        <v>2064</v>
      </c>
      <c r="AQ26" s="281">
        <f t="shared" si="19"/>
        <v>2065</v>
      </c>
    </row>
    <row r="27" spans="2:43" x14ac:dyDescent="0.2">
      <c r="B27" s="3" t="s">
        <v>281</v>
      </c>
      <c r="C27" s="8">
        <f>SUM(D27:AQ27)</f>
        <v>-194210818.30920005</v>
      </c>
      <c r="D27" s="8">
        <f t="shared" ref="D27:AP28" si="20">D16-D5</f>
        <v>0</v>
      </c>
      <c r="E27" s="8">
        <f t="shared" si="20"/>
        <v>0</v>
      </c>
      <c r="F27" s="8">
        <f t="shared" si="20"/>
        <v>0</v>
      </c>
      <c r="G27" s="8">
        <f t="shared" si="20"/>
        <v>0</v>
      </c>
      <c r="H27" s="8">
        <f t="shared" si="20"/>
        <v>-15603.772799998522</v>
      </c>
      <c r="I27" s="8">
        <f t="shared" si="20"/>
        <v>-27306.602400004864</v>
      </c>
      <c r="J27" s="8">
        <f t="shared" si="20"/>
        <v>-27306.602400004864</v>
      </c>
      <c r="K27" s="8">
        <f t="shared" si="20"/>
        <v>-27306.602400004864</v>
      </c>
      <c r="L27" s="8">
        <f t="shared" si="20"/>
        <v>-27306.602400004864</v>
      </c>
      <c r="M27" s="8">
        <f t="shared" si="20"/>
        <v>-27306.602400004864</v>
      </c>
      <c r="N27" s="8">
        <f t="shared" si="20"/>
        <v>-27306.602400004864</v>
      </c>
      <c r="O27" s="8">
        <f t="shared" si="20"/>
        <v>-27306.602400004864</v>
      </c>
      <c r="P27" s="8">
        <f t="shared" si="20"/>
        <v>-27306.602400004864</v>
      </c>
      <c r="Q27" s="8">
        <f t="shared" si="20"/>
        <v>-85872.078600004315</v>
      </c>
      <c r="R27" s="8">
        <f t="shared" si="20"/>
        <v>-85872.078600004315</v>
      </c>
      <c r="S27" s="8">
        <f t="shared" si="20"/>
        <v>-7752200.7024000026</v>
      </c>
      <c r="T27" s="8">
        <f t="shared" si="20"/>
        <v>-7752200.7024000026</v>
      </c>
      <c r="U27" s="8">
        <f t="shared" si="20"/>
        <v>-7752200.7024000026</v>
      </c>
      <c r="V27" s="8">
        <f t="shared" si="20"/>
        <v>-7752200.7024000026</v>
      </c>
      <c r="W27" s="8">
        <f t="shared" si="20"/>
        <v>-7752200.7024000026</v>
      </c>
      <c r="X27" s="8">
        <f t="shared" si="20"/>
        <v>-7752200.7024000026</v>
      </c>
      <c r="Y27" s="8">
        <f t="shared" si="20"/>
        <v>-7752200.7024000026</v>
      </c>
      <c r="Z27" s="8">
        <f t="shared" si="20"/>
        <v>-7752200.7024000026</v>
      </c>
      <c r="AA27" s="8">
        <f t="shared" si="20"/>
        <v>-7752200.7024000026</v>
      </c>
      <c r="AB27" s="8">
        <f t="shared" si="20"/>
        <v>-7752200.7024000026</v>
      </c>
      <c r="AC27" s="8">
        <f t="shared" si="20"/>
        <v>-7752200.7024000026</v>
      </c>
      <c r="AD27" s="8">
        <f t="shared" si="20"/>
        <v>-7752200.7024000026</v>
      </c>
      <c r="AE27" s="8">
        <f t="shared" si="20"/>
        <v>-7752200.7024000026</v>
      </c>
      <c r="AF27" s="8">
        <f t="shared" si="20"/>
        <v>-7752200.7024000026</v>
      </c>
      <c r="AG27" s="8">
        <f t="shared" si="20"/>
        <v>-7752200.7024000026</v>
      </c>
      <c r="AH27" s="8">
        <f t="shared" si="20"/>
        <v>-7752200.7024000026</v>
      </c>
      <c r="AI27" s="8">
        <f t="shared" si="20"/>
        <v>-7752200.7024000026</v>
      </c>
      <c r="AJ27" s="8">
        <f t="shared" si="20"/>
        <v>-7752200.7024000026</v>
      </c>
      <c r="AK27" s="8">
        <f t="shared" si="20"/>
        <v>-7752200.7024000026</v>
      </c>
      <c r="AL27" s="8">
        <f t="shared" si="20"/>
        <v>-7752200.7024000026</v>
      </c>
      <c r="AM27" s="8">
        <f t="shared" si="20"/>
        <v>-7752200.7024000026</v>
      </c>
      <c r="AN27" s="8">
        <f t="shared" si="20"/>
        <v>-7752200.7024000026</v>
      </c>
      <c r="AO27" s="8">
        <f t="shared" si="20"/>
        <v>-7752200.7024000026</v>
      </c>
      <c r="AP27" s="8">
        <f t="shared" si="20"/>
        <v>-7752200.7024000026</v>
      </c>
      <c r="AQ27" s="8">
        <f t="shared" ref="AQ27" si="21">AQ16-AQ5</f>
        <v>-7752200.7024000026</v>
      </c>
    </row>
    <row r="28" spans="2:43" x14ac:dyDescent="0.2">
      <c r="B28" s="3" t="s">
        <v>279</v>
      </c>
      <c r="C28" s="8">
        <f t="shared" ref="C28:C32" si="22">SUM(D28:AQ28)</f>
        <v>-304423700</v>
      </c>
      <c r="D28" s="8">
        <f t="shared" si="20"/>
        <v>0</v>
      </c>
      <c r="E28" s="8">
        <f t="shared" si="20"/>
        <v>0</v>
      </c>
      <c r="F28" s="8">
        <f t="shared" si="20"/>
        <v>0</v>
      </c>
      <c r="G28" s="8">
        <f t="shared" si="20"/>
        <v>0</v>
      </c>
      <c r="H28" s="8">
        <f t="shared" si="20"/>
        <v>0</v>
      </c>
      <c r="I28" s="8">
        <f t="shared" si="20"/>
        <v>-26800000</v>
      </c>
      <c r="J28" s="8">
        <f t="shared" si="20"/>
        <v>-26800000</v>
      </c>
      <c r="K28" s="8">
        <f t="shared" si="20"/>
        <v>0</v>
      </c>
      <c r="L28" s="8">
        <f t="shared" si="20"/>
        <v>0</v>
      </c>
      <c r="M28" s="8">
        <f t="shared" si="20"/>
        <v>0</v>
      </c>
      <c r="N28" s="8">
        <f t="shared" si="20"/>
        <v>0</v>
      </c>
      <c r="O28" s="8">
        <f t="shared" si="20"/>
        <v>0</v>
      </c>
      <c r="P28" s="8">
        <f t="shared" si="20"/>
        <v>0</v>
      </c>
      <c r="Q28" s="8">
        <f t="shared" si="20"/>
        <v>0</v>
      </c>
      <c r="R28" s="8">
        <f t="shared" si="20"/>
        <v>0</v>
      </c>
      <c r="S28" s="8">
        <f t="shared" si="20"/>
        <v>-53600000</v>
      </c>
      <c r="T28" s="8">
        <f t="shared" si="20"/>
        <v>-53600000</v>
      </c>
      <c r="U28" s="8">
        <f t="shared" si="20"/>
        <v>0</v>
      </c>
      <c r="V28" s="8">
        <f t="shared" si="20"/>
        <v>0</v>
      </c>
      <c r="W28" s="8">
        <f t="shared" si="20"/>
        <v>0</v>
      </c>
      <c r="X28" s="8">
        <f t="shared" si="20"/>
        <v>0</v>
      </c>
      <c r="Y28" s="8">
        <f t="shared" si="20"/>
        <v>0</v>
      </c>
      <c r="Z28" s="8">
        <f t="shared" si="20"/>
        <v>0</v>
      </c>
      <c r="AA28" s="8">
        <f t="shared" si="20"/>
        <v>0</v>
      </c>
      <c r="AB28" s="8">
        <f t="shared" si="20"/>
        <v>0</v>
      </c>
      <c r="AC28" s="8">
        <f t="shared" si="20"/>
        <v>-3207900</v>
      </c>
      <c r="AD28" s="8">
        <f t="shared" si="20"/>
        <v>-26800000</v>
      </c>
      <c r="AE28" s="8">
        <f t="shared" si="20"/>
        <v>0</v>
      </c>
      <c r="AF28" s="8">
        <f t="shared" si="20"/>
        <v>0</v>
      </c>
      <c r="AG28" s="8">
        <f t="shared" si="20"/>
        <v>0</v>
      </c>
      <c r="AH28" s="8">
        <f t="shared" si="20"/>
        <v>0</v>
      </c>
      <c r="AI28" s="8">
        <f t="shared" si="20"/>
        <v>0</v>
      </c>
      <c r="AJ28" s="8">
        <f t="shared" si="20"/>
        <v>0</v>
      </c>
      <c r="AK28" s="8">
        <f t="shared" si="20"/>
        <v>0</v>
      </c>
      <c r="AL28" s="8">
        <f t="shared" si="20"/>
        <v>0</v>
      </c>
      <c r="AM28" s="8">
        <f t="shared" si="20"/>
        <v>-6415800</v>
      </c>
      <c r="AN28" s="8">
        <f t="shared" si="20"/>
        <v>-53600000</v>
      </c>
      <c r="AO28" s="8">
        <f t="shared" si="20"/>
        <v>0</v>
      </c>
      <c r="AP28" s="8">
        <f t="shared" si="20"/>
        <v>0</v>
      </c>
      <c r="AQ28" s="8">
        <f t="shared" ref="AQ28" si="23">AQ17-AQ6</f>
        <v>-53600000</v>
      </c>
    </row>
    <row r="29" spans="2:43" x14ac:dyDescent="0.2">
      <c r="B29" s="4" t="s">
        <v>278</v>
      </c>
      <c r="C29" s="13">
        <f t="shared" si="22"/>
        <v>-498634518.30920029</v>
      </c>
      <c r="D29" s="13">
        <f t="shared" ref="D29:AK29" si="24">SUM(D27:D28)</f>
        <v>0</v>
      </c>
      <c r="E29" s="13">
        <f t="shared" si="24"/>
        <v>0</v>
      </c>
      <c r="F29" s="13">
        <f t="shared" si="24"/>
        <v>0</v>
      </c>
      <c r="G29" s="13">
        <f t="shared" si="24"/>
        <v>0</v>
      </c>
      <c r="H29" s="13">
        <f t="shared" si="24"/>
        <v>-15603.772799998522</v>
      </c>
      <c r="I29" s="13">
        <f t="shared" si="24"/>
        <v>-26827306.602400005</v>
      </c>
      <c r="J29" s="13">
        <f t="shared" si="24"/>
        <v>-26827306.602400005</v>
      </c>
      <c r="K29" s="13">
        <f t="shared" si="24"/>
        <v>-27306.602400004864</v>
      </c>
      <c r="L29" s="13">
        <f t="shared" si="24"/>
        <v>-27306.602400004864</v>
      </c>
      <c r="M29" s="13">
        <f t="shared" si="24"/>
        <v>-27306.602400004864</v>
      </c>
      <c r="N29" s="13">
        <f t="shared" si="24"/>
        <v>-27306.602400004864</v>
      </c>
      <c r="O29" s="13">
        <f t="shared" si="24"/>
        <v>-27306.602400004864</v>
      </c>
      <c r="P29" s="13">
        <f t="shared" si="24"/>
        <v>-27306.602400004864</v>
      </c>
      <c r="Q29" s="13">
        <f t="shared" si="24"/>
        <v>-85872.078600004315</v>
      </c>
      <c r="R29" s="13">
        <f t="shared" si="24"/>
        <v>-85872.078600004315</v>
      </c>
      <c r="S29" s="13">
        <f t="shared" si="24"/>
        <v>-61352200.702399999</v>
      </c>
      <c r="T29" s="13">
        <f t="shared" si="24"/>
        <v>-61352200.702399999</v>
      </c>
      <c r="U29" s="13">
        <f t="shared" si="24"/>
        <v>-7752200.7024000026</v>
      </c>
      <c r="V29" s="13">
        <f t="shared" si="24"/>
        <v>-7752200.7024000026</v>
      </c>
      <c r="W29" s="13">
        <f t="shared" si="24"/>
        <v>-7752200.7024000026</v>
      </c>
      <c r="X29" s="13">
        <f t="shared" si="24"/>
        <v>-7752200.7024000026</v>
      </c>
      <c r="Y29" s="13">
        <f t="shared" si="24"/>
        <v>-7752200.7024000026</v>
      </c>
      <c r="Z29" s="13">
        <f t="shared" si="24"/>
        <v>-7752200.7024000026</v>
      </c>
      <c r="AA29" s="13">
        <f t="shared" si="24"/>
        <v>-7752200.7024000026</v>
      </c>
      <c r="AB29" s="13">
        <f t="shared" si="24"/>
        <v>-7752200.7024000026</v>
      </c>
      <c r="AC29" s="13">
        <f t="shared" si="24"/>
        <v>-10960100.702400003</v>
      </c>
      <c r="AD29" s="13">
        <f t="shared" si="24"/>
        <v>-34552200.702399999</v>
      </c>
      <c r="AE29" s="13">
        <f t="shared" si="24"/>
        <v>-7752200.7024000026</v>
      </c>
      <c r="AF29" s="13">
        <f t="shared" si="24"/>
        <v>-7752200.7024000026</v>
      </c>
      <c r="AG29" s="13">
        <f t="shared" si="24"/>
        <v>-7752200.7024000026</v>
      </c>
      <c r="AH29" s="13">
        <f t="shared" si="24"/>
        <v>-7752200.7024000026</v>
      </c>
      <c r="AI29" s="13">
        <f t="shared" si="24"/>
        <v>-7752200.7024000026</v>
      </c>
      <c r="AJ29" s="13">
        <f t="shared" si="24"/>
        <v>-7752200.7024000026</v>
      </c>
      <c r="AK29" s="13">
        <f t="shared" si="24"/>
        <v>-7752200.7024000026</v>
      </c>
      <c r="AL29" s="13">
        <f t="shared" ref="AL29:AQ29" si="25">SUM(AL27:AL28)</f>
        <v>-7752200.7024000026</v>
      </c>
      <c r="AM29" s="13">
        <f t="shared" si="25"/>
        <v>-14168000.702400003</v>
      </c>
      <c r="AN29" s="13">
        <f t="shared" si="25"/>
        <v>-61352200.702399999</v>
      </c>
      <c r="AO29" s="13">
        <f t="shared" si="25"/>
        <v>-7752200.7024000026</v>
      </c>
      <c r="AP29" s="13">
        <f t="shared" si="25"/>
        <v>-7752200.7024000026</v>
      </c>
      <c r="AQ29" s="13">
        <f t="shared" si="25"/>
        <v>-61352200.702399999</v>
      </c>
    </row>
    <row r="30" spans="2:43" x14ac:dyDescent="0.2">
      <c r="B30" s="3" t="s">
        <v>54</v>
      </c>
      <c r="C30" s="8">
        <f t="shared" si="22"/>
        <v>31782750.581399996</v>
      </c>
      <c r="D30" s="8">
        <f t="shared" ref="D30:AK30" si="26">D19-D8</f>
        <v>0</v>
      </c>
      <c r="E30" s="8">
        <f t="shared" si="26"/>
        <v>0</v>
      </c>
      <c r="F30" s="8">
        <f t="shared" si="26"/>
        <v>0</v>
      </c>
      <c r="G30" s="8">
        <f t="shared" si="26"/>
        <v>0</v>
      </c>
      <c r="H30" s="8">
        <f t="shared" si="26"/>
        <v>510566.27439999953</v>
      </c>
      <c r="I30" s="8">
        <f t="shared" si="26"/>
        <v>893490.98019999918</v>
      </c>
      <c r="J30" s="8">
        <f t="shared" si="26"/>
        <v>893490.98019999918</v>
      </c>
      <c r="K30" s="8">
        <f t="shared" si="26"/>
        <v>893490.98019999918</v>
      </c>
      <c r="L30" s="8">
        <f t="shared" si="26"/>
        <v>893490.98019999918</v>
      </c>
      <c r="M30" s="8">
        <f t="shared" si="26"/>
        <v>893490.98019999918</v>
      </c>
      <c r="N30" s="8">
        <f t="shared" si="26"/>
        <v>893490.98019999918</v>
      </c>
      <c r="O30" s="8">
        <f t="shared" si="26"/>
        <v>893490.98019999918</v>
      </c>
      <c r="P30" s="8">
        <f t="shared" si="26"/>
        <v>893490.98019999918</v>
      </c>
      <c r="Q30" s="8">
        <f t="shared" si="26"/>
        <v>893490.98019999918</v>
      </c>
      <c r="R30" s="8">
        <f t="shared" si="26"/>
        <v>893490.98019999918</v>
      </c>
      <c r="S30" s="8">
        <f t="shared" si="26"/>
        <v>893490.98019999918</v>
      </c>
      <c r="T30" s="8">
        <f t="shared" si="26"/>
        <v>893490.98019999918</v>
      </c>
      <c r="U30" s="8">
        <f t="shared" si="26"/>
        <v>893490.98019999918</v>
      </c>
      <c r="V30" s="8">
        <f t="shared" si="26"/>
        <v>893490.98019999918</v>
      </c>
      <c r="W30" s="8">
        <f t="shared" si="26"/>
        <v>893490.98019999918</v>
      </c>
      <c r="X30" s="8">
        <f t="shared" si="26"/>
        <v>893490.98019999918</v>
      </c>
      <c r="Y30" s="8">
        <f t="shared" si="26"/>
        <v>893490.98019999918</v>
      </c>
      <c r="Z30" s="8">
        <f t="shared" si="26"/>
        <v>893490.98019999918</v>
      </c>
      <c r="AA30" s="8">
        <f t="shared" si="26"/>
        <v>893490.98019999918</v>
      </c>
      <c r="AB30" s="8">
        <f t="shared" si="26"/>
        <v>893490.98019999918</v>
      </c>
      <c r="AC30" s="8">
        <f t="shared" si="26"/>
        <v>893490.98019999918</v>
      </c>
      <c r="AD30" s="8">
        <f t="shared" si="26"/>
        <v>893490.98019999918</v>
      </c>
      <c r="AE30" s="8">
        <f t="shared" si="26"/>
        <v>893490.98019999918</v>
      </c>
      <c r="AF30" s="8">
        <f t="shared" si="26"/>
        <v>893490.98019999918</v>
      </c>
      <c r="AG30" s="8">
        <f t="shared" si="26"/>
        <v>893490.98019999918</v>
      </c>
      <c r="AH30" s="8">
        <f t="shared" si="26"/>
        <v>893490.98019999918</v>
      </c>
      <c r="AI30" s="8">
        <f t="shared" si="26"/>
        <v>893490.98019999918</v>
      </c>
      <c r="AJ30" s="8">
        <f t="shared" si="26"/>
        <v>893490.98019999918</v>
      </c>
      <c r="AK30" s="8">
        <f t="shared" si="26"/>
        <v>893490.98019999918</v>
      </c>
      <c r="AL30" s="8">
        <f t="shared" ref="AL30:AQ30" si="27">AL19-AL8</f>
        <v>893490.98019999918</v>
      </c>
      <c r="AM30" s="8">
        <f t="shared" si="27"/>
        <v>893490.98019999918</v>
      </c>
      <c r="AN30" s="8">
        <f t="shared" si="27"/>
        <v>893490.98019999918</v>
      </c>
      <c r="AO30" s="8">
        <f t="shared" si="27"/>
        <v>893490.98019999918</v>
      </c>
      <c r="AP30" s="8">
        <f t="shared" si="27"/>
        <v>893490.98019999918</v>
      </c>
      <c r="AQ30" s="8">
        <f t="shared" si="27"/>
        <v>893490.98019999918</v>
      </c>
    </row>
    <row r="31" spans="2:43" ht="12" thickBot="1" x14ac:dyDescent="0.25">
      <c r="B31" s="20" t="s">
        <v>52</v>
      </c>
      <c r="C31" s="13">
        <f t="shared" si="22"/>
        <v>31782750.581399996</v>
      </c>
      <c r="D31" s="21">
        <f t="shared" ref="D31:AK31" si="28">SUM(D30:D30)</f>
        <v>0</v>
      </c>
      <c r="E31" s="21">
        <f t="shared" si="28"/>
        <v>0</v>
      </c>
      <c r="F31" s="21">
        <f t="shared" si="28"/>
        <v>0</v>
      </c>
      <c r="G31" s="21">
        <f t="shared" si="28"/>
        <v>0</v>
      </c>
      <c r="H31" s="21">
        <f t="shared" si="28"/>
        <v>510566.27439999953</v>
      </c>
      <c r="I31" s="21">
        <f t="shared" si="28"/>
        <v>893490.98019999918</v>
      </c>
      <c r="J31" s="21">
        <f t="shared" si="28"/>
        <v>893490.98019999918</v>
      </c>
      <c r="K31" s="21">
        <f t="shared" si="28"/>
        <v>893490.98019999918</v>
      </c>
      <c r="L31" s="21">
        <f t="shared" si="28"/>
        <v>893490.98019999918</v>
      </c>
      <c r="M31" s="21">
        <f t="shared" si="28"/>
        <v>893490.98019999918</v>
      </c>
      <c r="N31" s="21">
        <f t="shared" si="28"/>
        <v>893490.98019999918</v>
      </c>
      <c r="O31" s="21">
        <f t="shared" si="28"/>
        <v>893490.98019999918</v>
      </c>
      <c r="P31" s="21">
        <f t="shared" si="28"/>
        <v>893490.98019999918</v>
      </c>
      <c r="Q31" s="21">
        <f t="shared" si="28"/>
        <v>893490.98019999918</v>
      </c>
      <c r="R31" s="21">
        <f t="shared" si="28"/>
        <v>893490.98019999918</v>
      </c>
      <c r="S31" s="21">
        <f t="shared" si="28"/>
        <v>893490.98019999918</v>
      </c>
      <c r="T31" s="21">
        <f t="shared" si="28"/>
        <v>893490.98019999918</v>
      </c>
      <c r="U31" s="21">
        <f t="shared" si="28"/>
        <v>893490.98019999918</v>
      </c>
      <c r="V31" s="21">
        <f t="shared" si="28"/>
        <v>893490.98019999918</v>
      </c>
      <c r="W31" s="21">
        <f t="shared" si="28"/>
        <v>893490.98019999918</v>
      </c>
      <c r="X31" s="21">
        <f t="shared" si="28"/>
        <v>893490.98019999918</v>
      </c>
      <c r="Y31" s="21">
        <f t="shared" si="28"/>
        <v>893490.98019999918</v>
      </c>
      <c r="Z31" s="21">
        <f t="shared" si="28"/>
        <v>893490.98019999918</v>
      </c>
      <c r="AA31" s="21">
        <f t="shared" si="28"/>
        <v>893490.98019999918</v>
      </c>
      <c r="AB31" s="21">
        <f t="shared" si="28"/>
        <v>893490.98019999918</v>
      </c>
      <c r="AC31" s="21">
        <f t="shared" si="28"/>
        <v>893490.98019999918</v>
      </c>
      <c r="AD31" s="21">
        <f t="shared" si="28"/>
        <v>893490.98019999918</v>
      </c>
      <c r="AE31" s="21">
        <f t="shared" si="28"/>
        <v>893490.98019999918</v>
      </c>
      <c r="AF31" s="21">
        <f t="shared" si="28"/>
        <v>893490.98019999918</v>
      </c>
      <c r="AG31" s="21">
        <f t="shared" si="28"/>
        <v>893490.98019999918</v>
      </c>
      <c r="AH31" s="21">
        <f t="shared" si="28"/>
        <v>893490.98019999918</v>
      </c>
      <c r="AI31" s="21">
        <f t="shared" si="28"/>
        <v>893490.98019999918</v>
      </c>
      <c r="AJ31" s="21">
        <f t="shared" si="28"/>
        <v>893490.98019999918</v>
      </c>
      <c r="AK31" s="21">
        <f t="shared" si="28"/>
        <v>893490.98019999918</v>
      </c>
      <c r="AL31" s="21">
        <f t="shared" ref="AL31:AQ31" si="29">SUM(AL30:AL30)</f>
        <v>893490.98019999918</v>
      </c>
      <c r="AM31" s="21">
        <f t="shared" si="29"/>
        <v>893490.98019999918</v>
      </c>
      <c r="AN31" s="21">
        <f t="shared" si="29"/>
        <v>893490.98019999918</v>
      </c>
      <c r="AO31" s="21">
        <f t="shared" si="29"/>
        <v>893490.98019999918</v>
      </c>
      <c r="AP31" s="21">
        <f t="shared" si="29"/>
        <v>893490.98019999918</v>
      </c>
      <c r="AQ31" s="21">
        <f t="shared" si="29"/>
        <v>893490.98019999918</v>
      </c>
    </row>
    <row r="32" spans="2:43" ht="12" thickTop="1" x14ac:dyDescent="0.2">
      <c r="B32" s="22" t="s">
        <v>51</v>
      </c>
      <c r="C32" s="13">
        <f t="shared" si="22"/>
        <v>-466851767.72779983</v>
      </c>
      <c r="D32" s="23">
        <f t="shared" ref="D32:AK32" si="30">SUM(D29,D31)</f>
        <v>0</v>
      </c>
      <c r="E32" s="23">
        <f t="shared" si="30"/>
        <v>0</v>
      </c>
      <c r="F32" s="23">
        <f t="shared" si="30"/>
        <v>0</v>
      </c>
      <c r="G32" s="23">
        <f t="shared" si="30"/>
        <v>0</v>
      </c>
      <c r="H32" s="23">
        <f t="shared" si="30"/>
        <v>494962.50160000101</v>
      </c>
      <c r="I32" s="23">
        <f t="shared" si="30"/>
        <v>-25933815.622200005</v>
      </c>
      <c r="J32" s="23">
        <f t="shared" si="30"/>
        <v>-25933815.622200005</v>
      </c>
      <c r="K32" s="23">
        <f t="shared" si="30"/>
        <v>866184.37779999431</v>
      </c>
      <c r="L32" s="23">
        <f t="shared" si="30"/>
        <v>866184.37779999431</v>
      </c>
      <c r="M32" s="23">
        <f t="shared" si="30"/>
        <v>866184.37779999431</v>
      </c>
      <c r="N32" s="23">
        <f t="shared" si="30"/>
        <v>866184.37779999431</v>
      </c>
      <c r="O32" s="23">
        <f t="shared" si="30"/>
        <v>866184.37779999431</v>
      </c>
      <c r="P32" s="23">
        <f t="shared" si="30"/>
        <v>866184.37779999431</v>
      </c>
      <c r="Q32" s="23">
        <f t="shared" si="30"/>
        <v>807618.90159999486</v>
      </c>
      <c r="R32" s="23">
        <f t="shared" si="30"/>
        <v>807618.90159999486</v>
      </c>
      <c r="S32" s="23">
        <f t="shared" si="30"/>
        <v>-60458709.722199999</v>
      </c>
      <c r="T32" s="23">
        <f t="shared" si="30"/>
        <v>-60458709.722199999</v>
      </c>
      <c r="U32" s="23">
        <f t="shared" si="30"/>
        <v>-6858709.7222000035</v>
      </c>
      <c r="V32" s="23">
        <f t="shared" si="30"/>
        <v>-6858709.7222000035</v>
      </c>
      <c r="W32" s="23">
        <f t="shared" si="30"/>
        <v>-6858709.7222000035</v>
      </c>
      <c r="X32" s="23">
        <f t="shared" si="30"/>
        <v>-6858709.7222000035</v>
      </c>
      <c r="Y32" s="23">
        <f t="shared" si="30"/>
        <v>-6858709.7222000035</v>
      </c>
      <c r="Z32" s="23">
        <f t="shared" si="30"/>
        <v>-6858709.7222000035</v>
      </c>
      <c r="AA32" s="23">
        <f t="shared" si="30"/>
        <v>-6858709.7222000035</v>
      </c>
      <c r="AB32" s="23">
        <f t="shared" si="30"/>
        <v>-6858709.7222000035</v>
      </c>
      <c r="AC32" s="23">
        <f t="shared" si="30"/>
        <v>-10066609.722200003</v>
      </c>
      <c r="AD32" s="23">
        <f t="shared" si="30"/>
        <v>-33658709.722199999</v>
      </c>
      <c r="AE32" s="23">
        <f t="shared" si="30"/>
        <v>-6858709.7222000035</v>
      </c>
      <c r="AF32" s="23">
        <f t="shared" si="30"/>
        <v>-6858709.7222000035</v>
      </c>
      <c r="AG32" s="23">
        <f t="shared" si="30"/>
        <v>-6858709.7222000035</v>
      </c>
      <c r="AH32" s="23">
        <f t="shared" si="30"/>
        <v>-6858709.7222000035</v>
      </c>
      <c r="AI32" s="23">
        <f t="shared" si="30"/>
        <v>-6858709.7222000035</v>
      </c>
      <c r="AJ32" s="23">
        <f t="shared" si="30"/>
        <v>-6858709.7222000035</v>
      </c>
      <c r="AK32" s="23">
        <f t="shared" si="30"/>
        <v>-6858709.7222000035</v>
      </c>
      <c r="AL32" s="23">
        <f t="shared" ref="AL32:AQ32" si="31">SUM(AL29,AL31)</f>
        <v>-6858709.7222000035</v>
      </c>
      <c r="AM32" s="23">
        <f t="shared" si="31"/>
        <v>-13274509.722200003</v>
      </c>
      <c r="AN32" s="23">
        <f t="shared" si="31"/>
        <v>-60458709.722199999</v>
      </c>
      <c r="AO32" s="23">
        <f t="shared" si="31"/>
        <v>-6858709.7222000035</v>
      </c>
      <c r="AP32" s="23">
        <f t="shared" si="31"/>
        <v>-6858709.7222000035</v>
      </c>
      <c r="AQ32" s="23">
        <f t="shared" si="31"/>
        <v>-60458709.722199999</v>
      </c>
    </row>
    <row r="35" spans="2:43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2:43" x14ac:dyDescent="0.2">
      <c r="B36" s="4" t="s">
        <v>176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  <c r="AH36" s="3">
        <v>31</v>
      </c>
      <c r="AI36" s="3">
        <v>32</v>
      </c>
      <c r="AJ36" s="3">
        <v>33</v>
      </c>
      <c r="AK36" s="3">
        <v>34</v>
      </c>
      <c r="AL36" s="3">
        <v>35</v>
      </c>
      <c r="AM36" s="3">
        <v>36</v>
      </c>
      <c r="AN36" s="3">
        <v>37</v>
      </c>
      <c r="AO36" s="3">
        <v>38</v>
      </c>
      <c r="AP36" s="3">
        <v>39</v>
      </c>
      <c r="AQ36" s="3">
        <v>40</v>
      </c>
    </row>
    <row r="37" spans="2:43" x14ac:dyDescent="0.2">
      <c r="B37" s="154" t="s">
        <v>43</v>
      </c>
      <c r="C37" s="154" t="s">
        <v>9</v>
      </c>
      <c r="D37" s="281">
        <f t="shared" ref="D37:AK37" si="32">D4</f>
        <v>2026</v>
      </c>
      <c r="E37" s="281">
        <f t="shared" si="32"/>
        <v>2027</v>
      </c>
      <c r="F37" s="281">
        <f t="shared" si="32"/>
        <v>2028</v>
      </c>
      <c r="G37" s="281">
        <f t="shared" si="32"/>
        <v>2029</v>
      </c>
      <c r="H37" s="281">
        <f t="shared" si="32"/>
        <v>2030</v>
      </c>
      <c r="I37" s="281">
        <f t="shared" si="32"/>
        <v>2031</v>
      </c>
      <c r="J37" s="281">
        <f t="shared" si="32"/>
        <v>2032</v>
      </c>
      <c r="K37" s="281">
        <f t="shared" si="32"/>
        <v>2033</v>
      </c>
      <c r="L37" s="281">
        <f t="shared" si="32"/>
        <v>2034</v>
      </c>
      <c r="M37" s="281">
        <f t="shared" si="32"/>
        <v>2035</v>
      </c>
      <c r="N37" s="281">
        <f t="shared" si="32"/>
        <v>2036</v>
      </c>
      <c r="O37" s="281">
        <f t="shared" si="32"/>
        <v>2037</v>
      </c>
      <c r="P37" s="281">
        <f t="shared" si="32"/>
        <v>2038</v>
      </c>
      <c r="Q37" s="281">
        <f t="shared" si="32"/>
        <v>2039</v>
      </c>
      <c r="R37" s="281">
        <f t="shared" si="32"/>
        <v>2040</v>
      </c>
      <c r="S37" s="281">
        <f t="shared" si="32"/>
        <v>2041</v>
      </c>
      <c r="T37" s="281">
        <f t="shared" si="32"/>
        <v>2042</v>
      </c>
      <c r="U37" s="281">
        <f t="shared" si="32"/>
        <v>2043</v>
      </c>
      <c r="V37" s="281">
        <f t="shared" si="32"/>
        <v>2044</v>
      </c>
      <c r="W37" s="281">
        <f t="shared" si="32"/>
        <v>2045</v>
      </c>
      <c r="X37" s="281">
        <f t="shared" si="32"/>
        <v>2046</v>
      </c>
      <c r="Y37" s="281">
        <f t="shared" si="32"/>
        <v>2047</v>
      </c>
      <c r="Z37" s="281">
        <f t="shared" si="32"/>
        <v>2048</v>
      </c>
      <c r="AA37" s="281">
        <f t="shared" si="32"/>
        <v>2049</v>
      </c>
      <c r="AB37" s="281">
        <f t="shared" si="32"/>
        <v>2050</v>
      </c>
      <c r="AC37" s="281">
        <f t="shared" si="32"/>
        <v>2051</v>
      </c>
      <c r="AD37" s="281">
        <f t="shared" si="32"/>
        <v>2052</v>
      </c>
      <c r="AE37" s="281">
        <f t="shared" si="32"/>
        <v>2053</v>
      </c>
      <c r="AF37" s="281">
        <f t="shared" si="32"/>
        <v>2054</v>
      </c>
      <c r="AG37" s="281">
        <f t="shared" si="32"/>
        <v>2055</v>
      </c>
      <c r="AH37" s="281">
        <f t="shared" si="32"/>
        <v>2056</v>
      </c>
      <c r="AI37" s="281">
        <f t="shared" si="32"/>
        <v>2057</v>
      </c>
      <c r="AJ37" s="281">
        <f t="shared" si="32"/>
        <v>2058</v>
      </c>
      <c r="AK37" s="281">
        <f t="shared" si="32"/>
        <v>2059</v>
      </c>
      <c r="AL37" s="281">
        <f t="shared" ref="AL37:AQ37" si="33">AL4</f>
        <v>2060</v>
      </c>
      <c r="AM37" s="281">
        <f t="shared" si="33"/>
        <v>2061</v>
      </c>
      <c r="AN37" s="281">
        <f t="shared" si="33"/>
        <v>2062</v>
      </c>
      <c r="AO37" s="281">
        <f t="shared" si="33"/>
        <v>2063</v>
      </c>
      <c r="AP37" s="281">
        <f t="shared" si="33"/>
        <v>2064</v>
      </c>
      <c r="AQ37" s="281">
        <f t="shared" si="33"/>
        <v>2065</v>
      </c>
    </row>
    <row r="38" spans="2:43" x14ac:dyDescent="0.2">
      <c r="B38" s="3" t="s">
        <v>281</v>
      </c>
      <c r="C38" s="8">
        <f>SUM(D38:AQ38)</f>
        <v>-174789736.47828016</v>
      </c>
      <c r="D38" s="8">
        <f>D27*'Parametre EMU550'!$C$47</f>
        <v>0</v>
      </c>
      <c r="E38" s="8">
        <f>E27*'Parametre EMU550'!$C$47</f>
        <v>0</v>
      </c>
      <c r="F38" s="8">
        <f>F27*'Parametre EMU550'!$C$47</f>
        <v>0</v>
      </c>
      <c r="G38" s="8">
        <f>G27*'Parametre EMU550'!$C$47</f>
        <v>0</v>
      </c>
      <c r="H38" s="8">
        <f>H27*'Parametre EMU550'!$C$47</f>
        <v>-14043.39551999867</v>
      </c>
      <c r="I38" s="8">
        <f>I27*'Parametre EMU550'!$C$47</f>
        <v>-24575.942160004379</v>
      </c>
      <c r="J38" s="8">
        <f>J27*'Parametre EMU550'!$C$47</f>
        <v>-24575.942160004379</v>
      </c>
      <c r="K38" s="8">
        <f>K27*'Parametre EMU550'!$C$47</f>
        <v>-24575.942160004379</v>
      </c>
      <c r="L38" s="8">
        <f>L27*'Parametre EMU550'!$C$47</f>
        <v>-24575.942160004379</v>
      </c>
      <c r="M38" s="8">
        <f>M27*'Parametre EMU550'!$C$47</f>
        <v>-24575.942160004379</v>
      </c>
      <c r="N38" s="8">
        <f>N27*'Parametre EMU550'!$C$47</f>
        <v>-24575.942160004379</v>
      </c>
      <c r="O38" s="8">
        <f>O27*'Parametre EMU550'!$C$47</f>
        <v>-24575.942160004379</v>
      </c>
      <c r="P38" s="8">
        <f>P27*'Parametre EMU550'!$C$47</f>
        <v>-24575.942160004379</v>
      </c>
      <c r="Q38" s="8">
        <f>Q27*'Parametre EMU550'!$C$47</f>
        <v>-77284.870740003884</v>
      </c>
      <c r="R38" s="8">
        <f>R27*'Parametre EMU550'!$C$47</f>
        <v>-77284.870740003884</v>
      </c>
      <c r="S38" s="8">
        <f>S27*'Parametre EMU550'!$C$47</f>
        <v>-6976980.6321600024</v>
      </c>
      <c r="T38" s="8">
        <f>T27*'Parametre EMU550'!$C$47</f>
        <v>-6976980.6321600024</v>
      </c>
      <c r="U38" s="8">
        <f>U27*'Parametre EMU550'!$C$47</f>
        <v>-6976980.6321600024</v>
      </c>
      <c r="V38" s="8">
        <f>V27*'Parametre EMU550'!$C$47</f>
        <v>-6976980.6321600024</v>
      </c>
      <c r="W38" s="8">
        <f>W27*'Parametre EMU550'!$C$47</f>
        <v>-6976980.6321600024</v>
      </c>
      <c r="X38" s="8">
        <f>X27*'Parametre EMU550'!$C$47</f>
        <v>-6976980.6321600024</v>
      </c>
      <c r="Y38" s="8">
        <f>Y27*'Parametre EMU550'!$C$47</f>
        <v>-6976980.6321600024</v>
      </c>
      <c r="Z38" s="8">
        <f>Z27*'Parametre EMU550'!$C$47</f>
        <v>-6976980.6321600024</v>
      </c>
      <c r="AA38" s="8">
        <f>AA27*'Parametre EMU550'!$C$47</f>
        <v>-6976980.6321600024</v>
      </c>
      <c r="AB38" s="8">
        <f>AB27*'Parametre EMU550'!$C$47</f>
        <v>-6976980.6321600024</v>
      </c>
      <c r="AC38" s="8">
        <f>AC27*'Parametre EMU550'!$C$47</f>
        <v>-6976980.6321600024</v>
      </c>
      <c r="AD38" s="8">
        <f>AD27*'Parametre EMU550'!$C$47</f>
        <v>-6976980.6321600024</v>
      </c>
      <c r="AE38" s="8">
        <f>AE27*'Parametre EMU550'!$C$47</f>
        <v>-6976980.6321600024</v>
      </c>
      <c r="AF38" s="8">
        <f>AF27*'Parametre EMU550'!$C$47</f>
        <v>-6976980.6321600024</v>
      </c>
      <c r="AG38" s="8">
        <f>AG27*'Parametre EMU550'!$C$47</f>
        <v>-6976980.6321600024</v>
      </c>
      <c r="AH38" s="8">
        <f>AH27*'Parametre EMU550'!$C$47</f>
        <v>-6976980.6321600024</v>
      </c>
      <c r="AI38" s="8">
        <f>AI27*'Parametre EMU550'!$C$47</f>
        <v>-6976980.6321600024</v>
      </c>
      <c r="AJ38" s="8">
        <f>AJ27*'Parametre EMU550'!$C$47</f>
        <v>-6976980.6321600024</v>
      </c>
      <c r="AK38" s="8">
        <f>AK27*'Parametre EMU550'!$C$47</f>
        <v>-6976980.6321600024</v>
      </c>
      <c r="AL38" s="8">
        <f>AL27*'Parametre EMU550'!$C$47</f>
        <v>-6976980.6321600024</v>
      </c>
      <c r="AM38" s="8">
        <f>AM27*'Parametre EMU550'!$C$47</f>
        <v>-6976980.6321600024</v>
      </c>
      <c r="AN38" s="8">
        <f>AN27*'Parametre EMU550'!$C$47</f>
        <v>-6976980.6321600024</v>
      </c>
      <c r="AO38" s="8">
        <f>AO27*'Parametre EMU550'!$C$47</f>
        <v>-6976980.6321600024</v>
      </c>
      <c r="AP38" s="8">
        <f>AP27*'Parametre EMU550'!$C$47</f>
        <v>-6976980.6321600024</v>
      </c>
      <c r="AQ38" s="8">
        <f>AQ27*'Parametre EMU550'!$C$47</f>
        <v>-6976980.6321600024</v>
      </c>
    </row>
    <row r="39" spans="2:43" x14ac:dyDescent="0.2">
      <c r="B39" s="3" t="s">
        <v>279</v>
      </c>
      <c r="C39" s="8">
        <f t="shared" ref="C39:C43" si="34">SUM(D39:AQ39)</f>
        <v>-273981330</v>
      </c>
      <c r="D39" s="8">
        <f>D28*'Parametre EMU550'!$C$47</f>
        <v>0</v>
      </c>
      <c r="E39" s="8">
        <f>E28*'Parametre EMU550'!$C$47</f>
        <v>0</v>
      </c>
      <c r="F39" s="8">
        <f>F28*'Parametre EMU550'!$C$47</f>
        <v>0</v>
      </c>
      <c r="G39" s="8">
        <f>G28*'Parametre EMU550'!$C$47</f>
        <v>0</v>
      </c>
      <c r="H39" s="8">
        <f>H28*'Parametre EMU550'!$C$47</f>
        <v>0</v>
      </c>
      <c r="I39" s="8">
        <f>I28*'Parametre EMU550'!$C$47</f>
        <v>-24120000</v>
      </c>
      <c r="J39" s="8">
        <f>J28*'Parametre EMU550'!$C$47</f>
        <v>-24120000</v>
      </c>
      <c r="K39" s="8">
        <f>K28*'Parametre EMU550'!$C$47</f>
        <v>0</v>
      </c>
      <c r="L39" s="8">
        <f>L28*'Parametre EMU550'!$C$47</f>
        <v>0</v>
      </c>
      <c r="M39" s="8">
        <f>M28*'Parametre EMU550'!$C$47</f>
        <v>0</v>
      </c>
      <c r="N39" s="8">
        <f>N28*'Parametre EMU550'!$C$47</f>
        <v>0</v>
      </c>
      <c r="O39" s="8">
        <f>O28*'Parametre EMU550'!$C$47</f>
        <v>0</v>
      </c>
      <c r="P39" s="8">
        <f>P28*'Parametre EMU550'!$C$47</f>
        <v>0</v>
      </c>
      <c r="Q39" s="8">
        <f>Q28*'Parametre EMU550'!$C$47</f>
        <v>0</v>
      </c>
      <c r="R39" s="8">
        <f>R28*'Parametre EMU550'!$C$47</f>
        <v>0</v>
      </c>
      <c r="S39" s="8">
        <f>S28*'Parametre EMU550'!$C$47</f>
        <v>-48240000</v>
      </c>
      <c r="T39" s="8">
        <f>T28*'Parametre EMU550'!$C$47</f>
        <v>-48240000</v>
      </c>
      <c r="U39" s="8">
        <f>U28*'Parametre EMU550'!$C$47</f>
        <v>0</v>
      </c>
      <c r="V39" s="8">
        <f>V28*'Parametre EMU550'!$C$47</f>
        <v>0</v>
      </c>
      <c r="W39" s="8">
        <f>W28*'Parametre EMU550'!$C$47</f>
        <v>0</v>
      </c>
      <c r="X39" s="8">
        <f>X28*'Parametre EMU550'!$C$47</f>
        <v>0</v>
      </c>
      <c r="Y39" s="8">
        <f>Y28*'Parametre EMU550'!$C$47</f>
        <v>0</v>
      </c>
      <c r="Z39" s="8">
        <f>Z28*'Parametre EMU550'!$C$47</f>
        <v>0</v>
      </c>
      <c r="AA39" s="8">
        <f>AA28*'Parametre EMU550'!$C$47</f>
        <v>0</v>
      </c>
      <c r="AB39" s="8">
        <f>AB28*'Parametre EMU550'!$C$47</f>
        <v>0</v>
      </c>
      <c r="AC39" s="8">
        <f>AC28*'Parametre EMU550'!$C$47</f>
        <v>-2887110</v>
      </c>
      <c r="AD39" s="8">
        <f>AD28*'Parametre EMU550'!$C$47</f>
        <v>-24120000</v>
      </c>
      <c r="AE39" s="8">
        <f>AE28*'Parametre EMU550'!$C$47</f>
        <v>0</v>
      </c>
      <c r="AF39" s="8">
        <f>AF28*'Parametre EMU550'!$C$47</f>
        <v>0</v>
      </c>
      <c r="AG39" s="8">
        <f>AG28*'Parametre EMU550'!$C$47</f>
        <v>0</v>
      </c>
      <c r="AH39" s="8">
        <f>AH28*'Parametre EMU550'!$C$47</f>
        <v>0</v>
      </c>
      <c r="AI39" s="8">
        <f>AI28*'Parametre EMU550'!$C$47</f>
        <v>0</v>
      </c>
      <c r="AJ39" s="8">
        <f>AJ28*'Parametre EMU550'!$C$47</f>
        <v>0</v>
      </c>
      <c r="AK39" s="8">
        <f>AK28*'Parametre EMU550'!$C$47</f>
        <v>0</v>
      </c>
      <c r="AL39" s="8">
        <f>AL28*'Parametre EMU550'!$C$47</f>
        <v>0</v>
      </c>
      <c r="AM39" s="8">
        <f>AM28*'Parametre EMU550'!$C$47</f>
        <v>-5774220</v>
      </c>
      <c r="AN39" s="8">
        <f>AN28*'Parametre EMU550'!$C$47</f>
        <v>-48240000</v>
      </c>
      <c r="AO39" s="8">
        <f>AO28*'Parametre EMU550'!$C$47</f>
        <v>0</v>
      </c>
      <c r="AP39" s="8">
        <f>AP28*'Parametre EMU550'!$C$47</f>
        <v>0</v>
      </c>
      <c r="AQ39" s="8">
        <f>AQ28*'Parametre EMU550'!$C$47</f>
        <v>-48240000</v>
      </c>
    </row>
    <row r="40" spans="2:43" x14ac:dyDescent="0.2">
      <c r="B40" s="4" t="s">
        <v>280</v>
      </c>
      <c r="C40" s="13">
        <f t="shared" si="34"/>
        <v>-448771066.47828019</v>
      </c>
      <c r="D40" s="13">
        <f t="shared" ref="D40:AG40" si="35">SUM(D38:D39)</f>
        <v>0</v>
      </c>
      <c r="E40" s="13">
        <f t="shared" si="35"/>
        <v>0</v>
      </c>
      <c r="F40" s="13">
        <f t="shared" si="35"/>
        <v>0</v>
      </c>
      <c r="G40" s="13">
        <f t="shared" si="35"/>
        <v>0</v>
      </c>
      <c r="H40" s="13">
        <f t="shared" si="35"/>
        <v>-14043.39551999867</v>
      </c>
      <c r="I40" s="13">
        <f t="shared" si="35"/>
        <v>-24144575.942160003</v>
      </c>
      <c r="J40" s="13">
        <f t="shared" si="35"/>
        <v>-24144575.942160003</v>
      </c>
      <c r="K40" s="13">
        <f t="shared" si="35"/>
        <v>-24575.942160004379</v>
      </c>
      <c r="L40" s="13">
        <f t="shared" si="35"/>
        <v>-24575.942160004379</v>
      </c>
      <c r="M40" s="13">
        <f t="shared" si="35"/>
        <v>-24575.942160004379</v>
      </c>
      <c r="N40" s="13">
        <f t="shared" si="35"/>
        <v>-24575.942160004379</v>
      </c>
      <c r="O40" s="13">
        <f t="shared" si="35"/>
        <v>-24575.942160004379</v>
      </c>
      <c r="P40" s="13">
        <f t="shared" si="35"/>
        <v>-24575.942160004379</v>
      </c>
      <c r="Q40" s="13">
        <f t="shared" si="35"/>
        <v>-77284.870740003884</v>
      </c>
      <c r="R40" s="13">
        <f t="shared" si="35"/>
        <v>-77284.870740003884</v>
      </c>
      <c r="S40" s="13">
        <f t="shared" si="35"/>
        <v>-55216980.632160001</v>
      </c>
      <c r="T40" s="13">
        <f t="shared" si="35"/>
        <v>-55216980.632160001</v>
      </c>
      <c r="U40" s="13">
        <f t="shared" si="35"/>
        <v>-6976980.6321600024</v>
      </c>
      <c r="V40" s="13">
        <f t="shared" si="35"/>
        <v>-6976980.6321600024</v>
      </c>
      <c r="W40" s="13">
        <f t="shared" si="35"/>
        <v>-6976980.6321600024</v>
      </c>
      <c r="X40" s="13">
        <f t="shared" si="35"/>
        <v>-6976980.6321600024</v>
      </c>
      <c r="Y40" s="13">
        <f t="shared" si="35"/>
        <v>-6976980.6321600024</v>
      </c>
      <c r="Z40" s="13">
        <f t="shared" si="35"/>
        <v>-6976980.6321600024</v>
      </c>
      <c r="AA40" s="13">
        <f t="shared" si="35"/>
        <v>-6976980.6321600024</v>
      </c>
      <c r="AB40" s="13">
        <f t="shared" si="35"/>
        <v>-6976980.6321600024</v>
      </c>
      <c r="AC40" s="13">
        <f t="shared" si="35"/>
        <v>-9864090.6321600024</v>
      </c>
      <c r="AD40" s="13">
        <f t="shared" si="35"/>
        <v>-31096980.632160001</v>
      </c>
      <c r="AE40" s="13">
        <f t="shared" si="35"/>
        <v>-6976980.6321600024</v>
      </c>
      <c r="AF40" s="13">
        <f t="shared" si="35"/>
        <v>-6976980.6321600024</v>
      </c>
      <c r="AG40" s="13">
        <f t="shared" si="35"/>
        <v>-6976980.6321600024</v>
      </c>
      <c r="AH40" s="13">
        <f>SUM(AH38:AH39)</f>
        <v>-6976980.6321600024</v>
      </c>
      <c r="AI40" s="13">
        <f t="shared" ref="AI40:AK40" si="36">SUM(AI38:AI39)</f>
        <v>-6976980.6321600024</v>
      </c>
      <c r="AJ40" s="13">
        <f t="shared" si="36"/>
        <v>-6976980.6321600024</v>
      </c>
      <c r="AK40" s="13">
        <f t="shared" si="36"/>
        <v>-6976980.6321600024</v>
      </c>
      <c r="AL40" s="13">
        <f t="shared" ref="AL40:AQ40" si="37">SUM(AL38:AL39)</f>
        <v>-6976980.6321600024</v>
      </c>
      <c r="AM40" s="13">
        <f t="shared" si="37"/>
        <v>-12751200.632160002</v>
      </c>
      <c r="AN40" s="13">
        <f t="shared" si="37"/>
        <v>-55216980.632160001</v>
      </c>
      <c r="AO40" s="13">
        <f t="shared" si="37"/>
        <v>-6976980.6321600024</v>
      </c>
      <c r="AP40" s="13">
        <f t="shared" si="37"/>
        <v>-6976980.6321600024</v>
      </c>
      <c r="AQ40" s="13">
        <f t="shared" si="37"/>
        <v>-55216980.632160001</v>
      </c>
    </row>
    <row r="41" spans="2:43" x14ac:dyDescent="0.2">
      <c r="B41" s="3" t="s">
        <v>177</v>
      </c>
      <c r="C41" s="8">
        <f t="shared" si="34"/>
        <v>28604475.52325996</v>
      </c>
      <c r="D41" s="8">
        <f>D30*'Parametre EMU550'!$C$47</f>
        <v>0</v>
      </c>
      <c r="E41" s="8">
        <f>E30*'Parametre EMU550'!$C$47</f>
        <v>0</v>
      </c>
      <c r="F41" s="8">
        <f>F30*'Parametre EMU550'!$C$47</f>
        <v>0</v>
      </c>
      <c r="G41" s="8">
        <f>G30*'Parametre EMU550'!$C$47</f>
        <v>0</v>
      </c>
      <c r="H41" s="8">
        <f>H30*'Parametre EMU550'!$C$47</f>
        <v>459509.64695999958</v>
      </c>
      <c r="I41" s="8">
        <f>I30*'Parametre EMU550'!$C$47</f>
        <v>804141.88217999926</v>
      </c>
      <c r="J41" s="8">
        <f>J30*'Parametre EMU550'!$C$47</f>
        <v>804141.88217999926</v>
      </c>
      <c r="K41" s="8">
        <f>K30*'Parametre EMU550'!$C$47</f>
        <v>804141.88217999926</v>
      </c>
      <c r="L41" s="8">
        <f>L30*'Parametre EMU550'!$C$47</f>
        <v>804141.88217999926</v>
      </c>
      <c r="M41" s="8">
        <f>M30*'Parametre EMU550'!$C$47</f>
        <v>804141.88217999926</v>
      </c>
      <c r="N41" s="8">
        <f>N30*'Parametre EMU550'!$C$47</f>
        <v>804141.88217999926</v>
      </c>
      <c r="O41" s="8">
        <f>O30*'Parametre EMU550'!$C$47</f>
        <v>804141.88217999926</v>
      </c>
      <c r="P41" s="8">
        <f>P30*'Parametre EMU550'!$C$47</f>
        <v>804141.88217999926</v>
      </c>
      <c r="Q41" s="8">
        <f>Q30*'Parametre EMU550'!$C$47</f>
        <v>804141.88217999926</v>
      </c>
      <c r="R41" s="8">
        <f>R30*'Parametre EMU550'!$C$47</f>
        <v>804141.88217999926</v>
      </c>
      <c r="S41" s="8">
        <f>S30*'Parametre EMU550'!$C$47</f>
        <v>804141.88217999926</v>
      </c>
      <c r="T41" s="8">
        <f>T30*'Parametre EMU550'!$C$47</f>
        <v>804141.88217999926</v>
      </c>
      <c r="U41" s="8">
        <f>U30*'Parametre EMU550'!$C$47</f>
        <v>804141.88217999926</v>
      </c>
      <c r="V41" s="8">
        <f>V30*'Parametre EMU550'!$C$47</f>
        <v>804141.88217999926</v>
      </c>
      <c r="W41" s="8">
        <f>W30*'Parametre EMU550'!$C$47</f>
        <v>804141.88217999926</v>
      </c>
      <c r="X41" s="8">
        <f>X30*'Parametre EMU550'!$C$47</f>
        <v>804141.88217999926</v>
      </c>
      <c r="Y41" s="8">
        <f>Y30*'Parametre EMU550'!$C$47</f>
        <v>804141.88217999926</v>
      </c>
      <c r="Z41" s="8">
        <f>Z30*'Parametre EMU550'!$C$47</f>
        <v>804141.88217999926</v>
      </c>
      <c r="AA41" s="8">
        <f>AA30*'Parametre EMU550'!$C$47</f>
        <v>804141.88217999926</v>
      </c>
      <c r="AB41" s="8">
        <f>AB30*'Parametre EMU550'!$C$47</f>
        <v>804141.88217999926</v>
      </c>
      <c r="AC41" s="8">
        <f>AC30*'Parametre EMU550'!$C$47</f>
        <v>804141.88217999926</v>
      </c>
      <c r="AD41" s="8">
        <f>AD30*'Parametre EMU550'!$C$47</f>
        <v>804141.88217999926</v>
      </c>
      <c r="AE41" s="8">
        <f>AE30*'Parametre EMU550'!$C$47</f>
        <v>804141.88217999926</v>
      </c>
      <c r="AF41" s="8">
        <f>AF30*'Parametre EMU550'!$C$47</f>
        <v>804141.88217999926</v>
      </c>
      <c r="AG41" s="8">
        <f>AG30*'Parametre EMU550'!$C$47</f>
        <v>804141.88217999926</v>
      </c>
      <c r="AH41" s="8">
        <f>AH30*'Parametre EMU550'!$C$47</f>
        <v>804141.88217999926</v>
      </c>
      <c r="AI41" s="8">
        <f>AI30*'Parametre EMU550'!$C$47</f>
        <v>804141.88217999926</v>
      </c>
      <c r="AJ41" s="8">
        <f>AJ30*'Parametre EMU550'!$C$47</f>
        <v>804141.88217999926</v>
      </c>
      <c r="AK41" s="8">
        <f>AK30*'Parametre EMU550'!$C$47</f>
        <v>804141.88217999926</v>
      </c>
      <c r="AL41" s="8">
        <f>AL30*'Parametre EMU550'!$C$47</f>
        <v>804141.88217999926</v>
      </c>
      <c r="AM41" s="8">
        <f>AM30*'Parametre EMU550'!$C$47</f>
        <v>804141.88217999926</v>
      </c>
      <c r="AN41" s="8">
        <f>AN30*'Parametre EMU550'!$C$47</f>
        <v>804141.88217999926</v>
      </c>
      <c r="AO41" s="8">
        <f>AO30*'Parametre EMU550'!$C$47</f>
        <v>804141.88217999926</v>
      </c>
      <c r="AP41" s="8">
        <f>AP30*'Parametre EMU550'!$C$47</f>
        <v>804141.88217999926</v>
      </c>
      <c r="AQ41" s="8">
        <f>AQ30*'Parametre EMU550'!$C$47</f>
        <v>804141.88217999926</v>
      </c>
    </row>
    <row r="42" spans="2:43" ht="12" thickBot="1" x14ac:dyDescent="0.25">
      <c r="B42" s="20" t="s">
        <v>178</v>
      </c>
      <c r="C42" s="13">
        <f t="shared" si="34"/>
        <v>28604475.52325996</v>
      </c>
      <c r="D42" s="21">
        <f t="shared" ref="D42:AG42" si="38">SUM(D41:D41)</f>
        <v>0</v>
      </c>
      <c r="E42" s="21">
        <f t="shared" si="38"/>
        <v>0</v>
      </c>
      <c r="F42" s="21">
        <f t="shared" si="38"/>
        <v>0</v>
      </c>
      <c r="G42" s="21">
        <f t="shared" si="38"/>
        <v>0</v>
      </c>
      <c r="H42" s="21">
        <f t="shared" si="38"/>
        <v>459509.64695999958</v>
      </c>
      <c r="I42" s="21">
        <f t="shared" si="38"/>
        <v>804141.88217999926</v>
      </c>
      <c r="J42" s="21">
        <f t="shared" si="38"/>
        <v>804141.88217999926</v>
      </c>
      <c r="K42" s="21">
        <f t="shared" si="38"/>
        <v>804141.88217999926</v>
      </c>
      <c r="L42" s="21">
        <f t="shared" si="38"/>
        <v>804141.88217999926</v>
      </c>
      <c r="M42" s="21">
        <f t="shared" si="38"/>
        <v>804141.88217999926</v>
      </c>
      <c r="N42" s="21">
        <f t="shared" si="38"/>
        <v>804141.88217999926</v>
      </c>
      <c r="O42" s="21">
        <f t="shared" si="38"/>
        <v>804141.88217999926</v>
      </c>
      <c r="P42" s="21">
        <f t="shared" si="38"/>
        <v>804141.88217999926</v>
      </c>
      <c r="Q42" s="21">
        <f t="shared" si="38"/>
        <v>804141.88217999926</v>
      </c>
      <c r="R42" s="21">
        <f t="shared" si="38"/>
        <v>804141.88217999926</v>
      </c>
      <c r="S42" s="21">
        <f t="shared" si="38"/>
        <v>804141.88217999926</v>
      </c>
      <c r="T42" s="21">
        <f t="shared" si="38"/>
        <v>804141.88217999926</v>
      </c>
      <c r="U42" s="21">
        <f t="shared" si="38"/>
        <v>804141.88217999926</v>
      </c>
      <c r="V42" s="21">
        <f t="shared" si="38"/>
        <v>804141.88217999926</v>
      </c>
      <c r="W42" s="21">
        <f t="shared" si="38"/>
        <v>804141.88217999926</v>
      </c>
      <c r="X42" s="21">
        <f t="shared" si="38"/>
        <v>804141.88217999926</v>
      </c>
      <c r="Y42" s="21">
        <f t="shared" si="38"/>
        <v>804141.88217999926</v>
      </c>
      <c r="Z42" s="21">
        <f t="shared" si="38"/>
        <v>804141.88217999926</v>
      </c>
      <c r="AA42" s="21">
        <f t="shared" si="38"/>
        <v>804141.88217999926</v>
      </c>
      <c r="AB42" s="21">
        <f t="shared" si="38"/>
        <v>804141.88217999926</v>
      </c>
      <c r="AC42" s="21">
        <f t="shared" si="38"/>
        <v>804141.88217999926</v>
      </c>
      <c r="AD42" s="21">
        <f t="shared" si="38"/>
        <v>804141.88217999926</v>
      </c>
      <c r="AE42" s="21">
        <f t="shared" si="38"/>
        <v>804141.88217999926</v>
      </c>
      <c r="AF42" s="21">
        <f t="shared" si="38"/>
        <v>804141.88217999926</v>
      </c>
      <c r="AG42" s="21">
        <f t="shared" si="38"/>
        <v>804141.88217999926</v>
      </c>
      <c r="AH42" s="21">
        <f t="shared" ref="AH42:AK42" si="39">SUM(AH41:AH41)</f>
        <v>804141.88217999926</v>
      </c>
      <c r="AI42" s="21">
        <f t="shared" si="39"/>
        <v>804141.88217999926</v>
      </c>
      <c r="AJ42" s="21">
        <f t="shared" si="39"/>
        <v>804141.88217999926</v>
      </c>
      <c r="AK42" s="21">
        <f t="shared" si="39"/>
        <v>804141.88217999926</v>
      </c>
      <c r="AL42" s="21">
        <f t="shared" ref="AL42:AQ42" si="40">SUM(AL41:AL41)</f>
        <v>804141.88217999926</v>
      </c>
      <c r="AM42" s="21">
        <f t="shared" si="40"/>
        <v>804141.88217999926</v>
      </c>
      <c r="AN42" s="21">
        <f t="shared" si="40"/>
        <v>804141.88217999926</v>
      </c>
      <c r="AO42" s="21">
        <f t="shared" si="40"/>
        <v>804141.88217999926</v>
      </c>
      <c r="AP42" s="21">
        <f t="shared" si="40"/>
        <v>804141.88217999926</v>
      </c>
      <c r="AQ42" s="21">
        <f t="shared" si="40"/>
        <v>804141.88217999926</v>
      </c>
    </row>
    <row r="43" spans="2:43" ht="12" thickTop="1" x14ac:dyDescent="0.2">
      <c r="B43" s="22" t="s">
        <v>179</v>
      </c>
      <c r="C43" s="13">
        <f t="shared" si="34"/>
        <v>-420166590.95501983</v>
      </c>
      <c r="D43" s="23">
        <f t="shared" ref="D43:AK43" si="41">SUM(D40,D42)</f>
        <v>0</v>
      </c>
      <c r="E43" s="23">
        <f t="shared" si="41"/>
        <v>0</v>
      </c>
      <c r="F43" s="23">
        <f t="shared" si="41"/>
        <v>0</v>
      </c>
      <c r="G43" s="23">
        <f t="shared" si="41"/>
        <v>0</v>
      </c>
      <c r="H43" s="23">
        <f t="shared" si="41"/>
        <v>445466.25144000089</v>
      </c>
      <c r="I43" s="23">
        <f t="shared" si="41"/>
        <v>-23340434.059980005</v>
      </c>
      <c r="J43" s="23">
        <f t="shared" si="41"/>
        <v>-23340434.059980005</v>
      </c>
      <c r="K43" s="23">
        <f t="shared" si="41"/>
        <v>779565.94001999486</v>
      </c>
      <c r="L43" s="23">
        <f t="shared" si="41"/>
        <v>779565.94001999486</v>
      </c>
      <c r="M43" s="23">
        <f t="shared" si="41"/>
        <v>779565.94001999486</v>
      </c>
      <c r="N43" s="23">
        <f t="shared" si="41"/>
        <v>779565.94001999486</v>
      </c>
      <c r="O43" s="23">
        <f t="shared" si="41"/>
        <v>779565.94001999486</v>
      </c>
      <c r="P43" s="23">
        <f t="shared" si="41"/>
        <v>779565.94001999486</v>
      </c>
      <c r="Q43" s="23">
        <f t="shared" si="41"/>
        <v>726857.01143999537</v>
      </c>
      <c r="R43" s="23">
        <f t="shared" si="41"/>
        <v>726857.01143999537</v>
      </c>
      <c r="S43" s="23">
        <f t="shared" si="41"/>
        <v>-54412838.749980003</v>
      </c>
      <c r="T43" s="23">
        <f t="shared" si="41"/>
        <v>-54412838.749980003</v>
      </c>
      <c r="U43" s="23">
        <f t="shared" si="41"/>
        <v>-6172838.7499800026</v>
      </c>
      <c r="V43" s="23">
        <f t="shared" si="41"/>
        <v>-6172838.7499800026</v>
      </c>
      <c r="W43" s="23">
        <f t="shared" si="41"/>
        <v>-6172838.7499800026</v>
      </c>
      <c r="X43" s="23">
        <f t="shared" si="41"/>
        <v>-6172838.7499800026</v>
      </c>
      <c r="Y43" s="23">
        <f t="shared" si="41"/>
        <v>-6172838.7499800026</v>
      </c>
      <c r="Z43" s="23">
        <f t="shared" si="41"/>
        <v>-6172838.7499800026</v>
      </c>
      <c r="AA43" s="23">
        <f t="shared" si="41"/>
        <v>-6172838.7499800026</v>
      </c>
      <c r="AB43" s="23">
        <f t="shared" si="41"/>
        <v>-6172838.7499800026</v>
      </c>
      <c r="AC43" s="23">
        <f t="shared" si="41"/>
        <v>-9059948.7499800026</v>
      </c>
      <c r="AD43" s="23">
        <f t="shared" si="41"/>
        <v>-30292838.749980003</v>
      </c>
      <c r="AE43" s="23">
        <f t="shared" si="41"/>
        <v>-6172838.7499800026</v>
      </c>
      <c r="AF43" s="23">
        <f t="shared" si="41"/>
        <v>-6172838.7499800026</v>
      </c>
      <c r="AG43" s="23">
        <f t="shared" si="41"/>
        <v>-6172838.7499800026</v>
      </c>
      <c r="AH43" s="23">
        <f t="shared" si="41"/>
        <v>-6172838.7499800026</v>
      </c>
      <c r="AI43" s="23">
        <f t="shared" si="41"/>
        <v>-6172838.7499800026</v>
      </c>
      <c r="AJ43" s="23">
        <f t="shared" si="41"/>
        <v>-6172838.7499800026</v>
      </c>
      <c r="AK43" s="23">
        <f t="shared" si="41"/>
        <v>-6172838.7499800026</v>
      </c>
      <c r="AL43" s="23">
        <f t="shared" ref="AL43:AQ43" si="42">SUM(AL40,AL42)</f>
        <v>-6172838.7499800026</v>
      </c>
      <c r="AM43" s="23">
        <f t="shared" si="42"/>
        <v>-11947058.749980003</v>
      </c>
      <c r="AN43" s="23">
        <f t="shared" si="42"/>
        <v>-54412838.749980003</v>
      </c>
      <c r="AO43" s="23">
        <f t="shared" si="42"/>
        <v>-6172838.7499800026</v>
      </c>
      <c r="AP43" s="23">
        <f t="shared" si="42"/>
        <v>-6172838.7499800026</v>
      </c>
      <c r="AQ43" s="23">
        <f t="shared" si="42"/>
        <v>-54412838.749980003</v>
      </c>
    </row>
    <row r="45" spans="2:43" x14ac:dyDescent="0.2">
      <c r="B45" s="2" t="s">
        <v>165</v>
      </c>
    </row>
    <row r="46" spans="2:43" x14ac:dyDescent="0.2">
      <c r="B46" s="2" t="s">
        <v>166</v>
      </c>
    </row>
  </sheetData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872C-0B43-4545-8747-E2FF5E8E0C0A}">
  <sheetPr>
    <tabColor theme="0" tint="-0.14999847407452621"/>
  </sheetPr>
  <dimension ref="A1:BV58"/>
  <sheetViews>
    <sheetView workbookViewId="0"/>
  </sheetViews>
  <sheetFormatPr defaultColWidth="8.85546875" defaultRowHeight="12.75" x14ac:dyDescent="0.2"/>
  <cols>
    <col min="1" max="1" width="1.42578125" style="409" customWidth="1"/>
    <col min="2" max="2" width="41.140625" style="409" customWidth="1"/>
    <col min="3" max="3" width="11.42578125" style="409" bestFit="1" customWidth="1"/>
    <col min="4" max="4" width="11.140625" style="409" customWidth="1"/>
    <col min="5" max="5" width="9.42578125" style="409" customWidth="1"/>
    <col min="6" max="6" width="11.140625" style="409" customWidth="1"/>
    <col min="7" max="7" width="10" style="409" customWidth="1"/>
    <col min="8" max="46" width="9.85546875" style="409" bestFit="1" customWidth="1"/>
    <col min="47" max="16384" width="8.85546875" style="409"/>
  </cols>
  <sheetData>
    <row r="1" spans="1:57" x14ac:dyDescent="0.2">
      <c r="B1" s="667"/>
      <c r="C1" s="667"/>
      <c r="D1" s="667"/>
      <c r="E1" s="667"/>
      <c r="F1" s="667"/>
      <c r="G1" s="667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</row>
    <row r="2" spans="1:57" x14ac:dyDescent="0.2">
      <c r="A2" s="410"/>
      <c r="B2" s="669" t="s">
        <v>647</v>
      </c>
      <c r="C2" s="669"/>
      <c r="D2" s="669"/>
      <c r="E2" s="669"/>
      <c r="F2" s="669"/>
      <c r="G2" s="67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</row>
    <row r="3" spans="1:57" x14ac:dyDescent="0.2">
      <c r="A3" s="410"/>
      <c r="B3" s="669"/>
      <c r="C3" s="669"/>
      <c r="D3" s="669"/>
      <c r="E3" s="669"/>
      <c r="F3" s="669"/>
      <c r="G3" s="67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410"/>
      <c r="AS3" s="410"/>
      <c r="AT3" s="410"/>
    </row>
    <row r="4" spans="1:57" s="412" customFormat="1" x14ac:dyDescent="0.2">
      <c r="A4" s="411"/>
      <c r="B4" s="669"/>
      <c r="C4" s="669"/>
      <c r="D4" s="669"/>
      <c r="E4" s="669"/>
      <c r="F4" s="669"/>
      <c r="G4" s="670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</row>
    <row r="5" spans="1:57" x14ac:dyDescent="0.2">
      <c r="A5" s="410"/>
      <c r="B5" s="671" t="s">
        <v>662</v>
      </c>
      <c r="C5" s="672"/>
      <c r="D5" s="672"/>
      <c r="E5" s="672"/>
      <c r="F5" s="672"/>
      <c r="G5" s="673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</row>
    <row r="6" spans="1:57" x14ac:dyDescent="0.2">
      <c r="A6" s="410"/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</row>
    <row r="7" spans="1:57" ht="13.5" thickBot="1" x14ac:dyDescent="0.25">
      <c r="A7" s="410"/>
      <c r="B7" s="410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</row>
    <row r="8" spans="1:57" x14ac:dyDescent="0.2">
      <c r="A8" s="410"/>
      <c r="B8" s="674" t="s">
        <v>658</v>
      </c>
      <c r="C8" s="413" t="s">
        <v>678</v>
      </c>
      <c r="D8" s="676" t="s">
        <v>726</v>
      </c>
      <c r="E8" s="676" t="s">
        <v>724</v>
      </c>
      <c r="F8" s="679" t="s">
        <v>648</v>
      </c>
      <c r="G8" s="297" t="s">
        <v>649</v>
      </c>
      <c r="H8" s="414">
        <v>2026</v>
      </c>
      <c r="I8" s="296">
        <v>2027</v>
      </c>
      <c r="J8" s="296">
        <v>2028</v>
      </c>
      <c r="K8" s="296">
        <f t="shared" ref="K8:AI8" si="0">J8+1</f>
        <v>2029</v>
      </c>
      <c r="L8" s="296">
        <f t="shared" si="0"/>
        <v>2030</v>
      </c>
      <c r="M8" s="296">
        <f t="shared" si="0"/>
        <v>2031</v>
      </c>
      <c r="N8" s="296">
        <f t="shared" si="0"/>
        <v>2032</v>
      </c>
      <c r="O8" s="296">
        <f t="shared" si="0"/>
        <v>2033</v>
      </c>
      <c r="P8" s="296">
        <f t="shared" si="0"/>
        <v>2034</v>
      </c>
      <c r="Q8" s="296">
        <f t="shared" si="0"/>
        <v>2035</v>
      </c>
      <c r="R8" s="296">
        <f t="shared" si="0"/>
        <v>2036</v>
      </c>
      <c r="S8" s="296">
        <f t="shared" si="0"/>
        <v>2037</v>
      </c>
      <c r="T8" s="296">
        <f t="shared" si="0"/>
        <v>2038</v>
      </c>
      <c r="U8" s="296">
        <f t="shared" si="0"/>
        <v>2039</v>
      </c>
      <c r="V8" s="296">
        <f t="shared" si="0"/>
        <v>2040</v>
      </c>
      <c r="W8" s="296">
        <f t="shared" si="0"/>
        <v>2041</v>
      </c>
      <c r="X8" s="296">
        <f t="shared" si="0"/>
        <v>2042</v>
      </c>
      <c r="Y8" s="296">
        <f t="shared" si="0"/>
        <v>2043</v>
      </c>
      <c r="Z8" s="296">
        <f t="shared" si="0"/>
        <v>2044</v>
      </c>
      <c r="AA8" s="296">
        <f t="shared" si="0"/>
        <v>2045</v>
      </c>
      <c r="AB8" s="296">
        <f t="shared" si="0"/>
        <v>2046</v>
      </c>
      <c r="AC8" s="296">
        <f t="shared" si="0"/>
        <v>2047</v>
      </c>
      <c r="AD8" s="296">
        <f t="shared" si="0"/>
        <v>2048</v>
      </c>
      <c r="AE8" s="296">
        <f t="shared" si="0"/>
        <v>2049</v>
      </c>
      <c r="AF8" s="296">
        <f t="shared" si="0"/>
        <v>2050</v>
      </c>
      <c r="AG8" s="296">
        <f t="shared" si="0"/>
        <v>2051</v>
      </c>
      <c r="AH8" s="296">
        <f t="shared" si="0"/>
        <v>2052</v>
      </c>
      <c r="AI8" s="296">
        <f t="shared" si="0"/>
        <v>2053</v>
      </c>
      <c r="AJ8" s="296">
        <f>AI8+1</f>
        <v>2054</v>
      </c>
      <c r="AK8" s="296">
        <f>AJ8+1</f>
        <v>2055</v>
      </c>
      <c r="AL8" s="296">
        <f t="shared" ref="AL8:AU8" si="1">AK8+1</f>
        <v>2056</v>
      </c>
      <c r="AM8" s="296">
        <f t="shared" si="1"/>
        <v>2057</v>
      </c>
      <c r="AN8" s="296">
        <f t="shared" si="1"/>
        <v>2058</v>
      </c>
      <c r="AO8" s="296">
        <f t="shared" si="1"/>
        <v>2059</v>
      </c>
      <c r="AP8" s="296">
        <f t="shared" si="1"/>
        <v>2060</v>
      </c>
      <c r="AQ8" s="296">
        <f t="shared" si="1"/>
        <v>2061</v>
      </c>
      <c r="AR8" s="296">
        <f t="shared" si="1"/>
        <v>2062</v>
      </c>
      <c r="AS8" s="296">
        <f t="shared" si="1"/>
        <v>2063</v>
      </c>
      <c r="AT8" s="296">
        <f t="shared" si="1"/>
        <v>2064</v>
      </c>
      <c r="AU8" s="296">
        <f t="shared" si="1"/>
        <v>2065</v>
      </c>
    </row>
    <row r="9" spans="1:57" ht="22.5" x14ac:dyDescent="0.2">
      <c r="A9" s="410"/>
      <c r="B9" s="675"/>
      <c r="C9" s="415" t="s">
        <v>730</v>
      </c>
      <c r="D9" s="677"/>
      <c r="E9" s="677"/>
      <c r="F9" s="680"/>
      <c r="G9" s="448" t="s">
        <v>500</v>
      </c>
      <c r="H9" s="416">
        <v>8</v>
      </c>
      <c r="I9" s="416">
        <v>8</v>
      </c>
      <c r="J9" s="416">
        <v>8</v>
      </c>
      <c r="K9" s="416">
        <v>8</v>
      </c>
      <c r="L9" s="416">
        <v>8</v>
      </c>
      <c r="M9" s="416">
        <v>8</v>
      </c>
      <c r="N9" s="416">
        <v>8</v>
      </c>
      <c r="O9" s="416">
        <v>8</v>
      </c>
      <c r="P9" s="416">
        <v>8</v>
      </c>
      <c r="Q9" s="416">
        <v>8</v>
      </c>
      <c r="R9" s="416">
        <v>8</v>
      </c>
      <c r="S9" s="416">
        <v>8</v>
      </c>
      <c r="T9" s="416">
        <v>8</v>
      </c>
      <c r="U9" s="416">
        <v>8</v>
      </c>
      <c r="V9" s="416">
        <v>8</v>
      </c>
      <c r="W9" s="416">
        <v>8</v>
      </c>
      <c r="X9" s="416">
        <v>8</v>
      </c>
      <c r="Y9" s="416">
        <v>8</v>
      </c>
      <c r="Z9" s="416">
        <v>8</v>
      </c>
      <c r="AA9" s="416">
        <v>8</v>
      </c>
      <c r="AB9" s="416">
        <v>8</v>
      </c>
      <c r="AC9" s="416">
        <v>8</v>
      </c>
      <c r="AD9" s="416">
        <v>8</v>
      </c>
      <c r="AE9" s="416">
        <v>8</v>
      </c>
      <c r="AF9" s="416">
        <v>8</v>
      </c>
      <c r="AG9" s="416">
        <v>8</v>
      </c>
      <c r="AH9" s="416">
        <v>8</v>
      </c>
      <c r="AI9" s="416">
        <v>8</v>
      </c>
      <c r="AJ9" s="416">
        <v>8</v>
      </c>
      <c r="AK9" s="416">
        <v>8</v>
      </c>
      <c r="AL9" s="416">
        <v>8</v>
      </c>
      <c r="AM9" s="416">
        <v>8</v>
      </c>
      <c r="AN9" s="416">
        <v>8</v>
      </c>
      <c r="AO9" s="416">
        <v>8</v>
      </c>
      <c r="AP9" s="416">
        <v>8</v>
      </c>
      <c r="AQ9" s="416">
        <v>8</v>
      </c>
      <c r="AR9" s="416">
        <v>8</v>
      </c>
      <c r="AS9" s="416">
        <v>8</v>
      </c>
      <c r="AT9" s="416">
        <v>8</v>
      </c>
      <c r="AU9" s="416">
        <v>8</v>
      </c>
    </row>
    <row r="10" spans="1:57" ht="13.5" thickBot="1" x14ac:dyDescent="0.25">
      <c r="A10" s="410"/>
      <c r="B10" s="563" t="s">
        <v>650</v>
      </c>
      <c r="C10" s="564">
        <f>363*1010</f>
        <v>366630</v>
      </c>
      <c r="D10" s="678"/>
      <c r="E10" s="678"/>
      <c r="F10" s="680"/>
      <c r="G10" s="449" t="s">
        <v>499</v>
      </c>
      <c r="H10" s="558">
        <v>7</v>
      </c>
      <c r="I10" s="558">
        <v>7</v>
      </c>
      <c r="J10" s="558">
        <v>7</v>
      </c>
      <c r="K10" s="558">
        <v>7</v>
      </c>
      <c r="L10" s="558">
        <v>7</v>
      </c>
      <c r="M10" s="558">
        <v>7</v>
      </c>
      <c r="N10" s="558">
        <v>7</v>
      </c>
      <c r="O10" s="558">
        <v>7</v>
      </c>
      <c r="P10" s="558">
        <v>7</v>
      </c>
      <c r="Q10" s="558">
        <v>7</v>
      </c>
      <c r="R10" s="558">
        <v>7</v>
      </c>
      <c r="S10" s="558">
        <v>7</v>
      </c>
      <c r="T10" s="558">
        <v>7</v>
      </c>
      <c r="U10" s="558">
        <v>7</v>
      </c>
      <c r="V10" s="558">
        <v>7</v>
      </c>
      <c r="W10" s="558">
        <v>7</v>
      </c>
      <c r="X10" s="558">
        <v>7</v>
      </c>
      <c r="Y10" s="558">
        <v>7</v>
      </c>
      <c r="Z10" s="558">
        <v>7</v>
      </c>
      <c r="AA10" s="558">
        <v>7</v>
      </c>
      <c r="AB10" s="558">
        <v>7</v>
      </c>
      <c r="AC10" s="558">
        <v>7</v>
      </c>
      <c r="AD10" s="558">
        <v>7</v>
      </c>
      <c r="AE10" s="558">
        <v>7</v>
      </c>
      <c r="AF10" s="558">
        <v>7</v>
      </c>
      <c r="AG10" s="558">
        <v>7</v>
      </c>
      <c r="AH10" s="558">
        <v>7</v>
      </c>
      <c r="AI10" s="558">
        <v>7</v>
      </c>
      <c r="AJ10" s="558">
        <v>7</v>
      </c>
      <c r="AK10" s="558">
        <v>7</v>
      </c>
      <c r="AL10" s="558">
        <v>7</v>
      </c>
      <c r="AM10" s="558">
        <v>7</v>
      </c>
      <c r="AN10" s="558">
        <v>7</v>
      </c>
      <c r="AO10" s="558">
        <v>7</v>
      </c>
      <c r="AP10" s="558">
        <v>7</v>
      </c>
      <c r="AQ10" s="558">
        <v>7</v>
      </c>
      <c r="AR10" s="558">
        <v>7</v>
      </c>
      <c r="AS10" s="558">
        <v>7</v>
      </c>
      <c r="AT10" s="558">
        <v>7</v>
      </c>
      <c r="AU10" s="558">
        <v>7</v>
      </c>
    </row>
    <row r="11" spans="1:57" x14ac:dyDescent="0.2">
      <c r="A11" s="410"/>
      <c r="B11" s="420" t="s">
        <v>651</v>
      </c>
      <c r="C11" s="421" t="s">
        <v>226</v>
      </c>
      <c r="D11" s="422">
        <f>2.66*1.123</f>
        <v>2.9871799999999999</v>
      </c>
      <c r="E11" s="423">
        <f>C10</f>
        <v>366630</v>
      </c>
      <c r="F11" s="424">
        <f>D11*E11</f>
        <v>1095189.8034000001</v>
      </c>
      <c r="G11" s="681"/>
      <c r="H11" s="559">
        <f>$F$11*H9</f>
        <v>8761518.4272000007</v>
      </c>
      <c r="I11" s="550">
        <f t="shared" ref="I11:AT11" si="2">$F$11*I9</f>
        <v>8761518.4272000007</v>
      </c>
      <c r="J11" s="550">
        <f t="shared" si="2"/>
        <v>8761518.4272000007</v>
      </c>
      <c r="K11" s="550">
        <f t="shared" si="2"/>
        <v>8761518.4272000007</v>
      </c>
      <c r="L11" s="550">
        <f t="shared" si="2"/>
        <v>8761518.4272000007</v>
      </c>
      <c r="M11" s="550">
        <f t="shared" si="2"/>
        <v>8761518.4272000007</v>
      </c>
      <c r="N11" s="550">
        <f t="shared" si="2"/>
        <v>8761518.4272000007</v>
      </c>
      <c r="O11" s="550">
        <f t="shared" si="2"/>
        <v>8761518.4272000007</v>
      </c>
      <c r="P11" s="550">
        <f t="shared" si="2"/>
        <v>8761518.4272000007</v>
      </c>
      <c r="Q11" s="550">
        <f t="shared" si="2"/>
        <v>8761518.4272000007</v>
      </c>
      <c r="R11" s="550">
        <f t="shared" si="2"/>
        <v>8761518.4272000007</v>
      </c>
      <c r="S11" s="550">
        <f t="shared" si="2"/>
        <v>8761518.4272000007</v>
      </c>
      <c r="T11" s="550">
        <f t="shared" si="2"/>
        <v>8761518.4272000007</v>
      </c>
      <c r="U11" s="550">
        <f t="shared" si="2"/>
        <v>8761518.4272000007</v>
      </c>
      <c r="V11" s="550">
        <f t="shared" si="2"/>
        <v>8761518.4272000007</v>
      </c>
      <c r="W11" s="550">
        <f t="shared" si="2"/>
        <v>8761518.4272000007</v>
      </c>
      <c r="X11" s="550">
        <f t="shared" si="2"/>
        <v>8761518.4272000007</v>
      </c>
      <c r="Y11" s="550">
        <f t="shared" si="2"/>
        <v>8761518.4272000007</v>
      </c>
      <c r="Z11" s="550">
        <f t="shared" si="2"/>
        <v>8761518.4272000007</v>
      </c>
      <c r="AA11" s="550">
        <f t="shared" si="2"/>
        <v>8761518.4272000007</v>
      </c>
      <c r="AB11" s="550">
        <f t="shared" si="2"/>
        <v>8761518.4272000007</v>
      </c>
      <c r="AC11" s="550">
        <f t="shared" si="2"/>
        <v>8761518.4272000007</v>
      </c>
      <c r="AD11" s="550">
        <f t="shared" si="2"/>
        <v>8761518.4272000007</v>
      </c>
      <c r="AE11" s="550">
        <f t="shared" si="2"/>
        <v>8761518.4272000007</v>
      </c>
      <c r="AF11" s="550">
        <f t="shared" si="2"/>
        <v>8761518.4272000007</v>
      </c>
      <c r="AG11" s="550">
        <f t="shared" si="2"/>
        <v>8761518.4272000007</v>
      </c>
      <c r="AH11" s="550">
        <f t="shared" si="2"/>
        <v>8761518.4272000007</v>
      </c>
      <c r="AI11" s="550">
        <f t="shared" si="2"/>
        <v>8761518.4272000007</v>
      </c>
      <c r="AJ11" s="550">
        <f t="shared" si="2"/>
        <v>8761518.4272000007</v>
      </c>
      <c r="AK11" s="550">
        <f t="shared" si="2"/>
        <v>8761518.4272000007</v>
      </c>
      <c r="AL11" s="550">
        <f t="shared" si="2"/>
        <v>8761518.4272000007</v>
      </c>
      <c r="AM11" s="550">
        <f t="shared" si="2"/>
        <v>8761518.4272000007</v>
      </c>
      <c r="AN11" s="550">
        <f t="shared" si="2"/>
        <v>8761518.4272000007</v>
      </c>
      <c r="AO11" s="550">
        <f t="shared" si="2"/>
        <v>8761518.4272000007</v>
      </c>
      <c r="AP11" s="550">
        <f t="shared" si="2"/>
        <v>8761518.4272000007</v>
      </c>
      <c r="AQ11" s="550">
        <f t="shared" si="2"/>
        <v>8761518.4272000007</v>
      </c>
      <c r="AR11" s="550">
        <f t="shared" si="2"/>
        <v>8761518.4272000007</v>
      </c>
      <c r="AS11" s="550">
        <f t="shared" si="2"/>
        <v>8761518.4272000007</v>
      </c>
      <c r="AT11" s="550">
        <f t="shared" si="2"/>
        <v>8761518.4272000007</v>
      </c>
      <c r="AU11" s="551">
        <f t="shared" ref="AU11" si="3">$F$11*AU9</f>
        <v>8761518.4272000007</v>
      </c>
    </row>
    <row r="12" spans="1:57" x14ac:dyDescent="0.2">
      <c r="A12" s="410"/>
      <c r="B12" s="425" t="s">
        <v>652</v>
      </c>
      <c r="C12" s="426" t="s">
        <v>226</v>
      </c>
      <c r="D12" s="497"/>
      <c r="E12" s="457"/>
      <c r="F12" s="458"/>
      <c r="G12" s="681"/>
      <c r="H12" s="450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2"/>
    </row>
    <row r="13" spans="1:57" x14ac:dyDescent="0.2">
      <c r="A13" s="411"/>
      <c r="B13" s="425" t="s">
        <v>653</v>
      </c>
      <c r="C13" s="426" t="s">
        <v>226</v>
      </c>
      <c r="D13" s="427">
        <f>0.64*1.123</f>
        <v>0.71872000000000003</v>
      </c>
      <c r="E13" s="428">
        <f>C10</f>
        <v>366630</v>
      </c>
      <c r="F13" s="429">
        <f>D13*E13</f>
        <v>263504.31359999999</v>
      </c>
      <c r="G13" s="681"/>
      <c r="H13" s="430">
        <f>$F$13*H9</f>
        <v>2108034.5088</v>
      </c>
      <c r="I13" s="431">
        <f t="shared" ref="I13:AT13" si="4">$F$13*I9</f>
        <v>2108034.5088</v>
      </c>
      <c r="J13" s="431">
        <f t="shared" si="4"/>
        <v>2108034.5088</v>
      </c>
      <c r="K13" s="431">
        <f t="shared" si="4"/>
        <v>2108034.5088</v>
      </c>
      <c r="L13" s="431">
        <f t="shared" si="4"/>
        <v>2108034.5088</v>
      </c>
      <c r="M13" s="431">
        <f t="shared" si="4"/>
        <v>2108034.5088</v>
      </c>
      <c r="N13" s="431">
        <f t="shared" si="4"/>
        <v>2108034.5088</v>
      </c>
      <c r="O13" s="431">
        <f t="shared" si="4"/>
        <v>2108034.5088</v>
      </c>
      <c r="P13" s="431">
        <f t="shared" si="4"/>
        <v>2108034.5088</v>
      </c>
      <c r="Q13" s="431">
        <f t="shared" si="4"/>
        <v>2108034.5088</v>
      </c>
      <c r="R13" s="431">
        <f t="shared" si="4"/>
        <v>2108034.5088</v>
      </c>
      <c r="S13" s="431">
        <f t="shared" si="4"/>
        <v>2108034.5088</v>
      </c>
      <c r="T13" s="431">
        <f t="shared" si="4"/>
        <v>2108034.5088</v>
      </c>
      <c r="U13" s="431">
        <f t="shared" si="4"/>
        <v>2108034.5088</v>
      </c>
      <c r="V13" s="431">
        <f t="shared" si="4"/>
        <v>2108034.5088</v>
      </c>
      <c r="W13" s="431">
        <f t="shared" si="4"/>
        <v>2108034.5088</v>
      </c>
      <c r="X13" s="431">
        <f t="shared" si="4"/>
        <v>2108034.5088</v>
      </c>
      <c r="Y13" s="431">
        <f t="shared" si="4"/>
        <v>2108034.5088</v>
      </c>
      <c r="Z13" s="431">
        <f t="shared" si="4"/>
        <v>2108034.5088</v>
      </c>
      <c r="AA13" s="431">
        <f t="shared" si="4"/>
        <v>2108034.5088</v>
      </c>
      <c r="AB13" s="431">
        <f t="shared" si="4"/>
        <v>2108034.5088</v>
      </c>
      <c r="AC13" s="431">
        <f t="shared" si="4"/>
        <v>2108034.5088</v>
      </c>
      <c r="AD13" s="431">
        <f t="shared" si="4"/>
        <v>2108034.5088</v>
      </c>
      <c r="AE13" s="431">
        <f t="shared" si="4"/>
        <v>2108034.5088</v>
      </c>
      <c r="AF13" s="431">
        <f t="shared" si="4"/>
        <v>2108034.5088</v>
      </c>
      <c r="AG13" s="431">
        <f t="shared" si="4"/>
        <v>2108034.5088</v>
      </c>
      <c r="AH13" s="431">
        <f t="shared" si="4"/>
        <v>2108034.5088</v>
      </c>
      <c r="AI13" s="431">
        <f t="shared" si="4"/>
        <v>2108034.5088</v>
      </c>
      <c r="AJ13" s="431">
        <f t="shared" si="4"/>
        <v>2108034.5088</v>
      </c>
      <c r="AK13" s="431">
        <f t="shared" si="4"/>
        <v>2108034.5088</v>
      </c>
      <c r="AL13" s="431">
        <f t="shared" si="4"/>
        <v>2108034.5088</v>
      </c>
      <c r="AM13" s="431">
        <f t="shared" si="4"/>
        <v>2108034.5088</v>
      </c>
      <c r="AN13" s="431">
        <f t="shared" si="4"/>
        <v>2108034.5088</v>
      </c>
      <c r="AO13" s="431">
        <f t="shared" si="4"/>
        <v>2108034.5088</v>
      </c>
      <c r="AP13" s="431">
        <f t="shared" si="4"/>
        <v>2108034.5088</v>
      </c>
      <c r="AQ13" s="431">
        <f t="shared" si="4"/>
        <v>2108034.5088</v>
      </c>
      <c r="AR13" s="431">
        <f t="shared" si="4"/>
        <v>2108034.5088</v>
      </c>
      <c r="AS13" s="431">
        <f t="shared" si="4"/>
        <v>2108034.5088</v>
      </c>
      <c r="AT13" s="431">
        <f t="shared" si="4"/>
        <v>2108034.5088</v>
      </c>
      <c r="AU13" s="432">
        <f t="shared" ref="AU13" si="5">$F$13*AU9</f>
        <v>2108034.5088</v>
      </c>
    </row>
    <row r="14" spans="1:57" x14ac:dyDescent="0.2">
      <c r="A14" s="410"/>
      <c r="B14" s="425" t="s">
        <v>234</v>
      </c>
      <c r="C14" s="426" t="s">
        <v>226</v>
      </c>
      <c r="D14" s="433"/>
      <c r="E14" s="459"/>
      <c r="F14" s="460"/>
      <c r="G14" s="681"/>
      <c r="H14" s="450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2"/>
    </row>
    <row r="15" spans="1:57" x14ac:dyDescent="0.2">
      <c r="A15" s="410"/>
      <c r="B15" s="425" t="s">
        <v>237</v>
      </c>
      <c r="C15" s="426" t="s">
        <v>226</v>
      </c>
      <c r="D15" s="434">
        <f>Vstupy!C16*0.1</f>
        <v>1.3029999999999999</v>
      </c>
      <c r="E15" s="483">
        <f>C10</f>
        <v>366630</v>
      </c>
      <c r="F15" s="484">
        <f>D15*E15</f>
        <v>477718.88999999996</v>
      </c>
      <c r="G15" s="681"/>
      <c r="H15" s="430">
        <f>$F$15*H10</f>
        <v>3344032.2299999995</v>
      </c>
      <c r="I15" s="431">
        <f t="shared" ref="I15:AU15" si="6">$F$15*I10</f>
        <v>3344032.2299999995</v>
      </c>
      <c r="J15" s="431">
        <f t="shared" si="6"/>
        <v>3344032.2299999995</v>
      </c>
      <c r="K15" s="431">
        <f t="shared" si="6"/>
        <v>3344032.2299999995</v>
      </c>
      <c r="L15" s="431">
        <f t="shared" si="6"/>
        <v>3344032.2299999995</v>
      </c>
      <c r="M15" s="431">
        <f t="shared" si="6"/>
        <v>3344032.2299999995</v>
      </c>
      <c r="N15" s="431">
        <f t="shared" si="6"/>
        <v>3344032.2299999995</v>
      </c>
      <c r="O15" s="431">
        <f t="shared" si="6"/>
        <v>3344032.2299999995</v>
      </c>
      <c r="P15" s="431">
        <f t="shared" si="6"/>
        <v>3344032.2299999995</v>
      </c>
      <c r="Q15" s="431">
        <f t="shared" si="6"/>
        <v>3344032.2299999995</v>
      </c>
      <c r="R15" s="431">
        <f t="shared" si="6"/>
        <v>3344032.2299999995</v>
      </c>
      <c r="S15" s="431">
        <f t="shared" si="6"/>
        <v>3344032.2299999995</v>
      </c>
      <c r="T15" s="431">
        <f t="shared" si="6"/>
        <v>3344032.2299999995</v>
      </c>
      <c r="U15" s="431">
        <f t="shared" si="6"/>
        <v>3344032.2299999995</v>
      </c>
      <c r="V15" s="431">
        <f t="shared" si="6"/>
        <v>3344032.2299999995</v>
      </c>
      <c r="W15" s="431">
        <f t="shared" si="6"/>
        <v>3344032.2299999995</v>
      </c>
      <c r="X15" s="431">
        <f t="shared" si="6"/>
        <v>3344032.2299999995</v>
      </c>
      <c r="Y15" s="431">
        <f t="shared" si="6"/>
        <v>3344032.2299999995</v>
      </c>
      <c r="Z15" s="431">
        <f t="shared" si="6"/>
        <v>3344032.2299999995</v>
      </c>
      <c r="AA15" s="431">
        <f t="shared" si="6"/>
        <v>3344032.2299999995</v>
      </c>
      <c r="AB15" s="431">
        <f t="shared" si="6"/>
        <v>3344032.2299999995</v>
      </c>
      <c r="AC15" s="431">
        <f t="shared" si="6"/>
        <v>3344032.2299999995</v>
      </c>
      <c r="AD15" s="431">
        <f t="shared" si="6"/>
        <v>3344032.2299999995</v>
      </c>
      <c r="AE15" s="431">
        <f t="shared" si="6"/>
        <v>3344032.2299999995</v>
      </c>
      <c r="AF15" s="431">
        <f t="shared" si="6"/>
        <v>3344032.2299999995</v>
      </c>
      <c r="AG15" s="431">
        <f t="shared" si="6"/>
        <v>3344032.2299999995</v>
      </c>
      <c r="AH15" s="431">
        <f t="shared" si="6"/>
        <v>3344032.2299999995</v>
      </c>
      <c r="AI15" s="431">
        <f t="shared" si="6"/>
        <v>3344032.2299999995</v>
      </c>
      <c r="AJ15" s="431">
        <f t="shared" si="6"/>
        <v>3344032.2299999995</v>
      </c>
      <c r="AK15" s="431">
        <f t="shared" si="6"/>
        <v>3344032.2299999995</v>
      </c>
      <c r="AL15" s="431">
        <f t="shared" si="6"/>
        <v>3344032.2299999995</v>
      </c>
      <c r="AM15" s="431">
        <f t="shared" si="6"/>
        <v>3344032.2299999995</v>
      </c>
      <c r="AN15" s="431">
        <f t="shared" si="6"/>
        <v>3344032.2299999995</v>
      </c>
      <c r="AO15" s="431">
        <f t="shared" si="6"/>
        <v>3344032.2299999995</v>
      </c>
      <c r="AP15" s="431">
        <f t="shared" si="6"/>
        <v>3344032.2299999995</v>
      </c>
      <c r="AQ15" s="431">
        <f t="shared" si="6"/>
        <v>3344032.2299999995</v>
      </c>
      <c r="AR15" s="431">
        <f t="shared" si="6"/>
        <v>3344032.2299999995</v>
      </c>
      <c r="AS15" s="431">
        <f t="shared" si="6"/>
        <v>3344032.2299999995</v>
      </c>
      <c r="AT15" s="431">
        <f t="shared" si="6"/>
        <v>3344032.2299999995</v>
      </c>
      <c r="AU15" s="432">
        <f t="shared" si="6"/>
        <v>3344032.2299999995</v>
      </c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</row>
    <row r="16" spans="1:57" s="412" customFormat="1" x14ac:dyDescent="0.2">
      <c r="A16" s="410"/>
      <c r="B16" s="425" t="s">
        <v>654</v>
      </c>
      <c r="C16" s="426" t="s">
        <v>226</v>
      </c>
      <c r="D16" s="427">
        <f>0.36*1.123</f>
        <v>0.40427999999999997</v>
      </c>
      <c r="E16" s="428">
        <f>C10</f>
        <v>366630</v>
      </c>
      <c r="F16" s="429">
        <f>D16*E16</f>
        <v>148221.1764</v>
      </c>
      <c r="G16" s="681"/>
      <c r="H16" s="430">
        <f>$F$16*H9</f>
        <v>1185769.4112</v>
      </c>
      <c r="I16" s="431">
        <f t="shared" ref="I16:AT16" si="7">$F$16*I9</f>
        <v>1185769.4112</v>
      </c>
      <c r="J16" s="431">
        <f t="shared" si="7"/>
        <v>1185769.4112</v>
      </c>
      <c r="K16" s="431">
        <f t="shared" si="7"/>
        <v>1185769.4112</v>
      </c>
      <c r="L16" s="431">
        <f t="shared" si="7"/>
        <v>1185769.4112</v>
      </c>
      <c r="M16" s="431">
        <f t="shared" si="7"/>
        <v>1185769.4112</v>
      </c>
      <c r="N16" s="431">
        <f t="shared" si="7"/>
        <v>1185769.4112</v>
      </c>
      <c r="O16" s="431">
        <f t="shared" si="7"/>
        <v>1185769.4112</v>
      </c>
      <c r="P16" s="431">
        <f t="shared" si="7"/>
        <v>1185769.4112</v>
      </c>
      <c r="Q16" s="431">
        <f t="shared" si="7"/>
        <v>1185769.4112</v>
      </c>
      <c r="R16" s="431">
        <f t="shared" si="7"/>
        <v>1185769.4112</v>
      </c>
      <c r="S16" s="431">
        <f t="shared" si="7"/>
        <v>1185769.4112</v>
      </c>
      <c r="T16" s="431">
        <f t="shared" si="7"/>
        <v>1185769.4112</v>
      </c>
      <c r="U16" s="431">
        <f t="shared" si="7"/>
        <v>1185769.4112</v>
      </c>
      <c r="V16" s="431">
        <f t="shared" si="7"/>
        <v>1185769.4112</v>
      </c>
      <c r="W16" s="431">
        <f t="shared" si="7"/>
        <v>1185769.4112</v>
      </c>
      <c r="X16" s="431">
        <f t="shared" si="7"/>
        <v>1185769.4112</v>
      </c>
      <c r="Y16" s="431">
        <f t="shared" si="7"/>
        <v>1185769.4112</v>
      </c>
      <c r="Z16" s="431">
        <f t="shared" si="7"/>
        <v>1185769.4112</v>
      </c>
      <c r="AA16" s="431">
        <f t="shared" si="7"/>
        <v>1185769.4112</v>
      </c>
      <c r="AB16" s="431">
        <f t="shared" si="7"/>
        <v>1185769.4112</v>
      </c>
      <c r="AC16" s="431">
        <f t="shared" si="7"/>
        <v>1185769.4112</v>
      </c>
      <c r="AD16" s="431">
        <f t="shared" si="7"/>
        <v>1185769.4112</v>
      </c>
      <c r="AE16" s="431">
        <f t="shared" si="7"/>
        <v>1185769.4112</v>
      </c>
      <c r="AF16" s="431">
        <f t="shared" si="7"/>
        <v>1185769.4112</v>
      </c>
      <c r="AG16" s="431">
        <f t="shared" si="7"/>
        <v>1185769.4112</v>
      </c>
      <c r="AH16" s="431">
        <f t="shared" si="7"/>
        <v>1185769.4112</v>
      </c>
      <c r="AI16" s="431">
        <f t="shared" si="7"/>
        <v>1185769.4112</v>
      </c>
      <c r="AJ16" s="431">
        <f t="shared" si="7"/>
        <v>1185769.4112</v>
      </c>
      <c r="AK16" s="431">
        <f t="shared" si="7"/>
        <v>1185769.4112</v>
      </c>
      <c r="AL16" s="431">
        <f t="shared" si="7"/>
        <v>1185769.4112</v>
      </c>
      <c r="AM16" s="431">
        <f t="shared" si="7"/>
        <v>1185769.4112</v>
      </c>
      <c r="AN16" s="431">
        <f t="shared" si="7"/>
        <v>1185769.4112</v>
      </c>
      <c r="AO16" s="431">
        <f t="shared" si="7"/>
        <v>1185769.4112</v>
      </c>
      <c r="AP16" s="431">
        <f t="shared" si="7"/>
        <v>1185769.4112</v>
      </c>
      <c r="AQ16" s="431">
        <f t="shared" si="7"/>
        <v>1185769.4112</v>
      </c>
      <c r="AR16" s="431">
        <f t="shared" si="7"/>
        <v>1185769.4112</v>
      </c>
      <c r="AS16" s="431">
        <f t="shared" si="7"/>
        <v>1185769.4112</v>
      </c>
      <c r="AT16" s="431">
        <f t="shared" si="7"/>
        <v>1185769.4112</v>
      </c>
      <c r="AU16" s="432">
        <f t="shared" ref="AU16" si="8">$F$16*AU9</f>
        <v>1185769.4112</v>
      </c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</row>
    <row r="17" spans="1:47" x14ac:dyDescent="0.2">
      <c r="A17" s="410"/>
      <c r="B17" s="425" t="s">
        <v>509</v>
      </c>
      <c r="C17" s="426" t="s">
        <v>226</v>
      </c>
      <c r="D17" s="427">
        <f>1.84*1.123</f>
        <v>2.0663200000000002</v>
      </c>
      <c r="E17" s="428">
        <f>C10</f>
        <v>366630</v>
      </c>
      <c r="F17" s="429">
        <f t="shared" ref="F17:F18" si="9">D17*E17</f>
        <v>757574.9016000001</v>
      </c>
      <c r="G17" s="681"/>
      <c r="H17" s="430">
        <f>$F$17*H9</f>
        <v>6060599.2128000008</v>
      </c>
      <c r="I17" s="431">
        <f t="shared" ref="I17:AT17" si="10">$F$17*I9</f>
        <v>6060599.2128000008</v>
      </c>
      <c r="J17" s="431">
        <f t="shared" si="10"/>
        <v>6060599.2128000008</v>
      </c>
      <c r="K17" s="431">
        <f t="shared" si="10"/>
        <v>6060599.2128000008</v>
      </c>
      <c r="L17" s="431">
        <f t="shared" si="10"/>
        <v>6060599.2128000008</v>
      </c>
      <c r="M17" s="431">
        <f t="shared" si="10"/>
        <v>6060599.2128000008</v>
      </c>
      <c r="N17" s="431">
        <f t="shared" si="10"/>
        <v>6060599.2128000008</v>
      </c>
      <c r="O17" s="431">
        <f t="shared" si="10"/>
        <v>6060599.2128000008</v>
      </c>
      <c r="P17" s="431">
        <f t="shared" si="10"/>
        <v>6060599.2128000008</v>
      </c>
      <c r="Q17" s="431">
        <f t="shared" si="10"/>
        <v>6060599.2128000008</v>
      </c>
      <c r="R17" s="431">
        <f t="shared" si="10"/>
        <v>6060599.2128000008</v>
      </c>
      <c r="S17" s="431">
        <f t="shared" si="10"/>
        <v>6060599.2128000008</v>
      </c>
      <c r="T17" s="431">
        <f t="shared" si="10"/>
        <v>6060599.2128000008</v>
      </c>
      <c r="U17" s="431">
        <f t="shared" si="10"/>
        <v>6060599.2128000008</v>
      </c>
      <c r="V17" s="431">
        <f t="shared" si="10"/>
        <v>6060599.2128000008</v>
      </c>
      <c r="W17" s="431">
        <f t="shared" si="10"/>
        <v>6060599.2128000008</v>
      </c>
      <c r="X17" s="431">
        <f t="shared" si="10"/>
        <v>6060599.2128000008</v>
      </c>
      <c r="Y17" s="431">
        <f t="shared" si="10"/>
        <v>6060599.2128000008</v>
      </c>
      <c r="Z17" s="431">
        <f t="shared" si="10"/>
        <v>6060599.2128000008</v>
      </c>
      <c r="AA17" s="431">
        <f t="shared" si="10"/>
        <v>6060599.2128000008</v>
      </c>
      <c r="AB17" s="431">
        <f t="shared" si="10"/>
        <v>6060599.2128000008</v>
      </c>
      <c r="AC17" s="431">
        <f t="shared" si="10"/>
        <v>6060599.2128000008</v>
      </c>
      <c r="AD17" s="431">
        <f t="shared" si="10"/>
        <v>6060599.2128000008</v>
      </c>
      <c r="AE17" s="431">
        <f t="shared" si="10"/>
        <v>6060599.2128000008</v>
      </c>
      <c r="AF17" s="431">
        <f t="shared" si="10"/>
        <v>6060599.2128000008</v>
      </c>
      <c r="AG17" s="431">
        <f t="shared" si="10"/>
        <v>6060599.2128000008</v>
      </c>
      <c r="AH17" s="431">
        <f t="shared" si="10"/>
        <v>6060599.2128000008</v>
      </c>
      <c r="AI17" s="431">
        <f t="shared" si="10"/>
        <v>6060599.2128000008</v>
      </c>
      <c r="AJ17" s="431">
        <f t="shared" si="10"/>
        <v>6060599.2128000008</v>
      </c>
      <c r="AK17" s="431">
        <f t="shared" si="10"/>
        <v>6060599.2128000008</v>
      </c>
      <c r="AL17" s="431">
        <f t="shared" si="10"/>
        <v>6060599.2128000008</v>
      </c>
      <c r="AM17" s="431">
        <f t="shared" si="10"/>
        <v>6060599.2128000008</v>
      </c>
      <c r="AN17" s="431">
        <f t="shared" si="10"/>
        <v>6060599.2128000008</v>
      </c>
      <c r="AO17" s="431">
        <f t="shared" si="10"/>
        <v>6060599.2128000008</v>
      </c>
      <c r="AP17" s="431">
        <f t="shared" si="10"/>
        <v>6060599.2128000008</v>
      </c>
      <c r="AQ17" s="431">
        <f t="shared" si="10"/>
        <v>6060599.2128000008</v>
      </c>
      <c r="AR17" s="431">
        <f t="shared" si="10"/>
        <v>6060599.2128000008</v>
      </c>
      <c r="AS17" s="431">
        <f t="shared" si="10"/>
        <v>6060599.2128000008</v>
      </c>
      <c r="AT17" s="431">
        <f t="shared" si="10"/>
        <v>6060599.2128000008</v>
      </c>
      <c r="AU17" s="432">
        <f t="shared" ref="AU17" si="11">$F$17*AU9</f>
        <v>6060599.2128000008</v>
      </c>
    </row>
    <row r="18" spans="1:47" x14ac:dyDescent="0.2">
      <c r="A18" s="410"/>
      <c r="B18" s="425" t="s">
        <v>267</v>
      </c>
      <c r="C18" s="426" t="s">
        <v>226</v>
      </c>
      <c r="D18" s="427">
        <f>1.93*1.123</f>
        <v>2.1673899999999997</v>
      </c>
      <c r="E18" s="428">
        <f>C10</f>
        <v>366630</v>
      </c>
      <c r="F18" s="429">
        <f t="shared" si="9"/>
        <v>794630.19569999992</v>
      </c>
      <c r="G18" s="681"/>
      <c r="H18" s="430">
        <f>$F$18*H9</f>
        <v>6357041.5655999994</v>
      </c>
      <c r="I18" s="431">
        <f t="shared" ref="I18:AT18" si="12">$F$18*I9</f>
        <v>6357041.5655999994</v>
      </c>
      <c r="J18" s="431">
        <f t="shared" si="12"/>
        <v>6357041.5655999994</v>
      </c>
      <c r="K18" s="431">
        <f t="shared" si="12"/>
        <v>6357041.5655999994</v>
      </c>
      <c r="L18" s="431">
        <f t="shared" si="12"/>
        <v>6357041.5655999994</v>
      </c>
      <c r="M18" s="431">
        <f t="shared" si="12"/>
        <v>6357041.5655999994</v>
      </c>
      <c r="N18" s="431">
        <f t="shared" si="12"/>
        <v>6357041.5655999994</v>
      </c>
      <c r="O18" s="431">
        <f t="shared" si="12"/>
        <v>6357041.5655999994</v>
      </c>
      <c r="P18" s="431">
        <f t="shared" si="12"/>
        <v>6357041.5655999994</v>
      </c>
      <c r="Q18" s="431">
        <f t="shared" si="12"/>
        <v>6357041.5655999994</v>
      </c>
      <c r="R18" s="431">
        <f t="shared" si="12"/>
        <v>6357041.5655999994</v>
      </c>
      <c r="S18" s="431">
        <f t="shared" si="12"/>
        <v>6357041.5655999994</v>
      </c>
      <c r="T18" s="431">
        <f t="shared" si="12"/>
        <v>6357041.5655999994</v>
      </c>
      <c r="U18" s="431">
        <f t="shared" si="12"/>
        <v>6357041.5655999994</v>
      </c>
      <c r="V18" s="431">
        <f t="shared" si="12"/>
        <v>6357041.5655999994</v>
      </c>
      <c r="W18" s="431">
        <f t="shared" si="12"/>
        <v>6357041.5655999994</v>
      </c>
      <c r="X18" s="431">
        <f t="shared" si="12"/>
        <v>6357041.5655999994</v>
      </c>
      <c r="Y18" s="431">
        <f t="shared" si="12"/>
        <v>6357041.5655999994</v>
      </c>
      <c r="Z18" s="431">
        <f t="shared" si="12"/>
        <v>6357041.5655999994</v>
      </c>
      <c r="AA18" s="431">
        <f t="shared" si="12"/>
        <v>6357041.5655999994</v>
      </c>
      <c r="AB18" s="431">
        <f t="shared" si="12"/>
        <v>6357041.5655999994</v>
      </c>
      <c r="AC18" s="431">
        <f t="shared" si="12"/>
        <v>6357041.5655999994</v>
      </c>
      <c r="AD18" s="431">
        <f t="shared" si="12"/>
        <v>6357041.5655999994</v>
      </c>
      <c r="AE18" s="431">
        <f t="shared" si="12"/>
        <v>6357041.5655999994</v>
      </c>
      <c r="AF18" s="431">
        <f t="shared" si="12"/>
        <v>6357041.5655999994</v>
      </c>
      <c r="AG18" s="431">
        <f t="shared" si="12"/>
        <v>6357041.5655999994</v>
      </c>
      <c r="AH18" s="431">
        <f t="shared" si="12"/>
        <v>6357041.5655999994</v>
      </c>
      <c r="AI18" s="431">
        <f t="shared" si="12"/>
        <v>6357041.5655999994</v>
      </c>
      <c r="AJ18" s="431">
        <f t="shared" si="12"/>
        <v>6357041.5655999994</v>
      </c>
      <c r="AK18" s="431">
        <f t="shared" si="12"/>
        <v>6357041.5655999994</v>
      </c>
      <c r="AL18" s="431">
        <f t="shared" si="12"/>
        <v>6357041.5655999994</v>
      </c>
      <c r="AM18" s="431">
        <f t="shared" si="12"/>
        <v>6357041.5655999994</v>
      </c>
      <c r="AN18" s="431">
        <f t="shared" si="12"/>
        <v>6357041.5655999994</v>
      </c>
      <c r="AO18" s="431">
        <f t="shared" si="12"/>
        <v>6357041.5655999994</v>
      </c>
      <c r="AP18" s="431">
        <f t="shared" si="12"/>
        <v>6357041.5655999994</v>
      </c>
      <c r="AQ18" s="431">
        <f t="shared" si="12"/>
        <v>6357041.5655999994</v>
      </c>
      <c r="AR18" s="431">
        <f t="shared" si="12"/>
        <v>6357041.5655999994</v>
      </c>
      <c r="AS18" s="431">
        <f t="shared" si="12"/>
        <v>6357041.5655999994</v>
      </c>
      <c r="AT18" s="431">
        <f t="shared" si="12"/>
        <v>6357041.5655999994</v>
      </c>
      <c r="AU18" s="432">
        <f t="shared" ref="AU18" si="13">$F$18*AU9</f>
        <v>6357041.5655999994</v>
      </c>
    </row>
    <row r="19" spans="1:47" ht="13.5" thickBot="1" x14ac:dyDescent="0.25">
      <c r="A19" s="410"/>
      <c r="B19" s="435" t="s">
        <v>657</v>
      </c>
      <c r="C19" s="436" t="s">
        <v>226</v>
      </c>
      <c r="D19" s="437"/>
      <c r="E19" s="461"/>
      <c r="F19" s="462"/>
      <c r="G19" s="681"/>
      <c r="H19" s="438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40"/>
    </row>
    <row r="20" spans="1:47" ht="13.5" thickTop="1" x14ac:dyDescent="0.2">
      <c r="A20" s="410"/>
      <c r="B20" s="441" t="s">
        <v>655</v>
      </c>
      <c r="C20" s="442" t="s">
        <v>226</v>
      </c>
      <c r="D20" s="443">
        <f>1.12*1.123</f>
        <v>1.2577600000000002</v>
      </c>
      <c r="E20" s="444">
        <f>C10</f>
        <v>366630</v>
      </c>
      <c r="F20" s="445">
        <f t="shared" ref="F20" si="14">D20*E20</f>
        <v>461132.54880000011</v>
      </c>
      <c r="G20" s="681"/>
      <c r="H20" s="560">
        <f>$F$20*H9</f>
        <v>3689060.3904000008</v>
      </c>
      <c r="I20" s="552">
        <f t="shared" ref="I20:AT20" si="15">$F$20*I9</f>
        <v>3689060.3904000008</v>
      </c>
      <c r="J20" s="552">
        <f t="shared" si="15"/>
        <v>3689060.3904000008</v>
      </c>
      <c r="K20" s="552">
        <f t="shared" si="15"/>
        <v>3689060.3904000008</v>
      </c>
      <c r="L20" s="552">
        <f t="shared" si="15"/>
        <v>3689060.3904000008</v>
      </c>
      <c r="M20" s="552">
        <f t="shared" si="15"/>
        <v>3689060.3904000008</v>
      </c>
      <c r="N20" s="552">
        <f t="shared" si="15"/>
        <v>3689060.3904000008</v>
      </c>
      <c r="O20" s="552">
        <f t="shared" si="15"/>
        <v>3689060.3904000008</v>
      </c>
      <c r="P20" s="552">
        <f t="shared" si="15"/>
        <v>3689060.3904000008</v>
      </c>
      <c r="Q20" s="552">
        <f t="shared" si="15"/>
        <v>3689060.3904000008</v>
      </c>
      <c r="R20" s="552">
        <f t="shared" si="15"/>
        <v>3689060.3904000008</v>
      </c>
      <c r="S20" s="552">
        <f t="shared" si="15"/>
        <v>3689060.3904000008</v>
      </c>
      <c r="T20" s="552">
        <f t="shared" si="15"/>
        <v>3689060.3904000008</v>
      </c>
      <c r="U20" s="552">
        <f t="shared" si="15"/>
        <v>3689060.3904000008</v>
      </c>
      <c r="V20" s="552">
        <f t="shared" si="15"/>
        <v>3689060.3904000008</v>
      </c>
      <c r="W20" s="552">
        <f t="shared" si="15"/>
        <v>3689060.3904000008</v>
      </c>
      <c r="X20" s="552">
        <f t="shared" si="15"/>
        <v>3689060.3904000008</v>
      </c>
      <c r="Y20" s="552">
        <f t="shared" si="15"/>
        <v>3689060.3904000008</v>
      </c>
      <c r="Z20" s="552">
        <f t="shared" si="15"/>
        <v>3689060.3904000008</v>
      </c>
      <c r="AA20" s="552">
        <f t="shared" si="15"/>
        <v>3689060.3904000008</v>
      </c>
      <c r="AB20" s="552">
        <f t="shared" si="15"/>
        <v>3689060.3904000008</v>
      </c>
      <c r="AC20" s="552">
        <f t="shared" si="15"/>
        <v>3689060.3904000008</v>
      </c>
      <c r="AD20" s="552">
        <f t="shared" si="15"/>
        <v>3689060.3904000008</v>
      </c>
      <c r="AE20" s="552">
        <f t="shared" si="15"/>
        <v>3689060.3904000008</v>
      </c>
      <c r="AF20" s="552">
        <f t="shared" si="15"/>
        <v>3689060.3904000008</v>
      </c>
      <c r="AG20" s="552">
        <f t="shared" si="15"/>
        <v>3689060.3904000008</v>
      </c>
      <c r="AH20" s="552">
        <f t="shared" si="15"/>
        <v>3689060.3904000008</v>
      </c>
      <c r="AI20" s="552">
        <f t="shared" si="15"/>
        <v>3689060.3904000008</v>
      </c>
      <c r="AJ20" s="552">
        <f t="shared" si="15"/>
        <v>3689060.3904000008</v>
      </c>
      <c r="AK20" s="552">
        <f t="shared" si="15"/>
        <v>3689060.3904000008</v>
      </c>
      <c r="AL20" s="552">
        <f t="shared" si="15"/>
        <v>3689060.3904000008</v>
      </c>
      <c r="AM20" s="552">
        <f t="shared" si="15"/>
        <v>3689060.3904000008</v>
      </c>
      <c r="AN20" s="552">
        <f t="shared" si="15"/>
        <v>3689060.3904000008</v>
      </c>
      <c r="AO20" s="552">
        <f t="shared" si="15"/>
        <v>3689060.3904000008</v>
      </c>
      <c r="AP20" s="552">
        <f t="shared" si="15"/>
        <v>3689060.3904000008</v>
      </c>
      <c r="AQ20" s="552">
        <f t="shared" si="15"/>
        <v>3689060.3904000008</v>
      </c>
      <c r="AR20" s="552">
        <f t="shared" si="15"/>
        <v>3689060.3904000008</v>
      </c>
      <c r="AS20" s="552">
        <f t="shared" si="15"/>
        <v>3689060.3904000008</v>
      </c>
      <c r="AT20" s="552">
        <f t="shared" si="15"/>
        <v>3689060.3904000008</v>
      </c>
      <c r="AU20" s="553">
        <f t="shared" ref="AU20" si="16">$F$20*AU9</f>
        <v>3689060.3904000008</v>
      </c>
    </row>
    <row r="21" spans="1:47" ht="13.5" thickBot="1" x14ac:dyDescent="0.25">
      <c r="A21" s="410"/>
      <c r="B21" s="463" t="s">
        <v>656</v>
      </c>
      <c r="C21" s="565" t="s">
        <v>226</v>
      </c>
      <c r="D21" s="474">
        <v>30000</v>
      </c>
      <c r="E21" s="588">
        <v>1</v>
      </c>
      <c r="F21" s="471">
        <f>D21*E21</f>
        <v>30000</v>
      </c>
      <c r="G21" s="682"/>
      <c r="H21" s="453">
        <f>$F$21*H9</f>
        <v>240000</v>
      </c>
      <c r="I21" s="454">
        <f t="shared" ref="I21:AT21" si="17">$F$21*I9</f>
        <v>240000</v>
      </c>
      <c r="J21" s="454">
        <f t="shared" si="17"/>
        <v>240000</v>
      </c>
      <c r="K21" s="454">
        <f t="shared" si="17"/>
        <v>240000</v>
      </c>
      <c r="L21" s="454">
        <f t="shared" si="17"/>
        <v>240000</v>
      </c>
      <c r="M21" s="454">
        <f t="shared" si="17"/>
        <v>240000</v>
      </c>
      <c r="N21" s="454">
        <f t="shared" si="17"/>
        <v>240000</v>
      </c>
      <c r="O21" s="454">
        <f t="shared" si="17"/>
        <v>240000</v>
      </c>
      <c r="P21" s="454">
        <f t="shared" si="17"/>
        <v>240000</v>
      </c>
      <c r="Q21" s="454">
        <f t="shared" si="17"/>
        <v>240000</v>
      </c>
      <c r="R21" s="454">
        <f t="shared" si="17"/>
        <v>240000</v>
      </c>
      <c r="S21" s="454">
        <f t="shared" si="17"/>
        <v>240000</v>
      </c>
      <c r="T21" s="454">
        <f t="shared" si="17"/>
        <v>240000</v>
      </c>
      <c r="U21" s="454">
        <f t="shared" si="17"/>
        <v>240000</v>
      </c>
      <c r="V21" s="454">
        <f t="shared" si="17"/>
        <v>240000</v>
      </c>
      <c r="W21" s="454">
        <f t="shared" si="17"/>
        <v>240000</v>
      </c>
      <c r="X21" s="454">
        <f t="shared" si="17"/>
        <v>240000</v>
      </c>
      <c r="Y21" s="454">
        <f t="shared" si="17"/>
        <v>240000</v>
      </c>
      <c r="Z21" s="454">
        <f t="shared" si="17"/>
        <v>240000</v>
      </c>
      <c r="AA21" s="454">
        <f t="shared" si="17"/>
        <v>240000</v>
      </c>
      <c r="AB21" s="454">
        <f t="shared" si="17"/>
        <v>240000</v>
      </c>
      <c r="AC21" s="454">
        <f t="shared" si="17"/>
        <v>240000</v>
      </c>
      <c r="AD21" s="454">
        <f t="shared" si="17"/>
        <v>240000</v>
      </c>
      <c r="AE21" s="454">
        <f t="shared" si="17"/>
        <v>240000</v>
      </c>
      <c r="AF21" s="454">
        <f t="shared" si="17"/>
        <v>240000</v>
      </c>
      <c r="AG21" s="454">
        <f t="shared" si="17"/>
        <v>240000</v>
      </c>
      <c r="AH21" s="454">
        <f t="shared" si="17"/>
        <v>240000</v>
      </c>
      <c r="AI21" s="454">
        <f t="shared" si="17"/>
        <v>240000</v>
      </c>
      <c r="AJ21" s="454">
        <f t="shared" si="17"/>
        <v>240000</v>
      </c>
      <c r="AK21" s="454">
        <f t="shared" si="17"/>
        <v>240000</v>
      </c>
      <c r="AL21" s="454">
        <f t="shared" si="17"/>
        <v>240000</v>
      </c>
      <c r="AM21" s="454">
        <f t="shared" si="17"/>
        <v>240000</v>
      </c>
      <c r="AN21" s="454">
        <f t="shared" si="17"/>
        <v>240000</v>
      </c>
      <c r="AO21" s="454">
        <f t="shared" si="17"/>
        <v>240000</v>
      </c>
      <c r="AP21" s="454">
        <f t="shared" si="17"/>
        <v>240000</v>
      </c>
      <c r="AQ21" s="454">
        <f t="shared" si="17"/>
        <v>240000</v>
      </c>
      <c r="AR21" s="454">
        <f t="shared" si="17"/>
        <v>240000</v>
      </c>
      <c r="AS21" s="454">
        <f t="shared" si="17"/>
        <v>240000</v>
      </c>
      <c r="AT21" s="454">
        <f t="shared" si="17"/>
        <v>240000</v>
      </c>
      <c r="AU21" s="455">
        <f t="shared" ref="AU21" si="18">$F$21*AU9</f>
        <v>240000</v>
      </c>
    </row>
    <row r="22" spans="1:47" x14ac:dyDescent="0.2">
      <c r="B22" s="410" t="s">
        <v>663</v>
      </c>
      <c r="H22" s="464"/>
    </row>
    <row r="23" spans="1:47" x14ac:dyDescent="0.2">
      <c r="B23" s="410" t="s">
        <v>725</v>
      </c>
      <c r="H23" s="464"/>
    </row>
    <row r="24" spans="1:47" x14ac:dyDescent="0.2">
      <c r="H24" s="464"/>
      <c r="I24" s="464"/>
    </row>
    <row r="25" spans="1:47" x14ac:dyDescent="0.2">
      <c r="A25" s="231"/>
      <c r="B25" s="231"/>
      <c r="C25" s="230"/>
      <c r="D25" s="230" t="s">
        <v>10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</row>
    <row r="26" spans="1:47" x14ac:dyDescent="0.2">
      <c r="A26" s="231"/>
      <c r="B26" s="232" t="s">
        <v>55</v>
      </c>
      <c r="C26" s="232"/>
      <c r="D26" s="237">
        <v>1</v>
      </c>
      <c r="E26" s="237">
        <v>2</v>
      </c>
      <c r="F26" s="237">
        <v>3</v>
      </c>
      <c r="G26" s="237">
        <v>4</v>
      </c>
      <c r="H26" s="237">
        <v>5</v>
      </c>
      <c r="I26" s="237">
        <v>6</v>
      </c>
      <c r="J26" s="237">
        <v>7</v>
      </c>
      <c r="K26" s="237">
        <v>8</v>
      </c>
      <c r="L26" s="237">
        <v>9</v>
      </c>
      <c r="M26" s="237">
        <v>10</v>
      </c>
      <c r="N26" s="237">
        <v>11</v>
      </c>
      <c r="O26" s="237">
        <v>12</v>
      </c>
      <c r="P26" s="237">
        <v>13</v>
      </c>
      <c r="Q26" s="237">
        <v>14</v>
      </c>
      <c r="R26" s="237">
        <v>15</v>
      </c>
      <c r="S26" s="237">
        <v>16</v>
      </c>
      <c r="T26" s="237">
        <v>17</v>
      </c>
      <c r="U26" s="237">
        <v>18</v>
      </c>
      <c r="V26" s="237">
        <v>19</v>
      </c>
      <c r="W26" s="237">
        <v>20</v>
      </c>
      <c r="X26" s="237">
        <v>21</v>
      </c>
      <c r="Y26" s="237">
        <v>22</v>
      </c>
      <c r="Z26" s="237">
        <v>23</v>
      </c>
      <c r="AA26" s="237">
        <v>24</v>
      </c>
      <c r="AB26" s="237">
        <v>25</v>
      </c>
      <c r="AC26" s="237">
        <v>26</v>
      </c>
      <c r="AD26" s="237">
        <v>27</v>
      </c>
      <c r="AE26" s="237">
        <v>28</v>
      </c>
      <c r="AF26" s="237">
        <v>29</v>
      </c>
      <c r="AG26" s="237">
        <v>30</v>
      </c>
      <c r="AH26" s="237">
        <v>31</v>
      </c>
      <c r="AI26" s="237">
        <v>32</v>
      </c>
      <c r="AJ26" s="237">
        <v>33</v>
      </c>
      <c r="AK26" s="237">
        <v>34</v>
      </c>
      <c r="AL26" s="237">
        <v>35</v>
      </c>
      <c r="AM26" s="237">
        <v>36</v>
      </c>
      <c r="AN26" s="237">
        <v>37</v>
      </c>
      <c r="AO26" s="237">
        <v>38</v>
      </c>
      <c r="AP26" s="237">
        <v>39</v>
      </c>
      <c r="AQ26" s="237">
        <v>40</v>
      </c>
    </row>
    <row r="27" spans="1:47" x14ac:dyDescent="0.2">
      <c r="A27" s="231"/>
      <c r="B27" s="233" t="s">
        <v>33</v>
      </c>
      <c r="C27" s="233" t="s">
        <v>9</v>
      </c>
      <c r="D27" s="238">
        <v>2026</v>
      </c>
      <c r="E27" s="238">
        <f>$D$27+D26</f>
        <v>2027</v>
      </c>
      <c r="F27" s="238">
        <f t="shared" ref="F27:AQ27" si="19">$D$27+E26</f>
        <v>2028</v>
      </c>
      <c r="G27" s="238">
        <f t="shared" si="19"/>
        <v>2029</v>
      </c>
      <c r="H27" s="238">
        <f t="shared" si="19"/>
        <v>2030</v>
      </c>
      <c r="I27" s="238">
        <f t="shared" si="19"/>
        <v>2031</v>
      </c>
      <c r="J27" s="238">
        <f t="shared" si="19"/>
        <v>2032</v>
      </c>
      <c r="K27" s="238">
        <f t="shared" si="19"/>
        <v>2033</v>
      </c>
      <c r="L27" s="238">
        <f t="shared" si="19"/>
        <v>2034</v>
      </c>
      <c r="M27" s="238">
        <f t="shared" si="19"/>
        <v>2035</v>
      </c>
      <c r="N27" s="238">
        <f t="shared" si="19"/>
        <v>2036</v>
      </c>
      <c r="O27" s="238">
        <f t="shared" si="19"/>
        <v>2037</v>
      </c>
      <c r="P27" s="238">
        <f t="shared" si="19"/>
        <v>2038</v>
      </c>
      <c r="Q27" s="238">
        <f t="shared" si="19"/>
        <v>2039</v>
      </c>
      <c r="R27" s="238">
        <f t="shared" si="19"/>
        <v>2040</v>
      </c>
      <c r="S27" s="238">
        <f t="shared" si="19"/>
        <v>2041</v>
      </c>
      <c r="T27" s="238">
        <f t="shared" si="19"/>
        <v>2042</v>
      </c>
      <c r="U27" s="238">
        <f t="shared" si="19"/>
        <v>2043</v>
      </c>
      <c r="V27" s="238">
        <f t="shared" si="19"/>
        <v>2044</v>
      </c>
      <c r="W27" s="238">
        <f t="shared" si="19"/>
        <v>2045</v>
      </c>
      <c r="X27" s="238">
        <f t="shared" si="19"/>
        <v>2046</v>
      </c>
      <c r="Y27" s="238">
        <f t="shared" si="19"/>
        <v>2047</v>
      </c>
      <c r="Z27" s="238">
        <f t="shared" si="19"/>
        <v>2048</v>
      </c>
      <c r="AA27" s="238">
        <f t="shared" si="19"/>
        <v>2049</v>
      </c>
      <c r="AB27" s="238">
        <f t="shared" si="19"/>
        <v>2050</v>
      </c>
      <c r="AC27" s="238">
        <f t="shared" si="19"/>
        <v>2051</v>
      </c>
      <c r="AD27" s="238">
        <f t="shared" si="19"/>
        <v>2052</v>
      </c>
      <c r="AE27" s="238">
        <f t="shared" si="19"/>
        <v>2053</v>
      </c>
      <c r="AF27" s="238">
        <f t="shared" si="19"/>
        <v>2054</v>
      </c>
      <c r="AG27" s="238">
        <f t="shared" si="19"/>
        <v>2055</v>
      </c>
      <c r="AH27" s="238">
        <f t="shared" si="19"/>
        <v>2056</v>
      </c>
      <c r="AI27" s="238">
        <f t="shared" si="19"/>
        <v>2057</v>
      </c>
      <c r="AJ27" s="238">
        <f t="shared" si="19"/>
        <v>2058</v>
      </c>
      <c r="AK27" s="238">
        <f t="shared" si="19"/>
        <v>2059</v>
      </c>
      <c r="AL27" s="238">
        <f t="shared" si="19"/>
        <v>2060</v>
      </c>
      <c r="AM27" s="238">
        <f t="shared" si="19"/>
        <v>2061</v>
      </c>
      <c r="AN27" s="238">
        <f t="shared" si="19"/>
        <v>2062</v>
      </c>
      <c r="AO27" s="238">
        <f t="shared" si="19"/>
        <v>2063</v>
      </c>
      <c r="AP27" s="238">
        <f t="shared" si="19"/>
        <v>2064</v>
      </c>
      <c r="AQ27" s="238">
        <f t="shared" si="19"/>
        <v>2065</v>
      </c>
    </row>
    <row r="28" spans="1:47" x14ac:dyDescent="0.2">
      <c r="A28" s="231"/>
      <c r="B28" s="230" t="s">
        <v>281</v>
      </c>
      <c r="C28" s="245">
        <f>SUM(D28:AQ28)</f>
        <v>1112679814.2240002</v>
      </c>
      <c r="D28" s="417">
        <f t="shared" ref="D28:AQ28" si="20">H11+H13+H15+H16+H17+H18</f>
        <v>27816995.355600003</v>
      </c>
      <c r="E28" s="417">
        <f t="shared" si="20"/>
        <v>27816995.355600003</v>
      </c>
      <c r="F28" s="417">
        <f t="shared" si="20"/>
        <v>27816995.355600003</v>
      </c>
      <c r="G28" s="417">
        <f t="shared" si="20"/>
        <v>27816995.355600003</v>
      </c>
      <c r="H28" s="417">
        <f t="shared" si="20"/>
        <v>27816995.355600003</v>
      </c>
      <c r="I28" s="417">
        <f t="shared" si="20"/>
        <v>27816995.355600003</v>
      </c>
      <c r="J28" s="417">
        <f t="shared" si="20"/>
        <v>27816995.355600003</v>
      </c>
      <c r="K28" s="417">
        <f t="shared" si="20"/>
        <v>27816995.355600003</v>
      </c>
      <c r="L28" s="417">
        <f t="shared" si="20"/>
        <v>27816995.355600003</v>
      </c>
      <c r="M28" s="417">
        <f t="shared" si="20"/>
        <v>27816995.355600003</v>
      </c>
      <c r="N28" s="417">
        <f t="shared" si="20"/>
        <v>27816995.355600003</v>
      </c>
      <c r="O28" s="417">
        <f t="shared" si="20"/>
        <v>27816995.355600003</v>
      </c>
      <c r="P28" s="417">
        <f t="shared" si="20"/>
        <v>27816995.355600003</v>
      </c>
      <c r="Q28" s="417">
        <f t="shared" si="20"/>
        <v>27816995.355600003</v>
      </c>
      <c r="R28" s="417">
        <f t="shared" si="20"/>
        <v>27816995.355600003</v>
      </c>
      <c r="S28" s="417">
        <f t="shared" si="20"/>
        <v>27816995.355600003</v>
      </c>
      <c r="T28" s="417">
        <f t="shared" si="20"/>
        <v>27816995.355600003</v>
      </c>
      <c r="U28" s="417">
        <f t="shared" si="20"/>
        <v>27816995.355600003</v>
      </c>
      <c r="V28" s="417">
        <f t="shared" si="20"/>
        <v>27816995.355600003</v>
      </c>
      <c r="W28" s="417">
        <f t="shared" si="20"/>
        <v>27816995.355600003</v>
      </c>
      <c r="X28" s="417">
        <f t="shared" si="20"/>
        <v>27816995.355600003</v>
      </c>
      <c r="Y28" s="417">
        <f t="shared" si="20"/>
        <v>27816995.355600003</v>
      </c>
      <c r="Z28" s="417">
        <f t="shared" si="20"/>
        <v>27816995.355600003</v>
      </c>
      <c r="AA28" s="417">
        <f t="shared" si="20"/>
        <v>27816995.355600003</v>
      </c>
      <c r="AB28" s="417">
        <f t="shared" si="20"/>
        <v>27816995.355600003</v>
      </c>
      <c r="AC28" s="417">
        <f t="shared" si="20"/>
        <v>27816995.355600003</v>
      </c>
      <c r="AD28" s="417">
        <f t="shared" si="20"/>
        <v>27816995.355600003</v>
      </c>
      <c r="AE28" s="417">
        <f t="shared" si="20"/>
        <v>27816995.355600003</v>
      </c>
      <c r="AF28" s="417">
        <f t="shared" si="20"/>
        <v>27816995.355600003</v>
      </c>
      <c r="AG28" s="417">
        <f t="shared" si="20"/>
        <v>27816995.355600003</v>
      </c>
      <c r="AH28" s="417">
        <f t="shared" si="20"/>
        <v>27816995.355600003</v>
      </c>
      <c r="AI28" s="417">
        <f t="shared" si="20"/>
        <v>27816995.355600003</v>
      </c>
      <c r="AJ28" s="417">
        <f t="shared" si="20"/>
        <v>27816995.355600003</v>
      </c>
      <c r="AK28" s="417">
        <f t="shared" si="20"/>
        <v>27816995.355600003</v>
      </c>
      <c r="AL28" s="417">
        <f t="shared" si="20"/>
        <v>27816995.355600003</v>
      </c>
      <c r="AM28" s="417">
        <f t="shared" si="20"/>
        <v>27816995.355600003</v>
      </c>
      <c r="AN28" s="417">
        <f t="shared" si="20"/>
        <v>27816995.355600003</v>
      </c>
      <c r="AO28" s="417">
        <f t="shared" si="20"/>
        <v>27816995.355600003</v>
      </c>
      <c r="AP28" s="417">
        <f t="shared" si="20"/>
        <v>27816995.355600003</v>
      </c>
      <c r="AQ28" s="417">
        <f t="shared" si="20"/>
        <v>27816995.355600003</v>
      </c>
    </row>
    <row r="29" spans="1:47" x14ac:dyDescent="0.2">
      <c r="A29" s="231"/>
      <c r="B29" s="230" t="s">
        <v>279</v>
      </c>
      <c r="C29" s="245">
        <f>SUM(D29:AQ29)</f>
        <v>375200000</v>
      </c>
      <c r="D29" s="417">
        <v>0</v>
      </c>
      <c r="E29" s="417">
        <v>0</v>
      </c>
      <c r="F29" s="417">
        <v>0</v>
      </c>
      <c r="G29" s="417">
        <v>0</v>
      </c>
      <c r="H29" s="417">
        <v>0</v>
      </c>
      <c r="I29" s="417">
        <f>$C$39*8*$C$38</f>
        <v>26800000</v>
      </c>
      <c r="J29" s="417">
        <f>$C$39*8*$C$38</f>
        <v>26800000</v>
      </c>
      <c r="K29" s="417">
        <v>0</v>
      </c>
      <c r="L29" s="417">
        <v>0</v>
      </c>
      <c r="M29" s="417">
        <v>0</v>
      </c>
      <c r="N29" s="417">
        <v>0</v>
      </c>
      <c r="O29" s="417">
        <v>0</v>
      </c>
      <c r="P29" s="417">
        <v>0</v>
      </c>
      <c r="Q29" s="417">
        <v>0</v>
      </c>
      <c r="R29" s="417">
        <v>0</v>
      </c>
      <c r="S29" s="417">
        <f>$C$39*8*$E$38</f>
        <v>53600000</v>
      </c>
      <c r="T29" s="417">
        <f>$C$39*8*$E$38</f>
        <v>53600000</v>
      </c>
      <c r="U29" s="417">
        <v>0</v>
      </c>
      <c r="V29" s="417">
        <v>0</v>
      </c>
      <c r="W29" s="417">
        <v>0</v>
      </c>
      <c r="X29" s="417">
        <v>0</v>
      </c>
      <c r="Y29" s="417">
        <v>0</v>
      </c>
      <c r="Z29" s="417">
        <v>0</v>
      </c>
      <c r="AA29" s="417">
        <v>0</v>
      </c>
      <c r="AB29" s="417">
        <v>0</v>
      </c>
      <c r="AC29" s="417">
        <f>$C$39*8*$C$38</f>
        <v>26800000</v>
      </c>
      <c r="AD29" s="417">
        <f>$C$39*8*$C$38</f>
        <v>26800000</v>
      </c>
      <c r="AE29" s="417">
        <v>0</v>
      </c>
      <c r="AF29" s="417">
        <v>0</v>
      </c>
      <c r="AG29" s="417">
        <v>0</v>
      </c>
      <c r="AH29" s="417">
        <v>0</v>
      </c>
      <c r="AI29" s="417">
        <v>0</v>
      </c>
      <c r="AJ29" s="417">
        <v>0</v>
      </c>
      <c r="AK29" s="417">
        <v>0</v>
      </c>
      <c r="AL29" s="417">
        <v>0</v>
      </c>
      <c r="AM29" s="417">
        <f>$C$39*8*$E$38</f>
        <v>53600000</v>
      </c>
      <c r="AN29" s="417">
        <f>$C$39*8*$E$38</f>
        <v>53600000</v>
      </c>
      <c r="AO29" s="417">
        <v>0</v>
      </c>
      <c r="AP29" s="417">
        <v>0</v>
      </c>
      <c r="AQ29" s="417">
        <f>$C$39*8*$E$38</f>
        <v>53600000</v>
      </c>
    </row>
    <row r="30" spans="1:47" x14ac:dyDescent="0.2">
      <c r="A30" s="231"/>
      <c r="B30" s="232" t="s">
        <v>278</v>
      </c>
      <c r="C30" s="465">
        <f t="shared" ref="C30:C33" si="21">SUM(D30:AQ30)</f>
        <v>1487879814.2240005</v>
      </c>
      <c r="D30" s="465">
        <f t="shared" ref="D30:AG30" si="22">SUM(D28:D29)</f>
        <v>27816995.355600003</v>
      </c>
      <c r="E30" s="465">
        <f t="shared" si="22"/>
        <v>27816995.355600003</v>
      </c>
      <c r="F30" s="465">
        <f t="shared" si="22"/>
        <v>27816995.355600003</v>
      </c>
      <c r="G30" s="465">
        <f t="shared" si="22"/>
        <v>27816995.355600003</v>
      </c>
      <c r="H30" s="465">
        <f t="shared" si="22"/>
        <v>27816995.355600003</v>
      </c>
      <c r="I30" s="465">
        <f t="shared" si="22"/>
        <v>54616995.355599999</v>
      </c>
      <c r="J30" s="465">
        <f t="shared" si="22"/>
        <v>54616995.355599999</v>
      </c>
      <c r="K30" s="465">
        <f t="shared" si="22"/>
        <v>27816995.355600003</v>
      </c>
      <c r="L30" s="465">
        <f t="shared" si="22"/>
        <v>27816995.355600003</v>
      </c>
      <c r="M30" s="465">
        <f t="shared" si="22"/>
        <v>27816995.355600003</v>
      </c>
      <c r="N30" s="465">
        <f t="shared" si="22"/>
        <v>27816995.355600003</v>
      </c>
      <c r="O30" s="465">
        <f t="shared" si="22"/>
        <v>27816995.355600003</v>
      </c>
      <c r="P30" s="465">
        <f t="shared" si="22"/>
        <v>27816995.355600003</v>
      </c>
      <c r="Q30" s="465">
        <f t="shared" si="22"/>
        <v>27816995.355600003</v>
      </c>
      <c r="R30" s="465">
        <f t="shared" si="22"/>
        <v>27816995.355600003</v>
      </c>
      <c r="S30" s="465">
        <f t="shared" si="22"/>
        <v>81416995.355599999</v>
      </c>
      <c r="T30" s="465">
        <f t="shared" si="22"/>
        <v>81416995.355599999</v>
      </c>
      <c r="U30" s="465">
        <f t="shared" si="22"/>
        <v>27816995.355600003</v>
      </c>
      <c r="V30" s="465">
        <f t="shared" si="22"/>
        <v>27816995.355600003</v>
      </c>
      <c r="W30" s="465">
        <f t="shared" si="22"/>
        <v>27816995.355600003</v>
      </c>
      <c r="X30" s="465">
        <f t="shared" si="22"/>
        <v>27816995.355600003</v>
      </c>
      <c r="Y30" s="465">
        <f t="shared" si="22"/>
        <v>27816995.355600003</v>
      </c>
      <c r="Z30" s="465">
        <f t="shared" si="22"/>
        <v>27816995.355600003</v>
      </c>
      <c r="AA30" s="465">
        <f t="shared" si="22"/>
        <v>27816995.355600003</v>
      </c>
      <c r="AB30" s="465">
        <f t="shared" si="22"/>
        <v>27816995.355600003</v>
      </c>
      <c r="AC30" s="465">
        <f t="shared" si="22"/>
        <v>54616995.355599999</v>
      </c>
      <c r="AD30" s="465">
        <f t="shared" si="22"/>
        <v>54616995.355599999</v>
      </c>
      <c r="AE30" s="465">
        <f t="shared" si="22"/>
        <v>27816995.355600003</v>
      </c>
      <c r="AF30" s="465">
        <f t="shared" si="22"/>
        <v>27816995.355600003</v>
      </c>
      <c r="AG30" s="465">
        <f t="shared" si="22"/>
        <v>27816995.355600003</v>
      </c>
      <c r="AH30" s="465">
        <f t="shared" ref="AH30:AP30" si="23">SUM(AH28:AH29)</f>
        <v>27816995.355600003</v>
      </c>
      <c r="AI30" s="465">
        <f t="shared" si="23"/>
        <v>27816995.355600003</v>
      </c>
      <c r="AJ30" s="465">
        <f t="shared" si="23"/>
        <v>27816995.355600003</v>
      </c>
      <c r="AK30" s="465">
        <f t="shared" si="23"/>
        <v>27816995.355600003</v>
      </c>
      <c r="AL30" s="465">
        <f t="shared" si="23"/>
        <v>27816995.355600003</v>
      </c>
      <c r="AM30" s="465">
        <f t="shared" si="23"/>
        <v>81416995.355599999</v>
      </c>
      <c r="AN30" s="465">
        <f t="shared" si="23"/>
        <v>81416995.355599999</v>
      </c>
      <c r="AO30" s="465">
        <f t="shared" si="23"/>
        <v>27816995.355600003</v>
      </c>
      <c r="AP30" s="465">
        <f t="shared" si="23"/>
        <v>27816995.355600003</v>
      </c>
      <c r="AQ30" s="465">
        <f t="shared" ref="AQ30" si="24">SUM(AQ28:AQ29)</f>
        <v>81416995.355599999</v>
      </c>
    </row>
    <row r="31" spans="1:47" x14ac:dyDescent="0.2">
      <c r="A31" s="231"/>
      <c r="B31" s="230" t="s">
        <v>54</v>
      </c>
      <c r="C31" s="245">
        <f t="shared" si="21"/>
        <v>157162415.61600009</v>
      </c>
      <c r="D31" s="417">
        <f t="shared" ref="D31:AQ31" si="25">H20+H21</f>
        <v>3929060.3904000008</v>
      </c>
      <c r="E31" s="417">
        <f t="shared" si="25"/>
        <v>3929060.3904000008</v>
      </c>
      <c r="F31" s="417">
        <f t="shared" si="25"/>
        <v>3929060.3904000008</v>
      </c>
      <c r="G31" s="417">
        <f t="shared" si="25"/>
        <v>3929060.3904000008</v>
      </c>
      <c r="H31" s="417">
        <f t="shared" si="25"/>
        <v>3929060.3904000008</v>
      </c>
      <c r="I31" s="417">
        <f t="shared" si="25"/>
        <v>3929060.3904000008</v>
      </c>
      <c r="J31" s="417">
        <f t="shared" si="25"/>
        <v>3929060.3904000008</v>
      </c>
      <c r="K31" s="417">
        <f t="shared" si="25"/>
        <v>3929060.3904000008</v>
      </c>
      <c r="L31" s="417">
        <f t="shared" si="25"/>
        <v>3929060.3904000008</v>
      </c>
      <c r="M31" s="417">
        <f t="shared" si="25"/>
        <v>3929060.3904000008</v>
      </c>
      <c r="N31" s="417">
        <f t="shared" si="25"/>
        <v>3929060.3904000008</v>
      </c>
      <c r="O31" s="417">
        <f t="shared" si="25"/>
        <v>3929060.3904000008</v>
      </c>
      <c r="P31" s="417">
        <f t="shared" si="25"/>
        <v>3929060.3904000008</v>
      </c>
      <c r="Q31" s="417">
        <f t="shared" si="25"/>
        <v>3929060.3904000008</v>
      </c>
      <c r="R31" s="417">
        <f t="shared" si="25"/>
        <v>3929060.3904000008</v>
      </c>
      <c r="S31" s="417">
        <f t="shared" si="25"/>
        <v>3929060.3904000008</v>
      </c>
      <c r="T31" s="417">
        <f t="shared" si="25"/>
        <v>3929060.3904000008</v>
      </c>
      <c r="U31" s="417">
        <f t="shared" si="25"/>
        <v>3929060.3904000008</v>
      </c>
      <c r="V31" s="417">
        <f t="shared" si="25"/>
        <v>3929060.3904000008</v>
      </c>
      <c r="W31" s="417">
        <f t="shared" si="25"/>
        <v>3929060.3904000008</v>
      </c>
      <c r="X31" s="417">
        <f t="shared" si="25"/>
        <v>3929060.3904000008</v>
      </c>
      <c r="Y31" s="417">
        <f t="shared" si="25"/>
        <v>3929060.3904000008</v>
      </c>
      <c r="Z31" s="417">
        <f t="shared" si="25"/>
        <v>3929060.3904000008</v>
      </c>
      <c r="AA31" s="417">
        <f t="shared" si="25"/>
        <v>3929060.3904000008</v>
      </c>
      <c r="AB31" s="417">
        <f t="shared" si="25"/>
        <v>3929060.3904000008</v>
      </c>
      <c r="AC31" s="417">
        <f t="shared" si="25"/>
        <v>3929060.3904000008</v>
      </c>
      <c r="AD31" s="417">
        <f t="shared" si="25"/>
        <v>3929060.3904000008</v>
      </c>
      <c r="AE31" s="417">
        <f t="shared" si="25"/>
        <v>3929060.3904000008</v>
      </c>
      <c r="AF31" s="417">
        <f t="shared" si="25"/>
        <v>3929060.3904000008</v>
      </c>
      <c r="AG31" s="417">
        <f t="shared" si="25"/>
        <v>3929060.3904000008</v>
      </c>
      <c r="AH31" s="417">
        <f t="shared" si="25"/>
        <v>3929060.3904000008</v>
      </c>
      <c r="AI31" s="417">
        <f t="shared" si="25"/>
        <v>3929060.3904000008</v>
      </c>
      <c r="AJ31" s="417">
        <f t="shared" si="25"/>
        <v>3929060.3904000008</v>
      </c>
      <c r="AK31" s="417">
        <f t="shared" si="25"/>
        <v>3929060.3904000008</v>
      </c>
      <c r="AL31" s="417">
        <f t="shared" si="25"/>
        <v>3929060.3904000008</v>
      </c>
      <c r="AM31" s="417">
        <f t="shared" si="25"/>
        <v>3929060.3904000008</v>
      </c>
      <c r="AN31" s="417">
        <f t="shared" si="25"/>
        <v>3929060.3904000008</v>
      </c>
      <c r="AO31" s="417">
        <f t="shared" si="25"/>
        <v>3929060.3904000008</v>
      </c>
      <c r="AP31" s="417">
        <f t="shared" si="25"/>
        <v>3929060.3904000008</v>
      </c>
      <c r="AQ31" s="417">
        <f t="shared" si="25"/>
        <v>3929060.3904000008</v>
      </c>
    </row>
    <row r="32" spans="1:47" ht="13.5" thickBot="1" x14ac:dyDescent="0.25">
      <c r="A32" s="231"/>
      <c r="B32" s="466" t="s">
        <v>52</v>
      </c>
      <c r="C32" s="467">
        <f t="shared" si="21"/>
        <v>157162415.61600009</v>
      </c>
      <c r="D32" s="467">
        <f t="shared" ref="D32:AP32" si="26">SUM(D31:D31)</f>
        <v>3929060.3904000008</v>
      </c>
      <c r="E32" s="467">
        <f t="shared" si="26"/>
        <v>3929060.3904000008</v>
      </c>
      <c r="F32" s="467">
        <f t="shared" si="26"/>
        <v>3929060.3904000008</v>
      </c>
      <c r="G32" s="467">
        <f t="shared" si="26"/>
        <v>3929060.3904000008</v>
      </c>
      <c r="H32" s="467">
        <f t="shared" si="26"/>
        <v>3929060.3904000008</v>
      </c>
      <c r="I32" s="467">
        <f t="shared" si="26"/>
        <v>3929060.3904000008</v>
      </c>
      <c r="J32" s="467">
        <f t="shared" si="26"/>
        <v>3929060.3904000008</v>
      </c>
      <c r="K32" s="467">
        <f t="shared" si="26"/>
        <v>3929060.3904000008</v>
      </c>
      <c r="L32" s="467">
        <f t="shared" si="26"/>
        <v>3929060.3904000008</v>
      </c>
      <c r="M32" s="467">
        <f t="shared" si="26"/>
        <v>3929060.3904000008</v>
      </c>
      <c r="N32" s="467">
        <f t="shared" si="26"/>
        <v>3929060.3904000008</v>
      </c>
      <c r="O32" s="467">
        <f t="shared" si="26"/>
        <v>3929060.3904000008</v>
      </c>
      <c r="P32" s="467">
        <f t="shared" si="26"/>
        <v>3929060.3904000008</v>
      </c>
      <c r="Q32" s="467">
        <f t="shared" si="26"/>
        <v>3929060.3904000008</v>
      </c>
      <c r="R32" s="467">
        <f t="shared" si="26"/>
        <v>3929060.3904000008</v>
      </c>
      <c r="S32" s="467">
        <f t="shared" si="26"/>
        <v>3929060.3904000008</v>
      </c>
      <c r="T32" s="467">
        <f t="shared" si="26"/>
        <v>3929060.3904000008</v>
      </c>
      <c r="U32" s="467">
        <f t="shared" si="26"/>
        <v>3929060.3904000008</v>
      </c>
      <c r="V32" s="467">
        <f t="shared" si="26"/>
        <v>3929060.3904000008</v>
      </c>
      <c r="W32" s="467">
        <f t="shared" si="26"/>
        <v>3929060.3904000008</v>
      </c>
      <c r="X32" s="467">
        <f t="shared" si="26"/>
        <v>3929060.3904000008</v>
      </c>
      <c r="Y32" s="467">
        <f t="shared" si="26"/>
        <v>3929060.3904000008</v>
      </c>
      <c r="Z32" s="467">
        <f t="shared" si="26"/>
        <v>3929060.3904000008</v>
      </c>
      <c r="AA32" s="467">
        <f t="shared" si="26"/>
        <v>3929060.3904000008</v>
      </c>
      <c r="AB32" s="467">
        <f t="shared" si="26"/>
        <v>3929060.3904000008</v>
      </c>
      <c r="AC32" s="467">
        <f t="shared" si="26"/>
        <v>3929060.3904000008</v>
      </c>
      <c r="AD32" s="467">
        <f t="shared" si="26"/>
        <v>3929060.3904000008</v>
      </c>
      <c r="AE32" s="467">
        <f t="shared" si="26"/>
        <v>3929060.3904000008</v>
      </c>
      <c r="AF32" s="467">
        <f t="shared" si="26"/>
        <v>3929060.3904000008</v>
      </c>
      <c r="AG32" s="467">
        <f t="shared" si="26"/>
        <v>3929060.3904000008</v>
      </c>
      <c r="AH32" s="467">
        <f t="shared" si="26"/>
        <v>3929060.3904000008</v>
      </c>
      <c r="AI32" s="467">
        <f t="shared" si="26"/>
        <v>3929060.3904000008</v>
      </c>
      <c r="AJ32" s="467">
        <f t="shared" si="26"/>
        <v>3929060.3904000008</v>
      </c>
      <c r="AK32" s="467">
        <f t="shared" si="26"/>
        <v>3929060.3904000008</v>
      </c>
      <c r="AL32" s="467">
        <f t="shared" si="26"/>
        <v>3929060.3904000008</v>
      </c>
      <c r="AM32" s="467">
        <f t="shared" si="26"/>
        <v>3929060.3904000008</v>
      </c>
      <c r="AN32" s="467">
        <f t="shared" si="26"/>
        <v>3929060.3904000008</v>
      </c>
      <c r="AO32" s="467">
        <f t="shared" si="26"/>
        <v>3929060.3904000008</v>
      </c>
      <c r="AP32" s="467">
        <f t="shared" si="26"/>
        <v>3929060.3904000008</v>
      </c>
      <c r="AQ32" s="467">
        <f t="shared" ref="AQ32" si="27">SUM(AQ31:AQ31)</f>
        <v>3929060.3904000008</v>
      </c>
    </row>
    <row r="33" spans="1:74" ht="13.5" thickTop="1" x14ac:dyDescent="0.2">
      <c r="A33" s="231"/>
      <c r="B33" s="468" t="s">
        <v>51</v>
      </c>
      <c r="C33" s="469">
        <f t="shared" si="21"/>
        <v>1645042229.8400011</v>
      </c>
      <c r="D33" s="469">
        <f t="shared" ref="D33:AP33" si="28">SUM(D30,D32)</f>
        <v>31746055.746000003</v>
      </c>
      <c r="E33" s="469">
        <f t="shared" si="28"/>
        <v>31746055.746000003</v>
      </c>
      <c r="F33" s="469">
        <f t="shared" si="28"/>
        <v>31746055.746000003</v>
      </c>
      <c r="G33" s="469">
        <f t="shared" si="28"/>
        <v>31746055.746000003</v>
      </c>
      <c r="H33" s="469">
        <f t="shared" si="28"/>
        <v>31746055.746000003</v>
      </c>
      <c r="I33" s="469">
        <f t="shared" si="28"/>
        <v>58546055.745999999</v>
      </c>
      <c r="J33" s="469">
        <f t="shared" si="28"/>
        <v>58546055.745999999</v>
      </c>
      <c r="K33" s="469">
        <f t="shared" si="28"/>
        <v>31746055.746000003</v>
      </c>
      <c r="L33" s="469">
        <f t="shared" si="28"/>
        <v>31746055.746000003</v>
      </c>
      <c r="M33" s="469">
        <f t="shared" si="28"/>
        <v>31746055.746000003</v>
      </c>
      <c r="N33" s="469">
        <f t="shared" si="28"/>
        <v>31746055.746000003</v>
      </c>
      <c r="O33" s="469">
        <f t="shared" si="28"/>
        <v>31746055.746000003</v>
      </c>
      <c r="P33" s="469">
        <f t="shared" si="28"/>
        <v>31746055.746000003</v>
      </c>
      <c r="Q33" s="469">
        <f t="shared" si="28"/>
        <v>31746055.746000003</v>
      </c>
      <c r="R33" s="469">
        <f t="shared" si="28"/>
        <v>31746055.746000003</v>
      </c>
      <c r="S33" s="469">
        <f t="shared" si="28"/>
        <v>85346055.746000007</v>
      </c>
      <c r="T33" s="469">
        <f t="shared" si="28"/>
        <v>85346055.746000007</v>
      </c>
      <c r="U33" s="469">
        <f t="shared" si="28"/>
        <v>31746055.746000003</v>
      </c>
      <c r="V33" s="469">
        <f t="shared" si="28"/>
        <v>31746055.746000003</v>
      </c>
      <c r="W33" s="469">
        <f t="shared" si="28"/>
        <v>31746055.746000003</v>
      </c>
      <c r="X33" s="469">
        <f t="shared" si="28"/>
        <v>31746055.746000003</v>
      </c>
      <c r="Y33" s="469">
        <f t="shared" si="28"/>
        <v>31746055.746000003</v>
      </c>
      <c r="Z33" s="469">
        <f t="shared" si="28"/>
        <v>31746055.746000003</v>
      </c>
      <c r="AA33" s="469">
        <f t="shared" si="28"/>
        <v>31746055.746000003</v>
      </c>
      <c r="AB33" s="469">
        <f t="shared" si="28"/>
        <v>31746055.746000003</v>
      </c>
      <c r="AC33" s="469">
        <f t="shared" si="28"/>
        <v>58546055.745999999</v>
      </c>
      <c r="AD33" s="469">
        <f t="shared" si="28"/>
        <v>58546055.745999999</v>
      </c>
      <c r="AE33" s="469">
        <f t="shared" si="28"/>
        <v>31746055.746000003</v>
      </c>
      <c r="AF33" s="469">
        <f t="shared" si="28"/>
        <v>31746055.746000003</v>
      </c>
      <c r="AG33" s="469">
        <f t="shared" si="28"/>
        <v>31746055.746000003</v>
      </c>
      <c r="AH33" s="469">
        <f t="shared" si="28"/>
        <v>31746055.746000003</v>
      </c>
      <c r="AI33" s="469">
        <f t="shared" si="28"/>
        <v>31746055.746000003</v>
      </c>
      <c r="AJ33" s="469">
        <f t="shared" si="28"/>
        <v>31746055.746000003</v>
      </c>
      <c r="AK33" s="469">
        <f t="shared" si="28"/>
        <v>31746055.746000003</v>
      </c>
      <c r="AL33" s="469">
        <f t="shared" si="28"/>
        <v>31746055.746000003</v>
      </c>
      <c r="AM33" s="469">
        <f t="shared" si="28"/>
        <v>85346055.746000007</v>
      </c>
      <c r="AN33" s="469">
        <f t="shared" si="28"/>
        <v>85346055.746000007</v>
      </c>
      <c r="AO33" s="469">
        <f t="shared" si="28"/>
        <v>31746055.746000003</v>
      </c>
      <c r="AP33" s="469">
        <f t="shared" si="28"/>
        <v>31746055.746000003</v>
      </c>
      <c r="AQ33" s="469">
        <f t="shared" ref="AQ33" si="29">SUM(AQ30,AQ32)</f>
        <v>85346055.746000007</v>
      </c>
    </row>
    <row r="35" spans="1:74" s="412" customFormat="1" ht="13.5" thickBot="1" x14ac:dyDescent="0.25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409"/>
      <c r="BB35" s="409"/>
      <c r="BC35" s="409"/>
      <c r="BD35" s="409"/>
      <c r="BE35" s="409"/>
      <c r="BF35" s="409"/>
      <c r="BG35" s="409"/>
      <c r="BH35" s="409"/>
      <c r="BI35" s="409"/>
      <c r="BJ35" s="409"/>
      <c r="BK35" s="409"/>
      <c r="BL35" s="409"/>
      <c r="BM35" s="409"/>
      <c r="BN35" s="409"/>
      <c r="BO35" s="409"/>
      <c r="BP35" s="409"/>
      <c r="BQ35" s="409"/>
      <c r="BR35" s="409"/>
      <c r="BS35" s="409"/>
      <c r="BT35" s="409"/>
      <c r="BU35" s="409"/>
      <c r="BV35" s="409"/>
    </row>
    <row r="36" spans="1:74" ht="12.6" customHeight="1" x14ac:dyDescent="0.2">
      <c r="B36" s="78"/>
      <c r="C36" s="683" t="s">
        <v>664</v>
      </c>
      <c r="D36" s="684"/>
      <c r="E36" s="685"/>
    </row>
    <row r="37" spans="1:74" ht="57" thickBot="1" x14ac:dyDescent="0.25">
      <c r="B37" s="78"/>
      <c r="C37" s="686" t="s">
        <v>515</v>
      </c>
      <c r="D37" s="687"/>
      <c r="E37" s="295" t="s">
        <v>520</v>
      </c>
    </row>
    <row r="38" spans="1:74" ht="13.5" thickBot="1" x14ac:dyDescent="0.25">
      <c r="B38" s="408" t="s">
        <v>665</v>
      </c>
      <c r="C38" s="688">
        <v>0.1</v>
      </c>
      <c r="D38" s="689"/>
      <c r="E38" s="498">
        <v>0.2</v>
      </c>
    </row>
    <row r="39" spans="1:74" ht="20.45" customHeight="1" thickBot="1" x14ac:dyDescent="0.25">
      <c r="B39" s="516" t="s">
        <v>679</v>
      </c>
      <c r="C39" s="690">
        <v>33500000</v>
      </c>
      <c r="D39" s="691"/>
      <c r="E39" s="692"/>
    </row>
    <row r="42" spans="1:74" s="412" customFormat="1" x14ac:dyDescent="0.2">
      <c r="A42" s="409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/>
      <c r="BL42" s="409"/>
      <c r="BM42" s="409"/>
      <c r="BN42" s="409"/>
      <c r="BO42" s="409"/>
      <c r="BP42" s="409"/>
      <c r="BQ42" s="409"/>
      <c r="BR42" s="409"/>
      <c r="BS42" s="409"/>
      <c r="BT42" s="409"/>
      <c r="BU42" s="409"/>
      <c r="BV42" s="409"/>
    </row>
    <row r="57" spans="1:58" x14ac:dyDescent="0.2">
      <c r="AU57" s="412"/>
      <c r="AV57" s="412"/>
      <c r="AW57" s="412"/>
      <c r="AX57" s="412"/>
      <c r="AY57" s="412"/>
      <c r="AZ57" s="412"/>
      <c r="BA57" s="412"/>
      <c r="BB57" s="412"/>
      <c r="BC57" s="412"/>
      <c r="BD57" s="412"/>
      <c r="BE57" s="412"/>
      <c r="BF57" s="412"/>
    </row>
    <row r="58" spans="1:58" s="412" customFormat="1" x14ac:dyDescent="0.2">
      <c r="A58" s="409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AZ58" s="409"/>
      <c r="BA58" s="409"/>
      <c r="BB58" s="409"/>
      <c r="BC58" s="409"/>
      <c r="BD58" s="409"/>
      <c r="BE58" s="409"/>
      <c r="BF58" s="409"/>
    </row>
  </sheetData>
  <mergeCells count="12">
    <mergeCell ref="G11:G21"/>
    <mergeCell ref="C36:E36"/>
    <mergeCell ref="C37:D37"/>
    <mergeCell ref="C38:D38"/>
    <mergeCell ref="C39:E39"/>
    <mergeCell ref="B1:AK1"/>
    <mergeCell ref="B2:G4"/>
    <mergeCell ref="B5:G5"/>
    <mergeCell ref="B8:B9"/>
    <mergeCell ref="D8:D10"/>
    <mergeCell ref="E8:E10"/>
    <mergeCell ref="F8:F10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F801-13CF-454C-8947-004BB0EEBCEB}">
  <sheetPr>
    <tabColor theme="0" tint="-0.14999847407452621"/>
  </sheetPr>
  <dimension ref="A1:BY95"/>
  <sheetViews>
    <sheetView workbookViewId="0"/>
  </sheetViews>
  <sheetFormatPr defaultColWidth="8.85546875" defaultRowHeight="12.75" x14ac:dyDescent="0.2"/>
  <cols>
    <col min="1" max="1" width="1.42578125" style="409" customWidth="1"/>
    <col min="2" max="2" width="32.140625" style="409" bestFit="1" customWidth="1"/>
    <col min="3" max="3" width="11.42578125" style="409" bestFit="1" customWidth="1"/>
    <col min="4" max="6" width="11.140625" style="409" customWidth="1"/>
    <col min="7" max="7" width="10" style="409" customWidth="1"/>
    <col min="8" max="8" width="10.140625" style="409" bestFit="1" customWidth="1"/>
    <col min="9" max="11" width="9.85546875" style="409" bestFit="1" customWidth="1"/>
    <col min="12" max="12" width="10.140625" style="409" bestFit="1" customWidth="1"/>
    <col min="13" max="37" width="9.85546875" style="409" bestFit="1" customWidth="1"/>
    <col min="38" max="16384" width="8.85546875" style="409"/>
  </cols>
  <sheetData>
    <row r="1" spans="1:47" x14ac:dyDescent="0.2">
      <c r="B1" s="667"/>
      <c r="C1" s="667"/>
      <c r="D1" s="667"/>
      <c r="E1" s="667"/>
      <c r="F1" s="667"/>
      <c r="G1" s="667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68"/>
      <c r="AD1" s="668"/>
      <c r="AE1" s="668"/>
      <c r="AF1" s="668"/>
      <c r="AG1" s="668"/>
      <c r="AH1" s="668"/>
      <c r="AI1" s="668"/>
      <c r="AJ1" s="668"/>
      <c r="AK1" s="668"/>
    </row>
    <row r="2" spans="1:47" x14ac:dyDescent="0.2">
      <c r="A2" s="410"/>
      <c r="B2" s="669" t="s">
        <v>666</v>
      </c>
      <c r="C2" s="669"/>
      <c r="D2" s="669"/>
      <c r="E2" s="669"/>
      <c r="F2" s="669"/>
      <c r="G2" s="67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</row>
    <row r="3" spans="1:47" x14ac:dyDescent="0.2">
      <c r="A3" s="410"/>
      <c r="B3" s="669"/>
      <c r="C3" s="669"/>
      <c r="D3" s="669"/>
      <c r="E3" s="669"/>
      <c r="F3" s="669"/>
      <c r="G3" s="67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</row>
    <row r="4" spans="1:47" s="412" customFormat="1" x14ac:dyDescent="0.2">
      <c r="A4" s="411"/>
      <c r="B4" s="669"/>
      <c r="C4" s="669"/>
      <c r="D4" s="669"/>
      <c r="E4" s="669"/>
      <c r="F4" s="669"/>
      <c r="G4" s="670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</row>
    <row r="5" spans="1:47" x14ac:dyDescent="0.2">
      <c r="A5" s="410"/>
      <c r="B5" s="671" t="s">
        <v>677</v>
      </c>
      <c r="C5" s="672"/>
      <c r="D5" s="672"/>
      <c r="E5" s="672"/>
      <c r="F5" s="672"/>
      <c r="G5" s="673"/>
      <c r="H5" s="410"/>
      <c r="I5" s="244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</row>
    <row r="6" spans="1:47" x14ac:dyDescent="0.2">
      <c r="A6" s="410"/>
      <c r="B6" s="470"/>
      <c r="C6" s="470"/>
      <c r="D6" s="470"/>
      <c r="E6" s="470"/>
      <c r="F6" s="470"/>
      <c r="G6" s="470"/>
      <c r="H6" s="410"/>
      <c r="I6" s="244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</row>
    <row r="7" spans="1:47" x14ac:dyDescent="0.2">
      <c r="A7" s="410"/>
      <c r="B7" s="470"/>
      <c r="C7" s="470"/>
      <c r="D7" s="470"/>
      <c r="E7" s="470"/>
      <c r="F7" s="470"/>
      <c r="G7" s="470"/>
      <c r="H7" s="410"/>
      <c r="I7" s="244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</row>
    <row r="8" spans="1:47" ht="13.5" thickBot="1" x14ac:dyDescent="0.25">
      <c r="A8" s="410"/>
      <c r="B8" s="410"/>
      <c r="C8" s="410"/>
      <c r="D8" s="410"/>
      <c r="E8" s="410"/>
      <c r="F8" s="410"/>
      <c r="G8" s="410"/>
      <c r="H8" s="447"/>
      <c r="I8" s="447"/>
      <c r="J8" s="410"/>
      <c r="K8" s="410"/>
      <c r="L8" s="410"/>
      <c r="M8" s="447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</row>
    <row r="9" spans="1:47" ht="13.35" customHeight="1" x14ac:dyDescent="0.2">
      <c r="A9" s="410"/>
      <c r="B9" s="674" t="s">
        <v>658</v>
      </c>
      <c r="C9" s="413" t="s">
        <v>678</v>
      </c>
      <c r="D9" s="676" t="s">
        <v>726</v>
      </c>
      <c r="E9" s="676" t="s">
        <v>724</v>
      </c>
      <c r="F9" s="679" t="s">
        <v>648</v>
      </c>
      <c r="G9" s="297" t="s">
        <v>649</v>
      </c>
      <c r="H9" s="414">
        <v>2026</v>
      </c>
      <c r="I9" s="296">
        <f>H9+1</f>
        <v>2027</v>
      </c>
      <c r="J9" s="296">
        <f t="shared" ref="J9:AU9" si="0">I9+1</f>
        <v>2028</v>
      </c>
      <c r="K9" s="296">
        <f t="shared" si="0"/>
        <v>2029</v>
      </c>
      <c r="L9" s="296">
        <f t="shared" si="0"/>
        <v>2030</v>
      </c>
      <c r="M9" s="296">
        <f t="shared" si="0"/>
        <v>2031</v>
      </c>
      <c r="N9" s="296">
        <f t="shared" si="0"/>
        <v>2032</v>
      </c>
      <c r="O9" s="296">
        <f t="shared" si="0"/>
        <v>2033</v>
      </c>
      <c r="P9" s="296">
        <f t="shared" si="0"/>
        <v>2034</v>
      </c>
      <c r="Q9" s="296">
        <f t="shared" si="0"/>
        <v>2035</v>
      </c>
      <c r="R9" s="296">
        <f t="shared" si="0"/>
        <v>2036</v>
      </c>
      <c r="S9" s="296">
        <f t="shared" si="0"/>
        <v>2037</v>
      </c>
      <c r="T9" s="296">
        <f t="shared" si="0"/>
        <v>2038</v>
      </c>
      <c r="U9" s="296">
        <f t="shared" si="0"/>
        <v>2039</v>
      </c>
      <c r="V9" s="296">
        <f t="shared" si="0"/>
        <v>2040</v>
      </c>
      <c r="W9" s="296">
        <f t="shared" si="0"/>
        <v>2041</v>
      </c>
      <c r="X9" s="296">
        <f t="shared" si="0"/>
        <v>2042</v>
      </c>
      <c r="Y9" s="296">
        <f t="shared" si="0"/>
        <v>2043</v>
      </c>
      <c r="Z9" s="296">
        <f t="shared" si="0"/>
        <v>2044</v>
      </c>
      <c r="AA9" s="296">
        <f t="shared" si="0"/>
        <v>2045</v>
      </c>
      <c r="AB9" s="296">
        <f t="shared" si="0"/>
        <v>2046</v>
      </c>
      <c r="AC9" s="296">
        <f t="shared" si="0"/>
        <v>2047</v>
      </c>
      <c r="AD9" s="296">
        <f t="shared" si="0"/>
        <v>2048</v>
      </c>
      <c r="AE9" s="296">
        <f t="shared" si="0"/>
        <v>2049</v>
      </c>
      <c r="AF9" s="296">
        <f t="shared" si="0"/>
        <v>2050</v>
      </c>
      <c r="AG9" s="296">
        <f t="shared" si="0"/>
        <v>2051</v>
      </c>
      <c r="AH9" s="296">
        <f t="shared" si="0"/>
        <v>2052</v>
      </c>
      <c r="AI9" s="296">
        <f t="shared" si="0"/>
        <v>2053</v>
      </c>
      <c r="AJ9" s="296">
        <f t="shared" si="0"/>
        <v>2054</v>
      </c>
      <c r="AK9" s="296">
        <f t="shared" si="0"/>
        <v>2055</v>
      </c>
      <c r="AL9" s="296">
        <f t="shared" si="0"/>
        <v>2056</v>
      </c>
      <c r="AM9" s="296">
        <f t="shared" si="0"/>
        <v>2057</v>
      </c>
      <c r="AN9" s="296">
        <f t="shared" si="0"/>
        <v>2058</v>
      </c>
      <c r="AO9" s="296">
        <f t="shared" si="0"/>
        <v>2059</v>
      </c>
      <c r="AP9" s="296">
        <f t="shared" si="0"/>
        <v>2060</v>
      </c>
      <c r="AQ9" s="296">
        <f t="shared" si="0"/>
        <v>2061</v>
      </c>
      <c r="AR9" s="296">
        <f t="shared" si="0"/>
        <v>2062</v>
      </c>
      <c r="AS9" s="296">
        <f t="shared" si="0"/>
        <v>2063</v>
      </c>
      <c r="AT9" s="296">
        <f t="shared" si="0"/>
        <v>2064</v>
      </c>
      <c r="AU9" s="296">
        <f t="shared" si="0"/>
        <v>2065</v>
      </c>
    </row>
    <row r="10" spans="1:47" ht="22.5" x14ac:dyDescent="0.2">
      <c r="A10" s="410"/>
      <c r="B10" s="675"/>
      <c r="C10" s="415" t="s">
        <v>730</v>
      </c>
      <c r="D10" s="677"/>
      <c r="E10" s="677"/>
      <c r="F10" s="680"/>
      <c r="G10" s="448" t="s">
        <v>500</v>
      </c>
      <c r="H10" s="416">
        <v>8</v>
      </c>
      <c r="I10" s="416">
        <v>8</v>
      </c>
      <c r="J10" s="416">
        <v>8</v>
      </c>
      <c r="K10" s="416">
        <v>8</v>
      </c>
      <c r="L10" s="416">
        <v>4</v>
      </c>
      <c r="M10" s="416">
        <v>1</v>
      </c>
      <c r="N10" s="416">
        <v>1</v>
      </c>
      <c r="O10" s="416">
        <v>1</v>
      </c>
      <c r="P10" s="416">
        <v>1</v>
      </c>
      <c r="Q10" s="416">
        <v>1</v>
      </c>
      <c r="R10" s="416">
        <v>1</v>
      </c>
      <c r="S10" s="416">
        <v>1</v>
      </c>
      <c r="T10" s="416">
        <v>1</v>
      </c>
      <c r="U10" s="416">
        <v>1</v>
      </c>
      <c r="V10" s="416">
        <v>1</v>
      </c>
      <c r="W10" s="416">
        <v>1</v>
      </c>
      <c r="X10" s="416">
        <v>1</v>
      </c>
      <c r="Y10" s="416">
        <v>1</v>
      </c>
      <c r="Z10" s="416">
        <v>1</v>
      </c>
      <c r="AA10" s="416">
        <v>1</v>
      </c>
      <c r="AB10" s="416">
        <v>1</v>
      </c>
      <c r="AC10" s="416">
        <v>1</v>
      </c>
      <c r="AD10" s="416">
        <v>1</v>
      </c>
      <c r="AE10" s="416">
        <v>1</v>
      </c>
      <c r="AF10" s="416">
        <v>1</v>
      </c>
      <c r="AG10" s="416">
        <v>1</v>
      </c>
      <c r="AH10" s="416">
        <v>1</v>
      </c>
      <c r="AI10" s="416">
        <v>1</v>
      </c>
      <c r="AJ10" s="416">
        <v>1</v>
      </c>
      <c r="AK10" s="416">
        <v>1</v>
      </c>
      <c r="AL10" s="416">
        <v>1</v>
      </c>
      <c r="AM10" s="416">
        <v>1</v>
      </c>
      <c r="AN10" s="416">
        <v>1</v>
      </c>
      <c r="AO10" s="416">
        <v>1</v>
      </c>
      <c r="AP10" s="416">
        <v>1</v>
      </c>
      <c r="AQ10" s="416">
        <v>1</v>
      </c>
      <c r="AR10" s="416">
        <v>1</v>
      </c>
      <c r="AS10" s="416">
        <v>1</v>
      </c>
      <c r="AT10" s="416">
        <v>1</v>
      </c>
      <c r="AU10" s="416">
        <v>1</v>
      </c>
    </row>
    <row r="11" spans="1:47" ht="12.95" customHeight="1" thickBot="1" x14ac:dyDescent="0.25">
      <c r="A11" s="410"/>
      <c r="B11" s="418" t="s">
        <v>650</v>
      </c>
      <c r="C11" s="419">
        <f>363*1010</f>
        <v>366630</v>
      </c>
      <c r="D11" s="678"/>
      <c r="E11" s="678"/>
      <c r="F11" s="693"/>
      <c r="G11" s="449" t="s">
        <v>499</v>
      </c>
      <c r="H11" s="558">
        <v>7</v>
      </c>
      <c r="I11" s="558">
        <v>7</v>
      </c>
      <c r="J11" s="558">
        <v>7</v>
      </c>
      <c r="K11" s="558">
        <v>7</v>
      </c>
      <c r="L11" s="558">
        <v>3</v>
      </c>
      <c r="M11" s="558">
        <v>0</v>
      </c>
      <c r="N11" s="558">
        <v>0</v>
      </c>
      <c r="O11" s="558">
        <v>0</v>
      </c>
      <c r="P11" s="558">
        <v>0</v>
      </c>
      <c r="Q11" s="558">
        <v>0</v>
      </c>
      <c r="R11" s="558">
        <v>0</v>
      </c>
      <c r="S11" s="558">
        <v>0</v>
      </c>
      <c r="T11" s="558">
        <v>0</v>
      </c>
      <c r="U11" s="558">
        <v>0</v>
      </c>
      <c r="V11" s="558">
        <v>0</v>
      </c>
      <c r="W11" s="558">
        <v>0</v>
      </c>
      <c r="X11" s="558">
        <v>0</v>
      </c>
      <c r="Y11" s="558">
        <v>0</v>
      </c>
      <c r="Z11" s="558">
        <v>0</v>
      </c>
      <c r="AA11" s="558">
        <v>0</v>
      </c>
      <c r="AB11" s="558">
        <v>0</v>
      </c>
      <c r="AC11" s="558">
        <v>0</v>
      </c>
      <c r="AD11" s="558">
        <v>0</v>
      </c>
      <c r="AE11" s="558">
        <v>0</v>
      </c>
      <c r="AF11" s="558">
        <v>0</v>
      </c>
      <c r="AG11" s="558">
        <v>0</v>
      </c>
      <c r="AH11" s="558">
        <v>0</v>
      </c>
      <c r="AI11" s="558">
        <v>0</v>
      </c>
      <c r="AJ11" s="558">
        <v>0</v>
      </c>
      <c r="AK11" s="558">
        <v>0</v>
      </c>
      <c r="AL11" s="558">
        <v>0</v>
      </c>
      <c r="AM11" s="558">
        <v>0</v>
      </c>
      <c r="AN11" s="558">
        <v>0</v>
      </c>
      <c r="AO11" s="558">
        <v>0</v>
      </c>
      <c r="AP11" s="558">
        <v>0</v>
      </c>
      <c r="AQ11" s="558">
        <v>0</v>
      </c>
      <c r="AR11" s="558">
        <v>0</v>
      </c>
      <c r="AS11" s="558">
        <v>0</v>
      </c>
      <c r="AT11" s="558">
        <v>0</v>
      </c>
      <c r="AU11" s="558">
        <v>0</v>
      </c>
    </row>
    <row r="12" spans="1:47" ht="12.6" customHeight="1" x14ac:dyDescent="0.2">
      <c r="A12" s="410"/>
      <c r="B12" s="420" t="s">
        <v>651</v>
      </c>
      <c r="C12" s="421" t="s">
        <v>226</v>
      </c>
      <c r="D12" s="422">
        <f>2.66*1.123</f>
        <v>2.9871799999999999</v>
      </c>
      <c r="E12" s="423">
        <f>C11</f>
        <v>366630</v>
      </c>
      <c r="F12" s="424">
        <f>D12*E12</f>
        <v>1095189.8034000001</v>
      </c>
      <c r="G12" s="681"/>
      <c r="H12" s="559">
        <f>$F$12*H10</f>
        <v>8761518.4272000007</v>
      </c>
      <c r="I12" s="550">
        <f t="shared" ref="I12:AT12" si="1">$F$12*I10</f>
        <v>8761518.4272000007</v>
      </c>
      <c r="J12" s="550">
        <f t="shared" si="1"/>
        <v>8761518.4272000007</v>
      </c>
      <c r="K12" s="550">
        <f t="shared" si="1"/>
        <v>8761518.4272000007</v>
      </c>
      <c r="L12" s="550">
        <f t="shared" si="1"/>
        <v>4380759.2136000004</v>
      </c>
      <c r="M12" s="550">
        <f t="shared" si="1"/>
        <v>1095189.8034000001</v>
      </c>
      <c r="N12" s="550">
        <f t="shared" si="1"/>
        <v>1095189.8034000001</v>
      </c>
      <c r="O12" s="550">
        <f t="shared" si="1"/>
        <v>1095189.8034000001</v>
      </c>
      <c r="P12" s="550">
        <f t="shared" si="1"/>
        <v>1095189.8034000001</v>
      </c>
      <c r="Q12" s="550">
        <f t="shared" si="1"/>
        <v>1095189.8034000001</v>
      </c>
      <c r="R12" s="550">
        <f t="shared" si="1"/>
        <v>1095189.8034000001</v>
      </c>
      <c r="S12" s="550">
        <f t="shared" si="1"/>
        <v>1095189.8034000001</v>
      </c>
      <c r="T12" s="550">
        <f t="shared" si="1"/>
        <v>1095189.8034000001</v>
      </c>
      <c r="U12" s="550">
        <f t="shared" si="1"/>
        <v>1095189.8034000001</v>
      </c>
      <c r="V12" s="550">
        <f t="shared" si="1"/>
        <v>1095189.8034000001</v>
      </c>
      <c r="W12" s="550">
        <f t="shared" si="1"/>
        <v>1095189.8034000001</v>
      </c>
      <c r="X12" s="550">
        <f t="shared" si="1"/>
        <v>1095189.8034000001</v>
      </c>
      <c r="Y12" s="550">
        <f t="shared" si="1"/>
        <v>1095189.8034000001</v>
      </c>
      <c r="Z12" s="550">
        <f t="shared" si="1"/>
        <v>1095189.8034000001</v>
      </c>
      <c r="AA12" s="550">
        <f t="shared" si="1"/>
        <v>1095189.8034000001</v>
      </c>
      <c r="AB12" s="550">
        <f t="shared" si="1"/>
        <v>1095189.8034000001</v>
      </c>
      <c r="AC12" s="550">
        <f t="shared" si="1"/>
        <v>1095189.8034000001</v>
      </c>
      <c r="AD12" s="550">
        <f t="shared" si="1"/>
        <v>1095189.8034000001</v>
      </c>
      <c r="AE12" s="550">
        <f t="shared" si="1"/>
        <v>1095189.8034000001</v>
      </c>
      <c r="AF12" s="550">
        <f t="shared" si="1"/>
        <v>1095189.8034000001</v>
      </c>
      <c r="AG12" s="550">
        <f t="shared" si="1"/>
        <v>1095189.8034000001</v>
      </c>
      <c r="AH12" s="550">
        <f t="shared" si="1"/>
        <v>1095189.8034000001</v>
      </c>
      <c r="AI12" s="550">
        <f t="shared" si="1"/>
        <v>1095189.8034000001</v>
      </c>
      <c r="AJ12" s="550">
        <f t="shared" si="1"/>
        <v>1095189.8034000001</v>
      </c>
      <c r="AK12" s="550">
        <f t="shared" si="1"/>
        <v>1095189.8034000001</v>
      </c>
      <c r="AL12" s="550">
        <f t="shared" si="1"/>
        <v>1095189.8034000001</v>
      </c>
      <c r="AM12" s="550">
        <f t="shared" si="1"/>
        <v>1095189.8034000001</v>
      </c>
      <c r="AN12" s="550">
        <f t="shared" si="1"/>
        <v>1095189.8034000001</v>
      </c>
      <c r="AO12" s="550">
        <f t="shared" si="1"/>
        <v>1095189.8034000001</v>
      </c>
      <c r="AP12" s="550">
        <f t="shared" si="1"/>
        <v>1095189.8034000001</v>
      </c>
      <c r="AQ12" s="550">
        <f t="shared" si="1"/>
        <v>1095189.8034000001</v>
      </c>
      <c r="AR12" s="550">
        <f t="shared" si="1"/>
        <v>1095189.8034000001</v>
      </c>
      <c r="AS12" s="550">
        <f t="shared" si="1"/>
        <v>1095189.8034000001</v>
      </c>
      <c r="AT12" s="550">
        <f t="shared" si="1"/>
        <v>1095189.8034000001</v>
      </c>
      <c r="AU12" s="551">
        <f t="shared" ref="AU12" si="2">$F$12*AU10</f>
        <v>1095189.8034000001</v>
      </c>
    </row>
    <row r="13" spans="1:47" x14ac:dyDescent="0.2">
      <c r="A13" s="410"/>
      <c r="B13" s="425" t="s">
        <v>652</v>
      </c>
      <c r="C13" s="426" t="s">
        <v>226</v>
      </c>
      <c r="D13" s="497"/>
      <c r="E13" s="457"/>
      <c r="F13" s="458"/>
      <c r="G13" s="681"/>
      <c r="H13" s="450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2"/>
    </row>
    <row r="14" spans="1:47" x14ac:dyDescent="0.2">
      <c r="A14" s="410"/>
      <c r="B14" s="425" t="s">
        <v>653</v>
      </c>
      <c r="C14" s="426" t="s">
        <v>226</v>
      </c>
      <c r="D14" s="427">
        <f>0.64*1.123</f>
        <v>0.71872000000000003</v>
      </c>
      <c r="E14" s="428">
        <f>C11</f>
        <v>366630</v>
      </c>
      <c r="F14" s="429">
        <f>D14*E14</f>
        <v>263504.31359999999</v>
      </c>
      <c r="G14" s="681"/>
      <c r="H14" s="430">
        <f>$F$14*H10</f>
        <v>2108034.5088</v>
      </c>
      <c r="I14" s="431">
        <f t="shared" ref="I14:AT14" si="3">$F$14*I10</f>
        <v>2108034.5088</v>
      </c>
      <c r="J14" s="431">
        <f t="shared" si="3"/>
        <v>2108034.5088</v>
      </c>
      <c r="K14" s="431">
        <f t="shared" si="3"/>
        <v>2108034.5088</v>
      </c>
      <c r="L14" s="431">
        <f t="shared" si="3"/>
        <v>1054017.2544</v>
      </c>
      <c r="M14" s="431">
        <f t="shared" si="3"/>
        <v>263504.31359999999</v>
      </c>
      <c r="N14" s="431">
        <f t="shared" si="3"/>
        <v>263504.31359999999</v>
      </c>
      <c r="O14" s="431">
        <f t="shared" si="3"/>
        <v>263504.31359999999</v>
      </c>
      <c r="P14" s="431">
        <f t="shared" si="3"/>
        <v>263504.31359999999</v>
      </c>
      <c r="Q14" s="431">
        <f t="shared" si="3"/>
        <v>263504.31359999999</v>
      </c>
      <c r="R14" s="431">
        <f t="shared" si="3"/>
        <v>263504.31359999999</v>
      </c>
      <c r="S14" s="431">
        <f t="shared" si="3"/>
        <v>263504.31359999999</v>
      </c>
      <c r="T14" s="431">
        <f t="shared" si="3"/>
        <v>263504.31359999999</v>
      </c>
      <c r="U14" s="431">
        <f t="shared" si="3"/>
        <v>263504.31359999999</v>
      </c>
      <c r="V14" s="431">
        <f t="shared" si="3"/>
        <v>263504.31359999999</v>
      </c>
      <c r="W14" s="431">
        <f t="shared" si="3"/>
        <v>263504.31359999999</v>
      </c>
      <c r="X14" s="431">
        <f t="shared" si="3"/>
        <v>263504.31359999999</v>
      </c>
      <c r="Y14" s="431">
        <f t="shared" si="3"/>
        <v>263504.31359999999</v>
      </c>
      <c r="Z14" s="431">
        <f t="shared" si="3"/>
        <v>263504.31359999999</v>
      </c>
      <c r="AA14" s="431">
        <f t="shared" si="3"/>
        <v>263504.31359999999</v>
      </c>
      <c r="AB14" s="431">
        <f t="shared" si="3"/>
        <v>263504.31359999999</v>
      </c>
      <c r="AC14" s="431">
        <f t="shared" si="3"/>
        <v>263504.31359999999</v>
      </c>
      <c r="AD14" s="431">
        <f t="shared" si="3"/>
        <v>263504.31359999999</v>
      </c>
      <c r="AE14" s="431">
        <f t="shared" si="3"/>
        <v>263504.31359999999</v>
      </c>
      <c r="AF14" s="431">
        <f t="shared" si="3"/>
        <v>263504.31359999999</v>
      </c>
      <c r="AG14" s="431">
        <f t="shared" si="3"/>
        <v>263504.31359999999</v>
      </c>
      <c r="AH14" s="431">
        <f t="shared" si="3"/>
        <v>263504.31359999999</v>
      </c>
      <c r="AI14" s="431">
        <f t="shared" si="3"/>
        <v>263504.31359999999</v>
      </c>
      <c r="AJ14" s="431">
        <f t="shared" si="3"/>
        <v>263504.31359999999</v>
      </c>
      <c r="AK14" s="431">
        <f t="shared" si="3"/>
        <v>263504.31359999999</v>
      </c>
      <c r="AL14" s="431">
        <f t="shared" si="3"/>
        <v>263504.31359999999</v>
      </c>
      <c r="AM14" s="431">
        <f t="shared" si="3"/>
        <v>263504.31359999999</v>
      </c>
      <c r="AN14" s="431">
        <f t="shared" si="3"/>
        <v>263504.31359999999</v>
      </c>
      <c r="AO14" s="431">
        <f t="shared" si="3"/>
        <v>263504.31359999999</v>
      </c>
      <c r="AP14" s="431">
        <f t="shared" si="3"/>
        <v>263504.31359999999</v>
      </c>
      <c r="AQ14" s="431">
        <f t="shared" si="3"/>
        <v>263504.31359999999</v>
      </c>
      <c r="AR14" s="431">
        <f t="shared" si="3"/>
        <v>263504.31359999999</v>
      </c>
      <c r="AS14" s="431">
        <f t="shared" si="3"/>
        <v>263504.31359999999</v>
      </c>
      <c r="AT14" s="431">
        <f t="shared" si="3"/>
        <v>263504.31359999999</v>
      </c>
      <c r="AU14" s="432">
        <f t="shared" ref="AU14" si="4">$F$14*AU10</f>
        <v>263504.31359999999</v>
      </c>
    </row>
    <row r="15" spans="1:47" x14ac:dyDescent="0.2">
      <c r="A15" s="410"/>
      <c r="B15" s="425" t="s">
        <v>234</v>
      </c>
      <c r="C15" s="426" t="s">
        <v>226</v>
      </c>
      <c r="D15" s="433"/>
      <c r="E15" s="459"/>
      <c r="F15" s="460"/>
      <c r="G15" s="681"/>
      <c r="H15" s="561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60"/>
    </row>
    <row r="16" spans="1:47" x14ac:dyDescent="0.2">
      <c r="A16" s="410"/>
      <c r="B16" s="425" t="s">
        <v>237</v>
      </c>
      <c r="C16" s="426" t="s">
        <v>226</v>
      </c>
      <c r="D16" s="434">
        <f>Vstupy!C16*0.1</f>
        <v>1.3029999999999999</v>
      </c>
      <c r="E16" s="483">
        <f>C11</f>
        <v>366630</v>
      </c>
      <c r="F16" s="484">
        <f>D16*E16</f>
        <v>477718.88999999996</v>
      </c>
      <c r="G16" s="681"/>
      <c r="H16" s="430">
        <f>$F$16*H11</f>
        <v>3344032.2299999995</v>
      </c>
      <c r="I16" s="431">
        <f t="shared" ref="I16:AU16" si="5">$F$16*I11</f>
        <v>3344032.2299999995</v>
      </c>
      <c r="J16" s="431">
        <f t="shared" si="5"/>
        <v>3344032.2299999995</v>
      </c>
      <c r="K16" s="431">
        <f t="shared" si="5"/>
        <v>3344032.2299999995</v>
      </c>
      <c r="L16" s="431">
        <f t="shared" si="5"/>
        <v>1433156.67</v>
      </c>
      <c r="M16" s="431">
        <f t="shared" si="5"/>
        <v>0</v>
      </c>
      <c r="N16" s="431">
        <f t="shared" si="5"/>
        <v>0</v>
      </c>
      <c r="O16" s="431">
        <f t="shared" si="5"/>
        <v>0</v>
      </c>
      <c r="P16" s="431">
        <f t="shared" si="5"/>
        <v>0</v>
      </c>
      <c r="Q16" s="431">
        <f t="shared" si="5"/>
        <v>0</v>
      </c>
      <c r="R16" s="431">
        <f t="shared" si="5"/>
        <v>0</v>
      </c>
      <c r="S16" s="431">
        <f t="shared" si="5"/>
        <v>0</v>
      </c>
      <c r="T16" s="431">
        <f t="shared" si="5"/>
        <v>0</v>
      </c>
      <c r="U16" s="431">
        <f t="shared" si="5"/>
        <v>0</v>
      </c>
      <c r="V16" s="431">
        <f t="shared" si="5"/>
        <v>0</v>
      </c>
      <c r="W16" s="431">
        <f t="shared" si="5"/>
        <v>0</v>
      </c>
      <c r="X16" s="431">
        <f t="shared" si="5"/>
        <v>0</v>
      </c>
      <c r="Y16" s="431">
        <f t="shared" si="5"/>
        <v>0</v>
      </c>
      <c r="Z16" s="431">
        <f t="shared" si="5"/>
        <v>0</v>
      </c>
      <c r="AA16" s="431">
        <f t="shared" si="5"/>
        <v>0</v>
      </c>
      <c r="AB16" s="431">
        <f t="shared" si="5"/>
        <v>0</v>
      </c>
      <c r="AC16" s="431">
        <f t="shared" si="5"/>
        <v>0</v>
      </c>
      <c r="AD16" s="431">
        <f t="shared" si="5"/>
        <v>0</v>
      </c>
      <c r="AE16" s="431">
        <f t="shared" si="5"/>
        <v>0</v>
      </c>
      <c r="AF16" s="431">
        <f t="shared" si="5"/>
        <v>0</v>
      </c>
      <c r="AG16" s="431">
        <f t="shared" si="5"/>
        <v>0</v>
      </c>
      <c r="AH16" s="431">
        <f t="shared" si="5"/>
        <v>0</v>
      </c>
      <c r="AI16" s="431">
        <f t="shared" si="5"/>
        <v>0</v>
      </c>
      <c r="AJ16" s="431">
        <f t="shared" si="5"/>
        <v>0</v>
      </c>
      <c r="AK16" s="431">
        <f t="shared" si="5"/>
        <v>0</v>
      </c>
      <c r="AL16" s="431">
        <f t="shared" si="5"/>
        <v>0</v>
      </c>
      <c r="AM16" s="431">
        <f t="shared" si="5"/>
        <v>0</v>
      </c>
      <c r="AN16" s="431">
        <f t="shared" si="5"/>
        <v>0</v>
      </c>
      <c r="AO16" s="431">
        <f t="shared" si="5"/>
        <v>0</v>
      </c>
      <c r="AP16" s="431">
        <f t="shared" si="5"/>
        <v>0</v>
      </c>
      <c r="AQ16" s="431">
        <f t="shared" si="5"/>
        <v>0</v>
      </c>
      <c r="AR16" s="431">
        <f t="shared" si="5"/>
        <v>0</v>
      </c>
      <c r="AS16" s="431">
        <f t="shared" si="5"/>
        <v>0</v>
      </c>
      <c r="AT16" s="431">
        <f t="shared" si="5"/>
        <v>0</v>
      </c>
      <c r="AU16" s="432">
        <f t="shared" si="5"/>
        <v>0</v>
      </c>
    </row>
    <row r="17" spans="1:47" x14ac:dyDescent="0.2">
      <c r="A17" s="410"/>
      <c r="B17" s="425" t="s">
        <v>654</v>
      </c>
      <c r="C17" s="426" t="s">
        <v>226</v>
      </c>
      <c r="D17" s="427">
        <f>0.36*1.123</f>
        <v>0.40427999999999997</v>
      </c>
      <c r="E17" s="428">
        <f>C11</f>
        <v>366630</v>
      </c>
      <c r="F17" s="429">
        <f>D17*E17</f>
        <v>148221.1764</v>
      </c>
      <c r="G17" s="681"/>
      <c r="H17" s="430">
        <f>$F$17*H10</f>
        <v>1185769.4112</v>
      </c>
      <c r="I17" s="431">
        <f t="shared" ref="I17:AT17" si="6">$F$17*I10</f>
        <v>1185769.4112</v>
      </c>
      <c r="J17" s="431">
        <f t="shared" si="6"/>
        <v>1185769.4112</v>
      </c>
      <c r="K17" s="431">
        <f t="shared" si="6"/>
        <v>1185769.4112</v>
      </c>
      <c r="L17" s="431">
        <f t="shared" si="6"/>
        <v>592884.70559999999</v>
      </c>
      <c r="M17" s="431">
        <f t="shared" si="6"/>
        <v>148221.1764</v>
      </c>
      <c r="N17" s="431">
        <f t="shared" si="6"/>
        <v>148221.1764</v>
      </c>
      <c r="O17" s="431">
        <f t="shared" si="6"/>
        <v>148221.1764</v>
      </c>
      <c r="P17" s="431">
        <f t="shared" si="6"/>
        <v>148221.1764</v>
      </c>
      <c r="Q17" s="431">
        <f t="shared" si="6"/>
        <v>148221.1764</v>
      </c>
      <c r="R17" s="431">
        <f t="shared" si="6"/>
        <v>148221.1764</v>
      </c>
      <c r="S17" s="431">
        <f t="shared" si="6"/>
        <v>148221.1764</v>
      </c>
      <c r="T17" s="431">
        <f t="shared" si="6"/>
        <v>148221.1764</v>
      </c>
      <c r="U17" s="431">
        <f t="shared" si="6"/>
        <v>148221.1764</v>
      </c>
      <c r="V17" s="431">
        <f t="shared" si="6"/>
        <v>148221.1764</v>
      </c>
      <c r="W17" s="431">
        <f t="shared" si="6"/>
        <v>148221.1764</v>
      </c>
      <c r="X17" s="431">
        <f t="shared" si="6"/>
        <v>148221.1764</v>
      </c>
      <c r="Y17" s="431">
        <f t="shared" si="6"/>
        <v>148221.1764</v>
      </c>
      <c r="Z17" s="431">
        <f t="shared" si="6"/>
        <v>148221.1764</v>
      </c>
      <c r="AA17" s="431">
        <f t="shared" si="6"/>
        <v>148221.1764</v>
      </c>
      <c r="AB17" s="431">
        <f t="shared" si="6"/>
        <v>148221.1764</v>
      </c>
      <c r="AC17" s="431">
        <f t="shared" si="6"/>
        <v>148221.1764</v>
      </c>
      <c r="AD17" s="431">
        <f t="shared" si="6"/>
        <v>148221.1764</v>
      </c>
      <c r="AE17" s="431">
        <f t="shared" si="6"/>
        <v>148221.1764</v>
      </c>
      <c r="AF17" s="431">
        <f t="shared" si="6"/>
        <v>148221.1764</v>
      </c>
      <c r="AG17" s="431">
        <f t="shared" si="6"/>
        <v>148221.1764</v>
      </c>
      <c r="AH17" s="431">
        <f t="shared" si="6"/>
        <v>148221.1764</v>
      </c>
      <c r="AI17" s="431">
        <f t="shared" si="6"/>
        <v>148221.1764</v>
      </c>
      <c r="AJ17" s="431">
        <f t="shared" si="6"/>
        <v>148221.1764</v>
      </c>
      <c r="AK17" s="431">
        <f t="shared" si="6"/>
        <v>148221.1764</v>
      </c>
      <c r="AL17" s="431">
        <f t="shared" si="6"/>
        <v>148221.1764</v>
      </c>
      <c r="AM17" s="431">
        <f t="shared" si="6"/>
        <v>148221.1764</v>
      </c>
      <c r="AN17" s="431">
        <f t="shared" si="6"/>
        <v>148221.1764</v>
      </c>
      <c r="AO17" s="431">
        <f t="shared" si="6"/>
        <v>148221.1764</v>
      </c>
      <c r="AP17" s="431">
        <f t="shared" si="6"/>
        <v>148221.1764</v>
      </c>
      <c r="AQ17" s="431">
        <f t="shared" si="6"/>
        <v>148221.1764</v>
      </c>
      <c r="AR17" s="431">
        <f t="shared" si="6"/>
        <v>148221.1764</v>
      </c>
      <c r="AS17" s="431">
        <f t="shared" si="6"/>
        <v>148221.1764</v>
      </c>
      <c r="AT17" s="431">
        <f t="shared" si="6"/>
        <v>148221.1764</v>
      </c>
      <c r="AU17" s="432">
        <f t="shared" ref="AU17" si="7">$F$17*AU10</f>
        <v>148221.1764</v>
      </c>
    </row>
    <row r="18" spans="1:47" x14ac:dyDescent="0.2">
      <c r="A18" s="410"/>
      <c r="B18" s="425" t="s">
        <v>509</v>
      </c>
      <c r="C18" s="426" t="s">
        <v>226</v>
      </c>
      <c r="D18" s="427">
        <f>1.84*1.123</f>
        <v>2.0663200000000002</v>
      </c>
      <c r="E18" s="428">
        <f>C11</f>
        <v>366630</v>
      </c>
      <c r="F18" s="429">
        <f t="shared" ref="F18:F19" si="8">D18*E18</f>
        <v>757574.9016000001</v>
      </c>
      <c r="G18" s="681"/>
      <c r="H18" s="430">
        <f>$F$18*H10</f>
        <v>6060599.2128000008</v>
      </c>
      <c r="I18" s="431">
        <f t="shared" ref="I18:AT18" si="9">$F$18*I10</f>
        <v>6060599.2128000008</v>
      </c>
      <c r="J18" s="431">
        <f t="shared" si="9"/>
        <v>6060599.2128000008</v>
      </c>
      <c r="K18" s="431">
        <f t="shared" si="9"/>
        <v>6060599.2128000008</v>
      </c>
      <c r="L18" s="431">
        <f t="shared" si="9"/>
        <v>3030299.6064000004</v>
      </c>
      <c r="M18" s="431">
        <f t="shared" si="9"/>
        <v>757574.9016000001</v>
      </c>
      <c r="N18" s="431">
        <f t="shared" si="9"/>
        <v>757574.9016000001</v>
      </c>
      <c r="O18" s="431">
        <f t="shared" si="9"/>
        <v>757574.9016000001</v>
      </c>
      <c r="P18" s="431">
        <f t="shared" si="9"/>
        <v>757574.9016000001</v>
      </c>
      <c r="Q18" s="431">
        <f t="shared" si="9"/>
        <v>757574.9016000001</v>
      </c>
      <c r="R18" s="431">
        <f t="shared" si="9"/>
        <v>757574.9016000001</v>
      </c>
      <c r="S18" s="431">
        <f t="shared" si="9"/>
        <v>757574.9016000001</v>
      </c>
      <c r="T18" s="431">
        <f t="shared" si="9"/>
        <v>757574.9016000001</v>
      </c>
      <c r="U18" s="431">
        <f t="shared" si="9"/>
        <v>757574.9016000001</v>
      </c>
      <c r="V18" s="431">
        <f t="shared" si="9"/>
        <v>757574.9016000001</v>
      </c>
      <c r="W18" s="431">
        <f t="shared" si="9"/>
        <v>757574.9016000001</v>
      </c>
      <c r="X18" s="431">
        <f t="shared" si="9"/>
        <v>757574.9016000001</v>
      </c>
      <c r="Y18" s="431">
        <f t="shared" si="9"/>
        <v>757574.9016000001</v>
      </c>
      <c r="Z18" s="431">
        <f t="shared" si="9"/>
        <v>757574.9016000001</v>
      </c>
      <c r="AA18" s="431">
        <f t="shared" si="9"/>
        <v>757574.9016000001</v>
      </c>
      <c r="AB18" s="431">
        <f t="shared" si="9"/>
        <v>757574.9016000001</v>
      </c>
      <c r="AC18" s="431">
        <f t="shared" si="9"/>
        <v>757574.9016000001</v>
      </c>
      <c r="AD18" s="431">
        <f t="shared" si="9"/>
        <v>757574.9016000001</v>
      </c>
      <c r="AE18" s="431">
        <f t="shared" si="9"/>
        <v>757574.9016000001</v>
      </c>
      <c r="AF18" s="431">
        <f t="shared" si="9"/>
        <v>757574.9016000001</v>
      </c>
      <c r="AG18" s="431">
        <f t="shared" si="9"/>
        <v>757574.9016000001</v>
      </c>
      <c r="AH18" s="431">
        <f t="shared" si="9"/>
        <v>757574.9016000001</v>
      </c>
      <c r="AI18" s="431">
        <f t="shared" si="9"/>
        <v>757574.9016000001</v>
      </c>
      <c r="AJ18" s="431">
        <f t="shared" si="9"/>
        <v>757574.9016000001</v>
      </c>
      <c r="AK18" s="431">
        <f t="shared" si="9"/>
        <v>757574.9016000001</v>
      </c>
      <c r="AL18" s="431">
        <f t="shared" si="9"/>
        <v>757574.9016000001</v>
      </c>
      <c r="AM18" s="431">
        <f t="shared" si="9"/>
        <v>757574.9016000001</v>
      </c>
      <c r="AN18" s="431">
        <f t="shared" si="9"/>
        <v>757574.9016000001</v>
      </c>
      <c r="AO18" s="431">
        <f t="shared" si="9"/>
        <v>757574.9016000001</v>
      </c>
      <c r="AP18" s="431">
        <f t="shared" si="9"/>
        <v>757574.9016000001</v>
      </c>
      <c r="AQ18" s="431">
        <f t="shared" si="9"/>
        <v>757574.9016000001</v>
      </c>
      <c r="AR18" s="431">
        <f t="shared" si="9"/>
        <v>757574.9016000001</v>
      </c>
      <c r="AS18" s="431">
        <f t="shared" si="9"/>
        <v>757574.9016000001</v>
      </c>
      <c r="AT18" s="431">
        <f t="shared" si="9"/>
        <v>757574.9016000001</v>
      </c>
      <c r="AU18" s="432">
        <f t="shared" ref="AU18" si="10">$F$18*AU10</f>
        <v>757574.9016000001</v>
      </c>
    </row>
    <row r="19" spans="1:47" x14ac:dyDescent="0.2">
      <c r="A19" s="410"/>
      <c r="B19" s="425" t="s">
        <v>267</v>
      </c>
      <c r="C19" s="426" t="s">
        <v>226</v>
      </c>
      <c r="D19" s="427">
        <f>1.93*1.123</f>
        <v>2.1673899999999997</v>
      </c>
      <c r="E19" s="428">
        <f>C11</f>
        <v>366630</v>
      </c>
      <c r="F19" s="429">
        <f t="shared" si="8"/>
        <v>794630.19569999992</v>
      </c>
      <c r="G19" s="681"/>
      <c r="H19" s="430">
        <f>$F$19*H10</f>
        <v>6357041.5655999994</v>
      </c>
      <c r="I19" s="431">
        <f t="shared" ref="I19:AT19" si="11">$F$19*I10</f>
        <v>6357041.5655999994</v>
      </c>
      <c r="J19" s="431">
        <f t="shared" si="11"/>
        <v>6357041.5655999994</v>
      </c>
      <c r="K19" s="431">
        <f t="shared" si="11"/>
        <v>6357041.5655999994</v>
      </c>
      <c r="L19" s="431">
        <f t="shared" si="11"/>
        <v>3178520.7827999997</v>
      </c>
      <c r="M19" s="431">
        <f t="shared" si="11"/>
        <v>794630.19569999992</v>
      </c>
      <c r="N19" s="431">
        <f t="shared" si="11"/>
        <v>794630.19569999992</v>
      </c>
      <c r="O19" s="431">
        <f t="shared" si="11"/>
        <v>794630.19569999992</v>
      </c>
      <c r="P19" s="431">
        <f t="shared" si="11"/>
        <v>794630.19569999992</v>
      </c>
      <c r="Q19" s="431">
        <f t="shared" si="11"/>
        <v>794630.19569999992</v>
      </c>
      <c r="R19" s="431">
        <f t="shared" si="11"/>
        <v>794630.19569999992</v>
      </c>
      <c r="S19" s="431">
        <f t="shared" si="11"/>
        <v>794630.19569999992</v>
      </c>
      <c r="T19" s="431">
        <f t="shared" si="11"/>
        <v>794630.19569999992</v>
      </c>
      <c r="U19" s="431">
        <f t="shared" si="11"/>
        <v>794630.19569999992</v>
      </c>
      <c r="V19" s="431">
        <f t="shared" si="11"/>
        <v>794630.19569999992</v>
      </c>
      <c r="W19" s="431">
        <f t="shared" si="11"/>
        <v>794630.19569999992</v>
      </c>
      <c r="X19" s="431">
        <f t="shared" si="11"/>
        <v>794630.19569999992</v>
      </c>
      <c r="Y19" s="431">
        <f t="shared" si="11"/>
        <v>794630.19569999992</v>
      </c>
      <c r="Z19" s="431">
        <f t="shared" si="11"/>
        <v>794630.19569999992</v>
      </c>
      <c r="AA19" s="431">
        <f t="shared" si="11"/>
        <v>794630.19569999992</v>
      </c>
      <c r="AB19" s="431">
        <f t="shared" si="11"/>
        <v>794630.19569999992</v>
      </c>
      <c r="AC19" s="431">
        <f t="shared" si="11"/>
        <v>794630.19569999992</v>
      </c>
      <c r="AD19" s="431">
        <f t="shared" si="11"/>
        <v>794630.19569999992</v>
      </c>
      <c r="AE19" s="431">
        <f t="shared" si="11"/>
        <v>794630.19569999992</v>
      </c>
      <c r="AF19" s="431">
        <f t="shared" si="11"/>
        <v>794630.19569999992</v>
      </c>
      <c r="AG19" s="431">
        <f t="shared" si="11"/>
        <v>794630.19569999992</v>
      </c>
      <c r="AH19" s="431">
        <f t="shared" si="11"/>
        <v>794630.19569999992</v>
      </c>
      <c r="AI19" s="431">
        <f t="shared" si="11"/>
        <v>794630.19569999992</v>
      </c>
      <c r="AJ19" s="431">
        <f t="shared" si="11"/>
        <v>794630.19569999992</v>
      </c>
      <c r="AK19" s="431">
        <f t="shared" si="11"/>
        <v>794630.19569999992</v>
      </c>
      <c r="AL19" s="431">
        <f t="shared" si="11"/>
        <v>794630.19569999992</v>
      </c>
      <c r="AM19" s="431">
        <f t="shared" si="11"/>
        <v>794630.19569999992</v>
      </c>
      <c r="AN19" s="431">
        <f t="shared" si="11"/>
        <v>794630.19569999992</v>
      </c>
      <c r="AO19" s="431">
        <f t="shared" si="11"/>
        <v>794630.19569999992</v>
      </c>
      <c r="AP19" s="431">
        <f t="shared" si="11"/>
        <v>794630.19569999992</v>
      </c>
      <c r="AQ19" s="431">
        <f t="shared" si="11"/>
        <v>794630.19569999992</v>
      </c>
      <c r="AR19" s="431">
        <f t="shared" si="11"/>
        <v>794630.19569999992</v>
      </c>
      <c r="AS19" s="431">
        <f t="shared" si="11"/>
        <v>794630.19569999992</v>
      </c>
      <c r="AT19" s="431">
        <f t="shared" si="11"/>
        <v>794630.19569999992</v>
      </c>
      <c r="AU19" s="432">
        <f t="shared" ref="AU19" si="12">$F$19*AU10</f>
        <v>794630.19569999992</v>
      </c>
    </row>
    <row r="20" spans="1:47" ht="13.5" thickBot="1" x14ac:dyDescent="0.25">
      <c r="A20" s="410"/>
      <c r="B20" s="472" t="s">
        <v>657</v>
      </c>
      <c r="C20" s="476" t="s">
        <v>226</v>
      </c>
      <c r="D20" s="477"/>
      <c r="E20" s="478"/>
      <c r="F20" s="479"/>
      <c r="G20" s="681"/>
      <c r="H20" s="438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40"/>
    </row>
    <row r="21" spans="1:47" ht="13.5" thickTop="1" x14ac:dyDescent="0.2">
      <c r="A21" s="410"/>
      <c r="B21" s="441" t="s">
        <v>655</v>
      </c>
      <c r="C21" s="473" t="s">
        <v>226</v>
      </c>
      <c r="D21" s="443">
        <f>1.12*1.123</f>
        <v>1.2577600000000002</v>
      </c>
      <c r="E21" s="444">
        <f>C11</f>
        <v>366630</v>
      </c>
      <c r="F21" s="445">
        <f t="shared" ref="F21" si="13">D21*E21</f>
        <v>461132.54880000011</v>
      </c>
      <c r="G21" s="681"/>
      <c r="H21" s="560">
        <f>$F$21*H10</f>
        <v>3689060.3904000008</v>
      </c>
      <c r="I21" s="552">
        <f t="shared" ref="I21:AT21" si="14">$F$21*I10</f>
        <v>3689060.3904000008</v>
      </c>
      <c r="J21" s="552">
        <f t="shared" si="14"/>
        <v>3689060.3904000008</v>
      </c>
      <c r="K21" s="552">
        <f t="shared" si="14"/>
        <v>3689060.3904000008</v>
      </c>
      <c r="L21" s="552">
        <f t="shared" si="14"/>
        <v>1844530.1952000004</v>
      </c>
      <c r="M21" s="552">
        <f t="shared" si="14"/>
        <v>461132.54880000011</v>
      </c>
      <c r="N21" s="552">
        <f t="shared" si="14"/>
        <v>461132.54880000011</v>
      </c>
      <c r="O21" s="552">
        <f t="shared" si="14"/>
        <v>461132.54880000011</v>
      </c>
      <c r="P21" s="552">
        <f t="shared" si="14"/>
        <v>461132.54880000011</v>
      </c>
      <c r="Q21" s="552">
        <f t="shared" si="14"/>
        <v>461132.54880000011</v>
      </c>
      <c r="R21" s="552">
        <f t="shared" si="14"/>
        <v>461132.54880000011</v>
      </c>
      <c r="S21" s="552">
        <f t="shared" si="14"/>
        <v>461132.54880000011</v>
      </c>
      <c r="T21" s="552">
        <f t="shared" si="14"/>
        <v>461132.54880000011</v>
      </c>
      <c r="U21" s="552">
        <f t="shared" si="14"/>
        <v>461132.54880000011</v>
      </c>
      <c r="V21" s="552">
        <f t="shared" si="14"/>
        <v>461132.54880000011</v>
      </c>
      <c r="W21" s="552">
        <f t="shared" si="14"/>
        <v>461132.54880000011</v>
      </c>
      <c r="X21" s="552">
        <f t="shared" si="14"/>
        <v>461132.54880000011</v>
      </c>
      <c r="Y21" s="552">
        <f t="shared" si="14"/>
        <v>461132.54880000011</v>
      </c>
      <c r="Z21" s="552">
        <f t="shared" si="14"/>
        <v>461132.54880000011</v>
      </c>
      <c r="AA21" s="552">
        <f t="shared" si="14"/>
        <v>461132.54880000011</v>
      </c>
      <c r="AB21" s="552">
        <f t="shared" si="14"/>
        <v>461132.54880000011</v>
      </c>
      <c r="AC21" s="552">
        <f t="shared" si="14"/>
        <v>461132.54880000011</v>
      </c>
      <c r="AD21" s="552">
        <f t="shared" si="14"/>
        <v>461132.54880000011</v>
      </c>
      <c r="AE21" s="552">
        <f t="shared" si="14"/>
        <v>461132.54880000011</v>
      </c>
      <c r="AF21" s="552">
        <f t="shared" si="14"/>
        <v>461132.54880000011</v>
      </c>
      <c r="AG21" s="552">
        <f t="shared" si="14"/>
        <v>461132.54880000011</v>
      </c>
      <c r="AH21" s="552">
        <f t="shared" si="14"/>
        <v>461132.54880000011</v>
      </c>
      <c r="AI21" s="552">
        <f t="shared" si="14"/>
        <v>461132.54880000011</v>
      </c>
      <c r="AJ21" s="552">
        <f t="shared" si="14"/>
        <v>461132.54880000011</v>
      </c>
      <c r="AK21" s="552">
        <f t="shared" si="14"/>
        <v>461132.54880000011</v>
      </c>
      <c r="AL21" s="552">
        <f t="shared" si="14"/>
        <v>461132.54880000011</v>
      </c>
      <c r="AM21" s="552">
        <f t="shared" si="14"/>
        <v>461132.54880000011</v>
      </c>
      <c r="AN21" s="552">
        <f t="shared" si="14"/>
        <v>461132.54880000011</v>
      </c>
      <c r="AO21" s="552">
        <f t="shared" si="14"/>
        <v>461132.54880000011</v>
      </c>
      <c r="AP21" s="552">
        <f t="shared" si="14"/>
        <v>461132.54880000011</v>
      </c>
      <c r="AQ21" s="552">
        <f t="shared" si="14"/>
        <v>461132.54880000011</v>
      </c>
      <c r="AR21" s="552">
        <f t="shared" si="14"/>
        <v>461132.54880000011</v>
      </c>
      <c r="AS21" s="552">
        <f t="shared" si="14"/>
        <v>461132.54880000011</v>
      </c>
      <c r="AT21" s="552">
        <f t="shared" si="14"/>
        <v>461132.54880000011</v>
      </c>
      <c r="AU21" s="553">
        <f t="shared" ref="AU21" si="15">$F$21*AU10</f>
        <v>461132.54880000011</v>
      </c>
    </row>
    <row r="22" spans="1:47" ht="13.5" thickBot="1" x14ac:dyDescent="0.25">
      <c r="A22" s="410"/>
      <c r="B22" s="463" t="s">
        <v>656</v>
      </c>
      <c r="C22" s="446" t="s">
        <v>226</v>
      </c>
      <c r="D22" s="474">
        <v>30000</v>
      </c>
      <c r="E22" s="588">
        <v>1</v>
      </c>
      <c r="F22" s="471">
        <f>D22*E22</f>
        <v>30000</v>
      </c>
      <c r="G22" s="682"/>
      <c r="H22" s="453">
        <f>$F$22*H10</f>
        <v>240000</v>
      </c>
      <c r="I22" s="454">
        <f t="shared" ref="I22:AT22" si="16">$F$22*I10</f>
        <v>240000</v>
      </c>
      <c r="J22" s="454">
        <f t="shared" si="16"/>
        <v>240000</v>
      </c>
      <c r="K22" s="454">
        <f t="shared" si="16"/>
        <v>240000</v>
      </c>
      <c r="L22" s="454">
        <f t="shared" si="16"/>
        <v>120000</v>
      </c>
      <c r="M22" s="454">
        <f t="shared" si="16"/>
        <v>30000</v>
      </c>
      <c r="N22" s="454">
        <f t="shared" si="16"/>
        <v>30000</v>
      </c>
      <c r="O22" s="454">
        <f t="shared" si="16"/>
        <v>30000</v>
      </c>
      <c r="P22" s="454">
        <f t="shared" si="16"/>
        <v>30000</v>
      </c>
      <c r="Q22" s="454">
        <f t="shared" si="16"/>
        <v>30000</v>
      </c>
      <c r="R22" s="454">
        <f t="shared" si="16"/>
        <v>30000</v>
      </c>
      <c r="S22" s="454">
        <f t="shared" si="16"/>
        <v>30000</v>
      </c>
      <c r="T22" s="454">
        <f t="shared" si="16"/>
        <v>30000</v>
      </c>
      <c r="U22" s="454">
        <f t="shared" si="16"/>
        <v>30000</v>
      </c>
      <c r="V22" s="454">
        <f t="shared" si="16"/>
        <v>30000</v>
      </c>
      <c r="W22" s="454">
        <f t="shared" si="16"/>
        <v>30000</v>
      </c>
      <c r="X22" s="454">
        <f t="shared" si="16"/>
        <v>30000</v>
      </c>
      <c r="Y22" s="454">
        <f t="shared" si="16"/>
        <v>30000</v>
      </c>
      <c r="Z22" s="454">
        <f t="shared" si="16"/>
        <v>30000</v>
      </c>
      <c r="AA22" s="454">
        <f t="shared" si="16"/>
        <v>30000</v>
      </c>
      <c r="AB22" s="454">
        <f t="shared" si="16"/>
        <v>30000</v>
      </c>
      <c r="AC22" s="454">
        <f t="shared" si="16"/>
        <v>30000</v>
      </c>
      <c r="AD22" s="454">
        <f t="shared" si="16"/>
        <v>30000</v>
      </c>
      <c r="AE22" s="454">
        <f t="shared" si="16"/>
        <v>30000</v>
      </c>
      <c r="AF22" s="454">
        <f t="shared" si="16"/>
        <v>30000</v>
      </c>
      <c r="AG22" s="454">
        <f t="shared" si="16"/>
        <v>30000</v>
      </c>
      <c r="AH22" s="454">
        <f t="shared" si="16"/>
        <v>30000</v>
      </c>
      <c r="AI22" s="454">
        <f t="shared" si="16"/>
        <v>30000</v>
      </c>
      <c r="AJ22" s="454">
        <f t="shared" si="16"/>
        <v>30000</v>
      </c>
      <c r="AK22" s="454">
        <f t="shared" si="16"/>
        <v>30000</v>
      </c>
      <c r="AL22" s="454">
        <f t="shared" si="16"/>
        <v>30000</v>
      </c>
      <c r="AM22" s="454">
        <f t="shared" si="16"/>
        <v>30000</v>
      </c>
      <c r="AN22" s="454">
        <f t="shared" si="16"/>
        <v>30000</v>
      </c>
      <c r="AO22" s="454">
        <f t="shared" si="16"/>
        <v>30000</v>
      </c>
      <c r="AP22" s="454">
        <f t="shared" si="16"/>
        <v>30000</v>
      </c>
      <c r="AQ22" s="454">
        <f t="shared" si="16"/>
        <v>30000</v>
      </c>
      <c r="AR22" s="454">
        <f t="shared" si="16"/>
        <v>30000</v>
      </c>
      <c r="AS22" s="454">
        <f t="shared" si="16"/>
        <v>30000</v>
      </c>
      <c r="AT22" s="454">
        <f t="shared" si="16"/>
        <v>30000</v>
      </c>
      <c r="AU22" s="455">
        <f t="shared" ref="AU22" si="17">$F$22*AU10</f>
        <v>30000</v>
      </c>
    </row>
    <row r="23" spans="1:47" x14ac:dyDescent="0.2">
      <c r="A23" s="410"/>
      <c r="B23" s="410" t="s">
        <v>663</v>
      </c>
      <c r="C23" s="410"/>
      <c r="D23" s="410"/>
      <c r="E23" s="410"/>
      <c r="F23" s="410"/>
      <c r="G23" s="410"/>
      <c r="H23" s="447"/>
      <c r="I23" s="447"/>
      <c r="J23" s="447"/>
      <c r="K23" s="447"/>
      <c r="L23" s="447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</row>
    <row r="24" spans="1:47" x14ac:dyDescent="0.2">
      <c r="A24" s="410"/>
      <c r="B24" s="410" t="s">
        <v>725</v>
      </c>
      <c r="C24" s="410"/>
      <c r="D24" s="410"/>
      <c r="E24" s="410"/>
      <c r="F24" s="410"/>
      <c r="G24" s="410"/>
      <c r="H24" s="447"/>
      <c r="I24" s="447"/>
      <c r="J24" s="447"/>
      <c r="K24" s="447"/>
      <c r="L24" s="447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</row>
    <row r="25" spans="1:47" ht="13.5" thickBot="1" x14ac:dyDescent="0.25">
      <c r="A25" s="410"/>
      <c r="B25" s="410"/>
      <c r="C25" s="456"/>
      <c r="D25" s="456"/>
      <c r="E25" s="456"/>
      <c r="F25" s="456"/>
      <c r="G25" s="456"/>
      <c r="H25" s="480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</row>
    <row r="26" spans="1:47" ht="13.35" customHeight="1" x14ac:dyDescent="0.2">
      <c r="A26" s="410"/>
      <c r="B26" s="674" t="s">
        <v>675</v>
      </c>
      <c r="C26" s="413" t="s">
        <v>678</v>
      </c>
      <c r="D26" s="676" t="s">
        <v>727</v>
      </c>
      <c r="E26" s="676" t="s">
        <v>724</v>
      </c>
      <c r="F26" s="679" t="s">
        <v>648</v>
      </c>
      <c r="G26" s="297" t="s">
        <v>649</v>
      </c>
      <c r="H26" s="414">
        <v>2026</v>
      </c>
      <c r="I26" s="296">
        <f>H26+1</f>
        <v>2027</v>
      </c>
      <c r="J26" s="296">
        <f>I26+1</f>
        <v>2028</v>
      </c>
      <c r="K26" s="296">
        <f t="shared" ref="K26:AI26" si="18">J26+1</f>
        <v>2029</v>
      </c>
      <c r="L26" s="296">
        <f t="shared" si="18"/>
        <v>2030</v>
      </c>
      <c r="M26" s="296">
        <f t="shared" si="18"/>
        <v>2031</v>
      </c>
      <c r="N26" s="296">
        <f t="shared" si="18"/>
        <v>2032</v>
      </c>
      <c r="O26" s="296">
        <f t="shared" si="18"/>
        <v>2033</v>
      </c>
      <c r="P26" s="296">
        <f t="shared" si="18"/>
        <v>2034</v>
      </c>
      <c r="Q26" s="296">
        <f t="shared" si="18"/>
        <v>2035</v>
      </c>
      <c r="R26" s="296">
        <f t="shared" si="18"/>
        <v>2036</v>
      </c>
      <c r="S26" s="296">
        <f t="shared" si="18"/>
        <v>2037</v>
      </c>
      <c r="T26" s="296">
        <f t="shared" si="18"/>
        <v>2038</v>
      </c>
      <c r="U26" s="296">
        <f t="shared" si="18"/>
        <v>2039</v>
      </c>
      <c r="V26" s="296">
        <f t="shared" si="18"/>
        <v>2040</v>
      </c>
      <c r="W26" s="296">
        <f t="shared" si="18"/>
        <v>2041</v>
      </c>
      <c r="X26" s="296">
        <f t="shared" si="18"/>
        <v>2042</v>
      </c>
      <c r="Y26" s="296">
        <f t="shared" si="18"/>
        <v>2043</v>
      </c>
      <c r="Z26" s="296">
        <f t="shared" si="18"/>
        <v>2044</v>
      </c>
      <c r="AA26" s="296">
        <f t="shared" si="18"/>
        <v>2045</v>
      </c>
      <c r="AB26" s="296">
        <f t="shared" si="18"/>
        <v>2046</v>
      </c>
      <c r="AC26" s="296">
        <f t="shared" si="18"/>
        <v>2047</v>
      </c>
      <c r="AD26" s="296">
        <f t="shared" si="18"/>
        <v>2048</v>
      </c>
      <c r="AE26" s="296">
        <f t="shared" si="18"/>
        <v>2049</v>
      </c>
      <c r="AF26" s="296">
        <f t="shared" si="18"/>
        <v>2050</v>
      </c>
      <c r="AG26" s="296">
        <f t="shared" si="18"/>
        <v>2051</v>
      </c>
      <c r="AH26" s="296">
        <f t="shared" si="18"/>
        <v>2052</v>
      </c>
      <c r="AI26" s="296">
        <f t="shared" si="18"/>
        <v>2053</v>
      </c>
      <c r="AJ26" s="296">
        <f>AI26+1</f>
        <v>2054</v>
      </c>
      <c r="AK26" s="296">
        <f>AJ26+1</f>
        <v>2055</v>
      </c>
      <c r="AL26" s="296">
        <f t="shared" ref="AL26:AU26" si="19">AK26+1</f>
        <v>2056</v>
      </c>
      <c r="AM26" s="296">
        <f t="shared" si="19"/>
        <v>2057</v>
      </c>
      <c r="AN26" s="296">
        <f t="shared" si="19"/>
        <v>2058</v>
      </c>
      <c r="AO26" s="296">
        <f t="shared" si="19"/>
        <v>2059</v>
      </c>
      <c r="AP26" s="296">
        <f t="shared" si="19"/>
        <v>2060</v>
      </c>
      <c r="AQ26" s="296">
        <f t="shared" si="19"/>
        <v>2061</v>
      </c>
      <c r="AR26" s="296">
        <f t="shared" si="19"/>
        <v>2062</v>
      </c>
      <c r="AS26" s="296">
        <f t="shared" si="19"/>
        <v>2063</v>
      </c>
      <c r="AT26" s="296">
        <f t="shared" si="19"/>
        <v>2064</v>
      </c>
      <c r="AU26" s="296">
        <f t="shared" si="19"/>
        <v>2065</v>
      </c>
    </row>
    <row r="27" spans="1:47" ht="22.5" x14ac:dyDescent="0.2">
      <c r="A27" s="410"/>
      <c r="B27" s="675"/>
      <c r="C27" s="415" t="s">
        <v>730</v>
      </c>
      <c r="D27" s="677"/>
      <c r="E27" s="677"/>
      <c r="F27" s="680"/>
      <c r="G27" s="448" t="s">
        <v>500</v>
      </c>
      <c r="H27" s="416"/>
      <c r="I27" s="416"/>
      <c r="J27" s="416"/>
      <c r="K27" s="416"/>
      <c r="L27" s="416">
        <v>4</v>
      </c>
      <c r="M27" s="416">
        <v>7</v>
      </c>
      <c r="N27" s="416">
        <v>7</v>
      </c>
      <c r="O27" s="416">
        <v>7</v>
      </c>
      <c r="P27" s="416">
        <v>7</v>
      </c>
      <c r="Q27" s="416">
        <v>7</v>
      </c>
      <c r="R27" s="416">
        <v>7</v>
      </c>
      <c r="S27" s="416">
        <v>7</v>
      </c>
      <c r="T27" s="416">
        <v>7</v>
      </c>
      <c r="U27" s="416">
        <v>7</v>
      </c>
      <c r="V27" s="416">
        <v>7</v>
      </c>
      <c r="W27" s="416">
        <v>7</v>
      </c>
      <c r="X27" s="416">
        <v>7</v>
      </c>
      <c r="Y27" s="416">
        <v>7</v>
      </c>
      <c r="Z27" s="416">
        <v>7</v>
      </c>
      <c r="AA27" s="416">
        <v>7</v>
      </c>
      <c r="AB27" s="416">
        <v>7</v>
      </c>
      <c r="AC27" s="416">
        <v>7</v>
      </c>
      <c r="AD27" s="416">
        <v>7</v>
      </c>
      <c r="AE27" s="416">
        <v>7</v>
      </c>
      <c r="AF27" s="416">
        <v>7</v>
      </c>
      <c r="AG27" s="416">
        <v>7</v>
      </c>
      <c r="AH27" s="416">
        <v>7</v>
      </c>
      <c r="AI27" s="416">
        <v>7</v>
      </c>
      <c r="AJ27" s="416">
        <v>7</v>
      </c>
      <c r="AK27" s="416">
        <v>7</v>
      </c>
      <c r="AL27" s="416">
        <v>7</v>
      </c>
      <c r="AM27" s="416">
        <v>7</v>
      </c>
      <c r="AN27" s="416">
        <v>7</v>
      </c>
      <c r="AO27" s="416">
        <v>7</v>
      </c>
      <c r="AP27" s="416">
        <v>7</v>
      </c>
      <c r="AQ27" s="416">
        <v>7</v>
      </c>
      <c r="AR27" s="416">
        <v>7</v>
      </c>
      <c r="AS27" s="416">
        <v>7</v>
      </c>
      <c r="AT27" s="416">
        <v>7</v>
      </c>
      <c r="AU27" s="416">
        <v>7</v>
      </c>
    </row>
    <row r="28" spans="1:47" ht="13.5" thickBot="1" x14ac:dyDescent="0.25">
      <c r="A28" s="410"/>
      <c r="B28" s="418" t="s">
        <v>650</v>
      </c>
      <c r="C28" s="419">
        <f>363*1010</f>
        <v>366630</v>
      </c>
      <c r="D28" s="678"/>
      <c r="E28" s="678"/>
      <c r="F28" s="693"/>
      <c r="G28" s="449" t="s">
        <v>499</v>
      </c>
      <c r="H28" s="558"/>
      <c r="I28" s="558"/>
      <c r="J28" s="558"/>
      <c r="K28" s="558"/>
      <c r="L28" s="558">
        <v>4</v>
      </c>
      <c r="M28" s="558">
        <v>7</v>
      </c>
      <c r="N28" s="558">
        <v>7</v>
      </c>
      <c r="O28" s="558">
        <v>7</v>
      </c>
      <c r="P28" s="558">
        <v>7</v>
      </c>
      <c r="Q28" s="558">
        <v>7</v>
      </c>
      <c r="R28" s="558">
        <v>7</v>
      </c>
      <c r="S28" s="558">
        <v>7</v>
      </c>
      <c r="T28" s="558">
        <v>7</v>
      </c>
      <c r="U28" s="558">
        <v>7</v>
      </c>
      <c r="V28" s="558">
        <v>7</v>
      </c>
      <c r="W28" s="558">
        <v>7</v>
      </c>
      <c r="X28" s="558">
        <v>7</v>
      </c>
      <c r="Y28" s="558">
        <v>7</v>
      </c>
      <c r="Z28" s="558">
        <v>7</v>
      </c>
      <c r="AA28" s="558">
        <v>7</v>
      </c>
      <c r="AB28" s="558">
        <v>7</v>
      </c>
      <c r="AC28" s="558">
        <v>7</v>
      </c>
      <c r="AD28" s="558">
        <v>7</v>
      </c>
      <c r="AE28" s="558">
        <v>7</v>
      </c>
      <c r="AF28" s="558">
        <v>7</v>
      </c>
      <c r="AG28" s="558">
        <v>7</v>
      </c>
      <c r="AH28" s="558">
        <v>7</v>
      </c>
      <c r="AI28" s="558">
        <v>7</v>
      </c>
      <c r="AJ28" s="558">
        <v>7</v>
      </c>
      <c r="AK28" s="558">
        <v>7</v>
      </c>
      <c r="AL28" s="558">
        <v>7</v>
      </c>
      <c r="AM28" s="558">
        <v>7</v>
      </c>
      <c r="AN28" s="558">
        <v>7</v>
      </c>
      <c r="AO28" s="558">
        <v>7</v>
      </c>
      <c r="AP28" s="558">
        <v>7</v>
      </c>
      <c r="AQ28" s="558">
        <v>7</v>
      </c>
      <c r="AR28" s="558">
        <v>7</v>
      </c>
      <c r="AS28" s="558">
        <v>7</v>
      </c>
      <c r="AT28" s="558">
        <v>7</v>
      </c>
      <c r="AU28" s="558">
        <v>7</v>
      </c>
    </row>
    <row r="29" spans="1:47" x14ac:dyDescent="0.2">
      <c r="A29" s="410"/>
      <c r="B29" s="420" t="s">
        <v>651</v>
      </c>
      <c r="C29" s="421" t="s">
        <v>226</v>
      </c>
      <c r="D29" s="422">
        <f>2.66*1.123</f>
        <v>2.9871799999999999</v>
      </c>
      <c r="E29" s="482">
        <f>C28</f>
        <v>366630</v>
      </c>
      <c r="F29" s="475">
        <f>D29*E29</f>
        <v>1095189.8034000001</v>
      </c>
      <c r="G29" s="681"/>
      <c r="H29" s="481"/>
      <c r="I29" s="562"/>
      <c r="J29" s="562"/>
      <c r="K29" s="562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50">
        <f>$F$29*W27</f>
        <v>7666328.6238000002</v>
      </c>
      <c r="X29" s="550">
        <f t="shared" ref="X29:AU29" si="20">$F$29*X27</f>
        <v>7666328.6238000002</v>
      </c>
      <c r="Y29" s="550">
        <f t="shared" si="20"/>
        <v>7666328.6238000002</v>
      </c>
      <c r="Z29" s="550">
        <f t="shared" si="20"/>
        <v>7666328.6238000002</v>
      </c>
      <c r="AA29" s="550">
        <f t="shared" si="20"/>
        <v>7666328.6238000002</v>
      </c>
      <c r="AB29" s="550">
        <f t="shared" si="20"/>
        <v>7666328.6238000002</v>
      </c>
      <c r="AC29" s="550">
        <f t="shared" si="20"/>
        <v>7666328.6238000002</v>
      </c>
      <c r="AD29" s="550">
        <f t="shared" si="20"/>
        <v>7666328.6238000002</v>
      </c>
      <c r="AE29" s="550">
        <f t="shared" si="20"/>
        <v>7666328.6238000002</v>
      </c>
      <c r="AF29" s="550">
        <f t="shared" si="20"/>
        <v>7666328.6238000002</v>
      </c>
      <c r="AG29" s="550">
        <f t="shared" si="20"/>
        <v>7666328.6238000002</v>
      </c>
      <c r="AH29" s="550">
        <f t="shared" si="20"/>
        <v>7666328.6238000002</v>
      </c>
      <c r="AI29" s="550">
        <f t="shared" si="20"/>
        <v>7666328.6238000002</v>
      </c>
      <c r="AJ29" s="550">
        <f t="shared" si="20"/>
        <v>7666328.6238000002</v>
      </c>
      <c r="AK29" s="550">
        <f t="shared" si="20"/>
        <v>7666328.6238000002</v>
      </c>
      <c r="AL29" s="550">
        <f t="shared" si="20"/>
        <v>7666328.6238000002</v>
      </c>
      <c r="AM29" s="550">
        <f t="shared" si="20"/>
        <v>7666328.6238000002</v>
      </c>
      <c r="AN29" s="550">
        <f t="shared" si="20"/>
        <v>7666328.6238000002</v>
      </c>
      <c r="AO29" s="550">
        <f t="shared" si="20"/>
        <v>7666328.6238000002</v>
      </c>
      <c r="AP29" s="550">
        <f t="shared" si="20"/>
        <v>7666328.6238000002</v>
      </c>
      <c r="AQ29" s="550">
        <f t="shared" si="20"/>
        <v>7666328.6238000002</v>
      </c>
      <c r="AR29" s="550">
        <f t="shared" si="20"/>
        <v>7666328.6238000002</v>
      </c>
      <c r="AS29" s="550">
        <f t="shared" si="20"/>
        <v>7666328.6238000002</v>
      </c>
      <c r="AT29" s="550">
        <f t="shared" si="20"/>
        <v>7666328.6238000002</v>
      </c>
      <c r="AU29" s="551">
        <f t="shared" si="20"/>
        <v>7666328.6238000002</v>
      </c>
    </row>
    <row r="30" spans="1:47" x14ac:dyDescent="0.2">
      <c r="A30" s="410"/>
      <c r="B30" s="425" t="s">
        <v>652</v>
      </c>
      <c r="C30" s="426" t="s">
        <v>226</v>
      </c>
      <c r="D30" s="514">
        <v>3.01</v>
      </c>
      <c r="E30" s="482">
        <f>C28</f>
        <v>366630</v>
      </c>
      <c r="F30" s="475">
        <f>D30*E30</f>
        <v>1103556.2999999998</v>
      </c>
      <c r="G30" s="681"/>
      <c r="H30" s="430">
        <f>$F$30*H27</f>
        <v>0</v>
      </c>
      <c r="I30" s="431">
        <f t="shared" ref="I30:T30" si="21">$F$30*I27</f>
        <v>0</v>
      </c>
      <c r="J30" s="431">
        <f t="shared" si="21"/>
        <v>0</v>
      </c>
      <c r="K30" s="431">
        <f t="shared" si="21"/>
        <v>0</v>
      </c>
      <c r="L30" s="431">
        <f t="shared" si="21"/>
        <v>4414225.1999999993</v>
      </c>
      <c r="M30" s="431">
        <f t="shared" si="21"/>
        <v>7724894.0999999987</v>
      </c>
      <c r="N30" s="431">
        <f t="shared" si="21"/>
        <v>7724894.0999999987</v>
      </c>
      <c r="O30" s="431">
        <f t="shared" si="21"/>
        <v>7724894.0999999987</v>
      </c>
      <c r="P30" s="431">
        <f t="shared" si="21"/>
        <v>7724894.0999999987</v>
      </c>
      <c r="Q30" s="431">
        <f t="shared" si="21"/>
        <v>7724894.0999999987</v>
      </c>
      <c r="R30" s="431">
        <f t="shared" si="21"/>
        <v>7724894.0999999987</v>
      </c>
      <c r="S30" s="431">
        <f t="shared" si="21"/>
        <v>7724894.0999999987</v>
      </c>
      <c r="T30" s="431">
        <f t="shared" si="21"/>
        <v>7724894.0999999987</v>
      </c>
      <c r="U30" s="431">
        <f>$F$29*U27</f>
        <v>7666328.6238000002</v>
      </c>
      <c r="V30" s="431">
        <f t="shared" ref="V30" si="22">$F$29*V27</f>
        <v>7666328.6238000002</v>
      </c>
      <c r="W30" s="431"/>
      <c r="X30" s="431">
        <v>0</v>
      </c>
      <c r="Y30" s="431">
        <v>0</v>
      </c>
      <c r="Z30" s="431">
        <v>0</v>
      </c>
      <c r="AA30" s="431">
        <v>0</v>
      </c>
      <c r="AB30" s="431">
        <v>0</v>
      </c>
      <c r="AC30" s="431">
        <v>0</v>
      </c>
      <c r="AD30" s="431">
        <v>0</v>
      </c>
      <c r="AE30" s="431">
        <v>0</v>
      </c>
      <c r="AF30" s="431">
        <v>0</v>
      </c>
      <c r="AG30" s="431">
        <v>0</v>
      </c>
      <c r="AH30" s="431">
        <v>0</v>
      </c>
      <c r="AI30" s="431">
        <v>0</v>
      </c>
      <c r="AJ30" s="431">
        <v>0</v>
      </c>
      <c r="AK30" s="431">
        <v>0</v>
      </c>
      <c r="AL30" s="431">
        <v>0</v>
      </c>
      <c r="AM30" s="431">
        <v>0</v>
      </c>
      <c r="AN30" s="431">
        <v>0</v>
      </c>
      <c r="AO30" s="431">
        <v>0</v>
      </c>
      <c r="AP30" s="431">
        <v>0</v>
      </c>
      <c r="AQ30" s="431">
        <v>0</v>
      </c>
      <c r="AR30" s="431">
        <v>0</v>
      </c>
      <c r="AS30" s="431">
        <v>0</v>
      </c>
      <c r="AT30" s="431">
        <v>0</v>
      </c>
      <c r="AU30" s="432">
        <v>0</v>
      </c>
    </row>
    <row r="31" spans="1:47" x14ac:dyDescent="0.2">
      <c r="A31" s="410"/>
      <c r="B31" s="425" t="s">
        <v>653</v>
      </c>
      <c r="C31" s="426" t="s">
        <v>226</v>
      </c>
      <c r="D31" s="427">
        <f>0.64*1.123</f>
        <v>0.71872000000000003</v>
      </c>
      <c r="E31" s="428">
        <f>C28</f>
        <v>366630</v>
      </c>
      <c r="F31" s="429">
        <f>D31*E31</f>
        <v>263504.31359999999</v>
      </c>
      <c r="G31" s="681"/>
      <c r="H31" s="430">
        <f>$F$31*H27</f>
        <v>0</v>
      </c>
      <c r="I31" s="431">
        <f t="shared" ref="I31:AU31" si="23">$F$31*I27</f>
        <v>0</v>
      </c>
      <c r="J31" s="431">
        <f t="shared" si="23"/>
        <v>0</v>
      </c>
      <c r="K31" s="431">
        <f t="shared" si="23"/>
        <v>0</v>
      </c>
      <c r="L31" s="431">
        <f t="shared" si="23"/>
        <v>1054017.2544</v>
      </c>
      <c r="M31" s="431">
        <f t="shared" si="23"/>
        <v>1844530.1952</v>
      </c>
      <c r="N31" s="431">
        <f t="shared" si="23"/>
        <v>1844530.1952</v>
      </c>
      <c r="O31" s="431">
        <f t="shared" si="23"/>
        <v>1844530.1952</v>
      </c>
      <c r="P31" s="431">
        <f t="shared" si="23"/>
        <v>1844530.1952</v>
      </c>
      <c r="Q31" s="431">
        <f t="shared" si="23"/>
        <v>1844530.1952</v>
      </c>
      <c r="R31" s="431">
        <f t="shared" si="23"/>
        <v>1844530.1952</v>
      </c>
      <c r="S31" s="431">
        <f t="shared" si="23"/>
        <v>1844530.1952</v>
      </c>
      <c r="T31" s="431">
        <f t="shared" si="23"/>
        <v>1844530.1952</v>
      </c>
      <c r="U31" s="431">
        <f t="shared" si="23"/>
        <v>1844530.1952</v>
      </c>
      <c r="V31" s="431">
        <f t="shared" si="23"/>
        <v>1844530.1952</v>
      </c>
      <c r="W31" s="431">
        <f t="shared" si="23"/>
        <v>1844530.1952</v>
      </c>
      <c r="X31" s="431">
        <f t="shared" si="23"/>
        <v>1844530.1952</v>
      </c>
      <c r="Y31" s="431">
        <f t="shared" si="23"/>
        <v>1844530.1952</v>
      </c>
      <c r="Z31" s="431">
        <f t="shared" si="23"/>
        <v>1844530.1952</v>
      </c>
      <c r="AA31" s="431">
        <f t="shared" si="23"/>
        <v>1844530.1952</v>
      </c>
      <c r="AB31" s="431">
        <f t="shared" si="23"/>
        <v>1844530.1952</v>
      </c>
      <c r="AC31" s="431">
        <f t="shared" si="23"/>
        <v>1844530.1952</v>
      </c>
      <c r="AD31" s="431">
        <f t="shared" si="23"/>
        <v>1844530.1952</v>
      </c>
      <c r="AE31" s="431">
        <f t="shared" si="23"/>
        <v>1844530.1952</v>
      </c>
      <c r="AF31" s="431">
        <f t="shared" si="23"/>
        <v>1844530.1952</v>
      </c>
      <c r="AG31" s="431">
        <f t="shared" si="23"/>
        <v>1844530.1952</v>
      </c>
      <c r="AH31" s="431">
        <f t="shared" si="23"/>
        <v>1844530.1952</v>
      </c>
      <c r="AI31" s="431">
        <f t="shared" si="23"/>
        <v>1844530.1952</v>
      </c>
      <c r="AJ31" s="431">
        <f t="shared" si="23"/>
        <v>1844530.1952</v>
      </c>
      <c r="AK31" s="431">
        <f t="shared" si="23"/>
        <v>1844530.1952</v>
      </c>
      <c r="AL31" s="431">
        <f t="shared" si="23"/>
        <v>1844530.1952</v>
      </c>
      <c r="AM31" s="431">
        <f t="shared" si="23"/>
        <v>1844530.1952</v>
      </c>
      <c r="AN31" s="431">
        <f t="shared" si="23"/>
        <v>1844530.1952</v>
      </c>
      <c r="AO31" s="431">
        <f t="shared" si="23"/>
        <v>1844530.1952</v>
      </c>
      <c r="AP31" s="431">
        <f t="shared" si="23"/>
        <v>1844530.1952</v>
      </c>
      <c r="AQ31" s="431">
        <f t="shared" si="23"/>
        <v>1844530.1952</v>
      </c>
      <c r="AR31" s="431">
        <f t="shared" si="23"/>
        <v>1844530.1952</v>
      </c>
      <c r="AS31" s="431">
        <f t="shared" si="23"/>
        <v>1844530.1952</v>
      </c>
      <c r="AT31" s="431">
        <f t="shared" si="23"/>
        <v>1844530.1952</v>
      </c>
      <c r="AU31" s="432">
        <f t="shared" si="23"/>
        <v>1844530.1952</v>
      </c>
    </row>
    <row r="32" spans="1:47" x14ac:dyDescent="0.2">
      <c r="A32" s="411"/>
      <c r="B32" s="425" t="s">
        <v>234</v>
      </c>
      <c r="C32" s="426" t="s">
        <v>226</v>
      </c>
      <c r="D32" s="433"/>
      <c r="E32" s="459"/>
      <c r="F32" s="460"/>
      <c r="G32" s="681"/>
      <c r="H32" s="450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2"/>
    </row>
    <row r="33" spans="1:60" x14ac:dyDescent="0.2">
      <c r="A33" s="410"/>
      <c r="B33" s="425" t="s">
        <v>237</v>
      </c>
      <c r="C33" s="426" t="s">
        <v>226</v>
      </c>
      <c r="D33" s="434">
        <f>Vstupy!E16*0.1</f>
        <v>1.292</v>
      </c>
      <c r="E33" s="483">
        <f>C28</f>
        <v>366630</v>
      </c>
      <c r="F33" s="484">
        <f>D33*E33</f>
        <v>473685.96</v>
      </c>
      <c r="G33" s="681"/>
      <c r="H33" s="430">
        <f>$F$33*H28</f>
        <v>0</v>
      </c>
      <c r="I33" s="431">
        <f t="shared" ref="I33:AU33" si="24">$F$33*I28</f>
        <v>0</v>
      </c>
      <c r="J33" s="431">
        <f t="shared" si="24"/>
        <v>0</v>
      </c>
      <c r="K33" s="431">
        <f t="shared" si="24"/>
        <v>0</v>
      </c>
      <c r="L33" s="431">
        <f t="shared" si="24"/>
        <v>1894743.84</v>
      </c>
      <c r="M33" s="431">
        <f t="shared" si="24"/>
        <v>3315801.72</v>
      </c>
      <c r="N33" s="431">
        <f t="shared" si="24"/>
        <v>3315801.72</v>
      </c>
      <c r="O33" s="431">
        <f t="shared" si="24"/>
        <v>3315801.72</v>
      </c>
      <c r="P33" s="431">
        <f t="shared" si="24"/>
        <v>3315801.72</v>
      </c>
      <c r="Q33" s="431">
        <f t="shared" si="24"/>
        <v>3315801.72</v>
      </c>
      <c r="R33" s="431">
        <f t="shared" si="24"/>
        <v>3315801.72</v>
      </c>
      <c r="S33" s="431">
        <f t="shared" si="24"/>
        <v>3315801.72</v>
      </c>
      <c r="T33" s="431">
        <f t="shared" si="24"/>
        <v>3315801.72</v>
      </c>
      <c r="U33" s="431">
        <f t="shared" si="24"/>
        <v>3315801.72</v>
      </c>
      <c r="V33" s="431">
        <f t="shared" si="24"/>
        <v>3315801.72</v>
      </c>
      <c r="W33" s="431">
        <f t="shared" si="24"/>
        <v>3315801.72</v>
      </c>
      <c r="X33" s="431">
        <f t="shared" si="24"/>
        <v>3315801.72</v>
      </c>
      <c r="Y33" s="431">
        <f t="shared" si="24"/>
        <v>3315801.72</v>
      </c>
      <c r="Z33" s="431">
        <f t="shared" si="24"/>
        <v>3315801.72</v>
      </c>
      <c r="AA33" s="431">
        <f t="shared" si="24"/>
        <v>3315801.72</v>
      </c>
      <c r="AB33" s="431">
        <f t="shared" si="24"/>
        <v>3315801.72</v>
      </c>
      <c r="AC33" s="431">
        <f t="shared" si="24"/>
        <v>3315801.72</v>
      </c>
      <c r="AD33" s="431">
        <f t="shared" si="24"/>
        <v>3315801.72</v>
      </c>
      <c r="AE33" s="431">
        <f t="shared" si="24"/>
        <v>3315801.72</v>
      </c>
      <c r="AF33" s="431">
        <f t="shared" si="24"/>
        <v>3315801.72</v>
      </c>
      <c r="AG33" s="431">
        <f t="shared" si="24"/>
        <v>3315801.72</v>
      </c>
      <c r="AH33" s="431">
        <f t="shared" si="24"/>
        <v>3315801.72</v>
      </c>
      <c r="AI33" s="431">
        <f t="shared" si="24"/>
        <v>3315801.72</v>
      </c>
      <c r="AJ33" s="431">
        <f t="shared" si="24"/>
        <v>3315801.72</v>
      </c>
      <c r="AK33" s="431">
        <f t="shared" si="24"/>
        <v>3315801.72</v>
      </c>
      <c r="AL33" s="431">
        <f t="shared" si="24"/>
        <v>3315801.72</v>
      </c>
      <c r="AM33" s="431">
        <f t="shared" si="24"/>
        <v>3315801.72</v>
      </c>
      <c r="AN33" s="431">
        <f t="shared" si="24"/>
        <v>3315801.72</v>
      </c>
      <c r="AO33" s="431">
        <f t="shared" si="24"/>
        <v>3315801.72</v>
      </c>
      <c r="AP33" s="431">
        <f t="shared" si="24"/>
        <v>3315801.72</v>
      </c>
      <c r="AQ33" s="431">
        <f t="shared" si="24"/>
        <v>3315801.72</v>
      </c>
      <c r="AR33" s="431">
        <f t="shared" si="24"/>
        <v>3315801.72</v>
      </c>
      <c r="AS33" s="431">
        <f t="shared" si="24"/>
        <v>3315801.72</v>
      </c>
      <c r="AT33" s="431">
        <f t="shared" si="24"/>
        <v>3315801.72</v>
      </c>
      <c r="AU33" s="432">
        <f t="shared" si="24"/>
        <v>3315801.72</v>
      </c>
      <c r="BC33" s="412"/>
      <c r="BD33" s="412"/>
      <c r="BE33" s="412"/>
      <c r="BF33" s="412"/>
      <c r="BG33" s="412"/>
      <c r="BH33" s="412"/>
    </row>
    <row r="34" spans="1:60" x14ac:dyDescent="0.2">
      <c r="A34" s="410"/>
      <c r="B34" s="425" t="s">
        <v>654</v>
      </c>
      <c r="C34" s="426" t="s">
        <v>226</v>
      </c>
      <c r="D34" s="434">
        <f>0.36*1.123</f>
        <v>0.40427999999999997</v>
      </c>
      <c r="E34" s="483">
        <f>C28</f>
        <v>366630</v>
      </c>
      <c r="F34" s="484">
        <f>D34*E34</f>
        <v>148221.1764</v>
      </c>
      <c r="G34" s="681"/>
      <c r="H34" s="430">
        <f>$F$34*H27</f>
        <v>0</v>
      </c>
      <c r="I34" s="431">
        <f t="shared" ref="I34:AT34" si="25">$F$34*I27</f>
        <v>0</v>
      </c>
      <c r="J34" s="431">
        <f t="shared" si="25"/>
        <v>0</v>
      </c>
      <c r="K34" s="431">
        <f t="shared" si="25"/>
        <v>0</v>
      </c>
      <c r="L34" s="431">
        <f t="shared" si="25"/>
        <v>592884.70559999999</v>
      </c>
      <c r="M34" s="431">
        <f t="shared" si="25"/>
        <v>1037548.2348</v>
      </c>
      <c r="N34" s="431">
        <f t="shared" si="25"/>
        <v>1037548.2348</v>
      </c>
      <c r="O34" s="431">
        <f t="shared" si="25"/>
        <v>1037548.2348</v>
      </c>
      <c r="P34" s="431">
        <f t="shared" si="25"/>
        <v>1037548.2348</v>
      </c>
      <c r="Q34" s="431">
        <f t="shared" si="25"/>
        <v>1037548.2348</v>
      </c>
      <c r="R34" s="431">
        <f t="shared" si="25"/>
        <v>1037548.2348</v>
      </c>
      <c r="S34" s="431">
        <f t="shared" si="25"/>
        <v>1037548.2348</v>
      </c>
      <c r="T34" s="431">
        <f t="shared" si="25"/>
        <v>1037548.2348</v>
      </c>
      <c r="U34" s="431">
        <f t="shared" si="25"/>
        <v>1037548.2348</v>
      </c>
      <c r="V34" s="431">
        <f t="shared" si="25"/>
        <v>1037548.2348</v>
      </c>
      <c r="W34" s="431">
        <f t="shared" si="25"/>
        <v>1037548.2348</v>
      </c>
      <c r="X34" s="431">
        <f t="shared" si="25"/>
        <v>1037548.2348</v>
      </c>
      <c r="Y34" s="431">
        <f t="shared" si="25"/>
        <v>1037548.2348</v>
      </c>
      <c r="Z34" s="431">
        <f t="shared" si="25"/>
        <v>1037548.2348</v>
      </c>
      <c r="AA34" s="431">
        <f t="shared" si="25"/>
        <v>1037548.2348</v>
      </c>
      <c r="AB34" s="431">
        <f t="shared" si="25"/>
        <v>1037548.2348</v>
      </c>
      <c r="AC34" s="431">
        <f t="shared" si="25"/>
        <v>1037548.2348</v>
      </c>
      <c r="AD34" s="431">
        <f t="shared" si="25"/>
        <v>1037548.2348</v>
      </c>
      <c r="AE34" s="431">
        <f t="shared" si="25"/>
        <v>1037548.2348</v>
      </c>
      <c r="AF34" s="431">
        <f t="shared" si="25"/>
        <v>1037548.2348</v>
      </c>
      <c r="AG34" s="431">
        <f t="shared" si="25"/>
        <v>1037548.2348</v>
      </c>
      <c r="AH34" s="431">
        <f t="shared" si="25"/>
        <v>1037548.2348</v>
      </c>
      <c r="AI34" s="431">
        <f t="shared" si="25"/>
        <v>1037548.2348</v>
      </c>
      <c r="AJ34" s="431">
        <f t="shared" si="25"/>
        <v>1037548.2348</v>
      </c>
      <c r="AK34" s="431">
        <f t="shared" si="25"/>
        <v>1037548.2348</v>
      </c>
      <c r="AL34" s="431">
        <f t="shared" si="25"/>
        <v>1037548.2348</v>
      </c>
      <c r="AM34" s="431">
        <f t="shared" si="25"/>
        <v>1037548.2348</v>
      </c>
      <c r="AN34" s="431">
        <f t="shared" si="25"/>
        <v>1037548.2348</v>
      </c>
      <c r="AO34" s="431">
        <f t="shared" si="25"/>
        <v>1037548.2348</v>
      </c>
      <c r="AP34" s="431">
        <f t="shared" si="25"/>
        <v>1037548.2348</v>
      </c>
      <c r="AQ34" s="431">
        <f t="shared" si="25"/>
        <v>1037548.2348</v>
      </c>
      <c r="AR34" s="431">
        <f t="shared" si="25"/>
        <v>1037548.2348</v>
      </c>
      <c r="AS34" s="431">
        <f t="shared" si="25"/>
        <v>1037548.2348</v>
      </c>
      <c r="AT34" s="431">
        <f t="shared" si="25"/>
        <v>1037548.2348</v>
      </c>
      <c r="AU34" s="432">
        <f t="shared" ref="AU34" si="26">$F$34*AU27</f>
        <v>1037548.2348</v>
      </c>
      <c r="AV34" s="412"/>
      <c r="AW34" s="412"/>
      <c r="AX34" s="412"/>
      <c r="AY34" s="412"/>
      <c r="AZ34" s="412"/>
      <c r="BA34" s="412"/>
      <c r="BB34" s="412"/>
    </row>
    <row r="35" spans="1:60" s="412" customFormat="1" x14ac:dyDescent="0.2">
      <c r="A35" s="410"/>
      <c r="B35" s="425" t="s">
        <v>509</v>
      </c>
      <c r="C35" s="426" t="s">
        <v>226</v>
      </c>
      <c r="D35" s="427">
        <f>1.82*1.123</f>
        <v>2.04386</v>
      </c>
      <c r="E35" s="428">
        <f>C28</f>
        <v>366630</v>
      </c>
      <c r="F35" s="429">
        <f t="shared" ref="F35:F36" si="27">D35*E35</f>
        <v>749340.39179999998</v>
      </c>
      <c r="G35" s="681"/>
      <c r="H35" s="430">
        <f>$F$35*H27</f>
        <v>0</v>
      </c>
      <c r="I35" s="431">
        <f t="shared" ref="I35:AT35" si="28">$F$35*I27</f>
        <v>0</v>
      </c>
      <c r="J35" s="431">
        <f t="shared" si="28"/>
        <v>0</v>
      </c>
      <c r="K35" s="431">
        <f t="shared" si="28"/>
        <v>0</v>
      </c>
      <c r="L35" s="431">
        <f t="shared" si="28"/>
        <v>2997361.5671999999</v>
      </c>
      <c r="M35" s="431">
        <f t="shared" si="28"/>
        <v>5245382.7425999995</v>
      </c>
      <c r="N35" s="431">
        <f t="shared" si="28"/>
        <v>5245382.7425999995</v>
      </c>
      <c r="O35" s="431">
        <f t="shared" si="28"/>
        <v>5245382.7425999995</v>
      </c>
      <c r="P35" s="431">
        <f t="shared" si="28"/>
        <v>5245382.7425999995</v>
      </c>
      <c r="Q35" s="431">
        <f t="shared" si="28"/>
        <v>5245382.7425999995</v>
      </c>
      <c r="R35" s="431">
        <f t="shared" si="28"/>
        <v>5245382.7425999995</v>
      </c>
      <c r="S35" s="431">
        <f t="shared" si="28"/>
        <v>5245382.7425999995</v>
      </c>
      <c r="T35" s="431">
        <f t="shared" si="28"/>
        <v>5245382.7425999995</v>
      </c>
      <c r="U35" s="431">
        <f t="shared" si="28"/>
        <v>5245382.7425999995</v>
      </c>
      <c r="V35" s="431">
        <f t="shared" si="28"/>
        <v>5245382.7425999995</v>
      </c>
      <c r="W35" s="431">
        <f t="shared" si="28"/>
        <v>5245382.7425999995</v>
      </c>
      <c r="X35" s="431">
        <f t="shared" si="28"/>
        <v>5245382.7425999995</v>
      </c>
      <c r="Y35" s="431">
        <f t="shared" si="28"/>
        <v>5245382.7425999995</v>
      </c>
      <c r="Z35" s="431">
        <f t="shared" si="28"/>
        <v>5245382.7425999995</v>
      </c>
      <c r="AA35" s="431">
        <f t="shared" si="28"/>
        <v>5245382.7425999995</v>
      </c>
      <c r="AB35" s="431">
        <f t="shared" si="28"/>
        <v>5245382.7425999995</v>
      </c>
      <c r="AC35" s="431">
        <f t="shared" si="28"/>
        <v>5245382.7425999995</v>
      </c>
      <c r="AD35" s="431">
        <f t="shared" si="28"/>
        <v>5245382.7425999995</v>
      </c>
      <c r="AE35" s="431">
        <f t="shared" si="28"/>
        <v>5245382.7425999995</v>
      </c>
      <c r="AF35" s="431">
        <f t="shared" si="28"/>
        <v>5245382.7425999995</v>
      </c>
      <c r="AG35" s="431">
        <f t="shared" si="28"/>
        <v>5245382.7425999995</v>
      </c>
      <c r="AH35" s="431">
        <f t="shared" si="28"/>
        <v>5245382.7425999995</v>
      </c>
      <c r="AI35" s="431">
        <f t="shared" si="28"/>
        <v>5245382.7425999995</v>
      </c>
      <c r="AJ35" s="431">
        <f t="shared" si="28"/>
        <v>5245382.7425999995</v>
      </c>
      <c r="AK35" s="431">
        <f t="shared" si="28"/>
        <v>5245382.7425999995</v>
      </c>
      <c r="AL35" s="431">
        <f t="shared" si="28"/>
        <v>5245382.7425999995</v>
      </c>
      <c r="AM35" s="431">
        <f t="shared" si="28"/>
        <v>5245382.7425999995</v>
      </c>
      <c r="AN35" s="431">
        <f t="shared" si="28"/>
        <v>5245382.7425999995</v>
      </c>
      <c r="AO35" s="431">
        <f t="shared" si="28"/>
        <v>5245382.7425999995</v>
      </c>
      <c r="AP35" s="431">
        <f t="shared" si="28"/>
        <v>5245382.7425999995</v>
      </c>
      <c r="AQ35" s="431">
        <f t="shared" si="28"/>
        <v>5245382.7425999995</v>
      </c>
      <c r="AR35" s="431">
        <f t="shared" si="28"/>
        <v>5245382.7425999995</v>
      </c>
      <c r="AS35" s="431">
        <f t="shared" si="28"/>
        <v>5245382.7425999995</v>
      </c>
      <c r="AT35" s="431">
        <f t="shared" si="28"/>
        <v>5245382.7425999995</v>
      </c>
      <c r="AU35" s="432">
        <f t="shared" ref="AU35" si="29">$F$35*AU27</f>
        <v>5245382.7425999995</v>
      </c>
      <c r="AV35" s="409"/>
      <c r="AW35" s="409"/>
      <c r="AX35" s="409"/>
      <c r="AY35" s="409"/>
      <c r="AZ35" s="409"/>
      <c r="BA35" s="409"/>
      <c r="BB35" s="409"/>
      <c r="BC35" s="409"/>
      <c r="BD35" s="409"/>
      <c r="BE35" s="409"/>
      <c r="BF35" s="409"/>
      <c r="BG35" s="409"/>
      <c r="BH35" s="409"/>
    </row>
    <row r="36" spans="1:60" x14ac:dyDescent="0.2">
      <c r="A36" s="410"/>
      <c r="B36" s="425" t="s">
        <v>267</v>
      </c>
      <c r="C36" s="426" t="s">
        <v>226</v>
      </c>
      <c r="D36" s="427">
        <f>1.93*1.123</f>
        <v>2.1673899999999997</v>
      </c>
      <c r="E36" s="428">
        <f>C28</f>
        <v>366630</v>
      </c>
      <c r="F36" s="429">
        <f t="shared" si="27"/>
        <v>794630.19569999992</v>
      </c>
      <c r="G36" s="681"/>
      <c r="H36" s="430">
        <f>$F$36*H27</f>
        <v>0</v>
      </c>
      <c r="I36" s="431">
        <f t="shared" ref="I36:AT36" si="30">$F$36*I27</f>
        <v>0</v>
      </c>
      <c r="J36" s="431">
        <f t="shared" si="30"/>
        <v>0</v>
      </c>
      <c r="K36" s="431">
        <f t="shared" si="30"/>
        <v>0</v>
      </c>
      <c r="L36" s="431">
        <f t="shared" si="30"/>
        <v>3178520.7827999997</v>
      </c>
      <c r="M36" s="431">
        <f t="shared" si="30"/>
        <v>5562411.3698999994</v>
      </c>
      <c r="N36" s="431">
        <f t="shared" si="30"/>
        <v>5562411.3698999994</v>
      </c>
      <c r="O36" s="431">
        <f t="shared" si="30"/>
        <v>5562411.3698999994</v>
      </c>
      <c r="P36" s="431">
        <f t="shared" si="30"/>
        <v>5562411.3698999994</v>
      </c>
      <c r="Q36" s="431">
        <f t="shared" si="30"/>
        <v>5562411.3698999994</v>
      </c>
      <c r="R36" s="431">
        <f t="shared" si="30"/>
        <v>5562411.3698999994</v>
      </c>
      <c r="S36" s="431">
        <f t="shared" si="30"/>
        <v>5562411.3698999994</v>
      </c>
      <c r="T36" s="431">
        <f t="shared" si="30"/>
        <v>5562411.3698999994</v>
      </c>
      <c r="U36" s="431">
        <f t="shared" si="30"/>
        <v>5562411.3698999994</v>
      </c>
      <c r="V36" s="431">
        <f t="shared" si="30"/>
        <v>5562411.3698999994</v>
      </c>
      <c r="W36" s="431">
        <f t="shared" si="30"/>
        <v>5562411.3698999994</v>
      </c>
      <c r="X36" s="431">
        <f t="shared" si="30"/>
        <v>5562411.3698999994</v>
      </c>
      <c r="Y36" s="431">
        <f t="shared" si="30"/>
        <v>5562411.3698999994</v>
      </c>
      <c r="Z36" s="431">
        <f t="shared" si="30"/>
        <v>5562411.3698999994</v>
      </c>
      <c r="AA36" s="431">
        <f t="shared" si="30"/>
        <v>5562411.3698999994</v>
      </c>
      <c r="AB36" s="431">
        <f t="shared" si="30"/>
        <v>5562411.3698999994</v>
      </c>
      <c r="AC36" s="431">
        <f t="shared" si="30"/>
        <v>5562411.3698999994</v>
      </c>
      <c r="AD36" s="431">
        <f t="shared" si="30"/>
        <v>5562411.3698999994</v>
      </c>
      <c r="AE36" s="431">
        <f t="shared" si="30"/>
        <v>5562411.3698999994</v>
      </c>
      <c r="AF36" s="431">
        <f t="shared" si="30"/>
        <v>5562411.3698999994</v>
      </c>
      <c r="AG36" s="431">
        <f t="shared" si="30"/>
        <v>5562411.3698999994</v>
      </c>
      <c r="AH36" s="431">
        <f t="shared" si="30"/>
        <v>5562411.3698999994</v>
      </c>
      <c r="AI36" s="431">
        <f t="shared" si="30"/>
        <v>5562411.3698999994</v>
      </c>
      <c r="AJ36" s="431">
        <f t="shared" si="30"/>
        <v>5562411.3698999994</v>
      </c>
      <c r="AK36" s="431">
        <f t="shared" si="30"/>
        <v>5562411.3698999994</v>
      </c>
      <c r="AL36" s="431">
        <f t="shared" si="30"/>
        <v>5562411.3698999994</v>
      </c>
      <c r="AM36" s="431">
        <f t="shared" si="30"/>
        <v>5562411.3698999994</v>
      </c>
      <c r="AN36" s="431">
        <f t="shared" si="30"/>
        <v>5562411.3698999994</v>
      </c>
      <c r="AO36" s="431">
        <f t="shared" si="30"/>
        <v>5562411.3698999994</v>
      </c>
      <c r="AP36" s="431">
        <f t="shared" si="30"/>
        <v>5562411.3698999994</v>
      </c>
      <c r="AQ36" s="431">
        <f t="shared" si="30"/>
        <v>5562411.3698999994</v>
      </c>
      <c r="AR36" s="431">
        <f t="shared" si="30"/>
        <v>5562411.3698999994</v>
      </c>
      <c r="AS36" s="431">
        <f t="shared" si="30"/>
        <v>5562411.3698999994</v>
      </c>
      <c r="AT36" s="431">
        <f t="shared" si="30"/>
        <v>5562411.3698999994</v>
      </c>
      <c r="AU36" s="432">
        <f t="shared" ref="AU36" si="31">$F$36*AU27</f>
        <v>5562411.3698999994</v>
      </c>
    </row>
    <row r="37" spans="1:60" ht="13.5" thickBot="1" x14ac:dyDescent="0.25">
      <c r="A37" s="410"/>
      <c r="B37" s="472" t="s">
        <v>657</v>
      </c>
      <c r="C37" s="476" t="s">
        <v>226</v>
      </c>
      <c r="D37" s="477"/>
      <c r="E37" s="485"/>
      <c r="F37" s="486"/>
      <c r="G37" s="681"/>
      <c r="H37" s="438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40"/>
    </row>
    <row r="38" spans="1:60" ht="13.5" thickTop="1" x14ac:dyDescent="0.2">
      <c r="A38" s="410"/>
      <c r="B38" s="441" t="s">
        <v>655</v>
      </c>
      <c r="C38" s="473" t="s">
        <v>226</v>
      </c>
      <c r="D38" s="443">
        <f>1.26*1.123</f>
        <v>1.4149799999999999</v>
      </c>
      <c r="E38" s="444">
        <f>C28</f>
        <v>366630</v>
      </c>
      <c r="F38" s="445">
        <f t="shared" ref="F38" si="32">D38*E38</f>
        <v>518774.11739999999</v>
      </c>
      <c r="G38" s="681"/>
      <c r="H38" s="560">
        <f t="shared" ref="H38:AT38" si="33">$F$38*H27</f>
        <v>0</v>
      </c>
      <c r="I38" s="552">
        <f t="shared" si="33"/>
        <v>0</v>
      </c>
      <c r="J38" s="552">
        <f t="shared" si="33"/>
        <v>0</v>
      </c>
      <c r="K38" s="552">
        <f t="shared" si="33"/>
        <v>0</v>
      </c>
      <c r="L38" s="552">
        <f t="shared" si="33"/>
        <v>2075096.4696</v>
      </c>
      <c r="M38" s="552">
        <f t="shared" si="33"/>
        <v>3631418.8218</v>
      </c>
      <c r="N38" s="552">
        <f t="shared" si="33"/>
        <v>3631418.8218</v>
      </c>
      <c r="O38" s="552">
        <f t="shared" si="33"/>
        <v>3631418.8218</v>
      </c>
      <c r="P38" s="552">
        <f t="shared" si="33"/>
        <v>3631418.8218</v>
      </c>
      <c r="Q38" s="552">
        <f t="shared" si="33"/>
        <v>3631418.8218</v>
      </c>
      <c r="R38" s="552">
        <f t="shared" si="33"/>
        <v>3631418.8218</v>
      </c>
      <c r="S38" s="552">
        <f t="shared" si="33"/>
        <v>3631418.8218</v>
      </c>
      <c r="T38" s="552">
        <f t="shared" si="33"/>
        <v>3631418.8218</v>
      </c>
      <c r="U38" s="552">
        <f t="shared" si="33"/>
        <v>3631418.8218</v>
      </c>
      <c r="V38" s="552">
        <f t="shared" si="33"/>
        <v>3631418.8218</v>
      </c>
      <c r="W38" s="552">
        <f t="shared" si="33"/>
        <v>3631418.8218</v>
      </c>
      <c r="X38" s="552">
        <f t="shared" si="33"/>
        <v>3631418.8218</v>
      </c>
      <c r="Y38" s="552">
        <f t="shared" si="33"/>
        <v>3631418.8218</v>
      </c>
      <c r="Z38" s="552">
        <f t="shared" si="33"/>
        <v>3631418.8218</v>
      </c>
      <c r="AA38" s="552">
        <f t="shared" si="33"/>
        <v>3631418.8218</v>
      </c>
      <c r="AB38" s="552">
        <f t="shared" si="33"/>
        <v>3631418.8218</v>
      </c>
      <c r="AC38" s="552">
        <f t="shared" si="33"/>
        <v>3631418.8218</v>
      </c>
      <c r="AD38" s="552">
        <f t="shared" si="33"/>
        <v>3631418.8218</v>
      </c>
      <c r="AE38" s="552">
        <f t="shared" si="33"/>
        <v>3631418.8218</v>
      </c>
      <c r="AF38" s="552">
        <f t="shared" si="33"/>
        <v>3631418.8218</v>
      </c>
      <c r="AG38" s="552">
        <f t="shared" si="33"/>
        <v>3631418.8218</v>
      </c>
      <c r="AH38" s="552">
        <f t="shared" si="33"/>
        <v>3631418.8218</v>
      </c>
      <c r="AI38" s="552">
        <f t="shared" si="33"/>
        <v>3631418.8218</v>
      </c>
      <c r="AJ38" s="552">
        <f t="shared" si="33"/>
        <v>3631418.8218</v>
      </c>
      <c r="AK38" s="552">
        <f t="shared" si="33"/>
        <v>3631418.8218</v>
      </c>
      <c r="AL38" s="552">
        <f t="shared" si="33"/>
        <v>3631418.8218</v>
      </c>
      <c r="AM38" s="552">
        <f t="shared" si="33"/>
        <v>3631418.8218</v>
      </c>
      <c r="AN38" s="552">
        <f t="shared" si="33"/>
        <v>3631418.8218</v>
      </c>
      <c r="AO38" s="552">
        <f t="shared" si="33"/>
        <v>3631418.8218</v>
      </c>
      <c r="AP38" s="552">
        <f t="shared" si="33"/>
        <v>3631418.8218</v>
      </c>
      <c r="AQ38" s="552">
        <f t="shared" si="33"/>
        <v>3631418.8218</v>
      </c>
      <c r="AR38" s="552">
        <f t="shared" si="33"/>
        <v>3631418.8218</v>
      </c>
      <c r="AS38" s="552">
        <f t="shared" si="33"/>
        <v>3631418.8218</v>
      </c>
      <c r="AT38" s="552">
        <f t="shared" si="33"/>
        <v>3631418.8218</v>
      </c>
      <c r="AU38" s="553">
        <f t="shared" ref="AU38" si="34">$F$38*AU27</f>
        <v>3631418.8218</v>
      </c>
    </row>
    <row r="39" spans="1:60" ht="13.5" thickBot="1" x14ac:dyDescent="0.25">
      <c r="A39" s="410"/>
      <c r="B39" s="463" t="s">
        <v>656</v>
      </c>
      <c r="C39" s="446" t="s">
        <v>226</v>
      </c>
      <c r="D39" s="474">
        <v>100000</v>
      </c>
      <c r="E39" s="588">
        <v>1</v>
      </c>
      <c r="F39" s="471">
        <f>D39*E39</f>
        <v>100000</v>
      </c>
      <c r="G39" s="682"/>
      <c r="H39" s="453">
        <f t="shared" ref="H39:AT39" si="35">$F$39*H27</f>
        <v>0</v>
      </c>
      <c r="I39" s="454">
        <f t="shared" si="35"/>
        <v>0</v>
      </c>
      <c r="J39" s="454">
        <f t="shared" si="35"/>
        <v>0</v>
      </c>
      <c r="K39" s="454">
        <f t="shared" si="35"/>
        <v>0</v>
      </c>
      <c r="L39" s="454">
        <f t="shared" si="35"/>
        <v>400000</v>
      </c>
      <c r="M39" s="454">
        <f t="shared" si="35"/>
        <v>700000</v>
      </c>
      <c r="N39" s="454">
        <f t="shared" si="35"/>
        <v>700000</v>
      </c>
      <c r="O39" s="454">
        <f t="shared" si="35"/>
        <v>700000</v>
      </c>
      <c r="P39" s="454">
        <f t="shared" si="35"/>
        <v>700000</v>
      </c>
      <c r="Q39" s="454">
        <f t="shared" si="35"/>
        <v>700000</v>
      </c>
      <c r="R39" s="454">
        <f t="shared" si="35"/>
        <v>700000</v>
      </c>
      <c r="S39" s="454">
        <f t="shared" si="35"/>
        <v>700000</v>
      </c>
      <c r="T39" s="454">
        <f t="shared" si="35"/>
        <v>700000</v>
      </c>
      <c r="U39" s="454">
        <f t="shared" si="35"/>
        <v>700000</v>
      </c>
      <c r="V39" s="454">
        <f t="shared" si="35"/>
        <v>700000</v>
      </c>
      <c r="W39" s="454">
        <f t="shared" si="35"/>
        <v>700000</v>
      </c>
      <c r="X39" s="454">
        <f t="shared" si="35"/>
        <v>700000</v>
      </c>
      <c r="Y39" s="454">
        <f t="shared" si="35"/>
        <v>700000</v>
      </c>
      <c r="Z39" s="454">
        <f t="shared" si="35"/>
        <v>700000</v>
      </c>
      <c r="AA39" s="454">
        <f t="shared" si="35"/>
        <v>700000</v>
      </c>
      <c r="AB39" s="454">
        <f t="shared" si="35"/>
        <v>700000</v>
      </c>
      <c r="AC39" s="454">
        <f t="shared" si="35"/>
        <v>700000</v>
      </c>
      <c r="AD39" s="454">
        <f t="shared" si="35"/>
        <v>700000</v>
      </c>
      <c r="AE39" s="454">
        <f t="shared" si="35"/>
        <v>700000</v>
      </c>
      <c r="AF39" s="454">
        <f t="shared" si="35"/>
        <v>700000</v>
      </c>
      <c r="AG39" s="454">
        <f t="shared" si="35"/>
        <v>700000</v>
      </c>
      <c r="AH39" s="454">
        <f t="shared" si="35"/>
        <v>700000</v>
      </c>
      <c r="AI39" s="454">
        <f t="shared" si="35"/>
        <v>700000</v>
      </c>
      <c r="AJ39" s="454">
        <f t="shared" si="35"/>
        <v>700000</v>
      </c>
      <c r="AK39" s="454">
        <f t="shared" si="35"/>
        <v>700000</v>
      </c>
      <c r="AL39" s="454">
        <f t="shared" si="35"/>
        <v>700000</v>
      </c>
      <c r="AM39" s="454">
        <f t="shared" si="35"/>
        <v>700000</v>
      </c>
      <c r="AN39" s="454">
        <f t="shared" si="35"/>
        <v>700000</v>
      </c>
      <c r="AO39" s="454">
        <f t="shared" si="35"/>
        <v>700000</v>
      </c>
      <c r="AP39" s="454">
        <f t="shared" si="35"/>
        <v>700000</v>
      </c>
      <c r="AQ39" s="454">
        <f t="shared" si="35"/>
        <v>700000</v>
      </c>
      <c r="AR39" s="454">
        <f t="shared" si="35"/>
        <v>700000</v>
      </c>
      <c r="AS39" s="454">
        <f t="shared" si="35"/>
        <v>700000</v>
      </c>
      <c r="AT39" s="454">
        <f t="shared" si="35"/>
        <v>700000</v>
      </c>
      <c r="AU39" s="455">
        <f t="shared" ref="AU39" si="36">$F$39*AU27</f>
        <v>700000</v>
      </c>
    </row>
    <row r="40" spans="1:60" x14ac:dyDescent="0.2">
      <c r="B40" s="410" t="s">
        <v>663</v>
      </c>
      <c r="H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</row>
    <row r="41" spans="1:60" x14ac:dyDescent="0.2">
      <c r="H41" s="464"/>
      <c r="I41" s="464"/>
      <c r="L41" s="464"/>
      <c r="M41" s="464"/>
    </row>
    <row r="42" spans="1:60" x14ac:dyDescent="0.2">
      <c r="B42" s="231"/>
      <c r="C42" s="230"/>
      <c r="D42" s="230" t="s">
        <v>10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</row>
    <row r="43" spans="1:60" x14ac:dyDescent="0.2">
      <c r="A43" s="231"/>
      <c r="B43" s="232" t="s">
        <v>55</v>
      </c>
      <c r="C43" s="232"/>
      <c r="D43" s="237">
        <v>1</v>
      </c>
      <c r="E43" s="237">
        <v>2</v>
      </c>
      <c r="F43" s="237">
        <v>3</v>
      </c>
      <c r="G43" s="237">
        <v>4</v>
      </c>
      <c r="H43" s="237">
        <v>5</v>
      </c>
      <c r="I43" s="237">
        <v>6</v>
      </c>
      <c r="J43" s="237">
        <v>7</v>
      </c>
      <c r="K43" s="237">
        <v>8</v>
      </c>
      <c r="L43" s="237">
        <v>9</v>
      </c>
      <c r="M43" s="237">
        <v>10</v>
      </c>
      <c r="N43" s="237">
        <v>11</v>
      </c>
      <c r="O43" s="237">
        <v>12</v>
      </c>
      <c r="P43" s="237">
        <v>13</v>
      </c>
      <c r="Q43" s="237">
        <v>14</v>
      </c>
      <c r="R43" s="237">
        <v>15</v>
      </c>
      <c r="S43" s="237">
        <v>16</v>
      </c>
      <c r="T43" s="237">
        <v>17</v>
      </c>
      <c r="U43" s="237">
        <v>18</v>
      </c>
      <c r="V43" s="237">
        <v>19</v>
      </c>
      <c r="W43" s="237">
        <v>20</v>
      </c>
      <c r="X43" s="237">
        <v>21</v>
      </c>
      <c r="Y43" s="237">
        <v>22</v>
      </c>
      <c r="Z43" s="237">
        <v>23</v>
      </c>
      <c r="AA43" s="237">
        <v>24</v>
      </c>
      <c r="AB43" s="237">
        <v>25</v>
      </c>
      <c r="AC43" s="237">
        <v>26</v>
      </c>
      <c r="AD43" s="237">
        <v>27</v>
      </c>
      <c r="AE43" s="237">
        <v>28</v>
      </c>
      <c r="AF43" s="237">
        <v>29</v>
      </c>
      <c r="AG43" s="237">
        <v>30</v>
      </c>
      <c r="AH43" s="237">
        <v>31</v>
      </c>
      <c r="AI43" s="237">
        <v>32</v>
      </c>
      <c r="AJ43" s="237">
        <v>33</v>
      </c>
      <c r="AK43" s="237">
        <v>34</v>
      </c>
      <c r="AL43" s="237">
        <v>35</v>
      </c>
      <c r="AM43" s="237">
        <v>36</v>
      </c>
      <c r="AN43" s="237">
        <v>37</v>
      </c>
      <c r="AO43" s="237">
        <v>38</v>
      </c>
      <c r="AP43" s="237">
        <v>39</v>
      </c>
      <c r="AQ43" s="237">
        <v>40</v>
      </c>
    </row>
    <row r="44" spans="1:60" x14ac:dyDescent="0.2">
      <c r="A44" s="231"/>
      <c r="B44" s="233" t="s">
        <v>659</v>
      </c>
      <c r="C44" s="233" t="s">
        <v>9</v>
      </c>
      <c r="D44" s="238">
        <v>2026</v>
      </c>
      <c r="E44" s="238">
        <f t="shared" ref="E44:AQ44" si="37">$D$44+D43</f>
        <v>2027</v>
      </c>
      <c r="F44" s="238">
        <f t="shared" si="37"/>
        <v>2028</v>
      </c>
      <c r="G44" s="238">
        <f t="shared" si="37"/>
        <v>2029</v>
      </c>
      <c r="H44" s="238">
        <f t="shared" si="37"/>
        <v>2030</v>
      </c>
      <c r="I44" s="238">
        <f t="shared" si="37"/>
        <v>2031</v>
      </c>
      <c r="J44" s="238">
        <f t="shared" si="37"/>
        <v>2032</v>
      </c>
      <c r="K44" s="238">
        <f t="shared" si="37"/>
        <v>2033</v>
      </c>
      <c r="L44" s="238">
        <f t="shared" si="37"/>
        <v>2034</v>
      </c>
      <c r="M44" s="238">
        <f t="shared" si="37"/>
        <v>2035</v>
      </c>
      <c r="N44" s="238">
        <f t="shared" si="37"/>
        <v>2036</v>
      </c>
      <c r="O44" s="238">
        <f t="shared" si="37"/>
        <v>2037</v>
      </c>
      <c r="P44" s="238">
        <f t="shared" si="37"/>
        <v>2038</v>
      </c>
      <c r="Q44" s="238">
        <f t="shared" si="37"/>
        <v>2039</v>
      </c>
      <c r="R44" s="238">
        <f t="shared" si="37"/>
        <v>2040</v>
      </c>
      <c r="S44" s="238">
        <f t="shared" si="37"/>
        <v>2041</v>
      </c>
      <c r="T44" s="238">
        <f t="shared" si="37"/>
        <v>2042</v>
      </c>
      <c r="U44" s="238">
        <f t="shared" si="37"/>
        <v>2043</v>
      </c>
      <c r="V44" s="238">
        <f t="shared" si="37"/>
        <v>2044</v>
      </c>
      <c r="W44" s="238">
        <f t="shared" si="37"/>
        <v>2045</v>
      </c>
      <c r="X44" s="238">
        <f t="shared" si="37"/>
        <v>2046</v>
      </c>
      <c r="Y44" s="238">
        <f t="shared" si="37"/>
        <v>2047</v>
      </c>
      <c r="Z44" s="238">
        <f t="shared" si="37"/>
        <v>2048</v>
      </c>
      <c r="AA44" s="238">
        <f t="shared" si="37"/>
        <v>2049</v>
      </c>
      <c r="AB44" s="238">
        <f t="shared" si="37"/>
        <v>2050</v>
      </c>
      <c r="AC44" s="238">
        <f t="shared" si="37"/>
        <v>2051</v>
      </c>
      <c r="AD44" s="238">
        <f t="shared" si="37"/>
        <v>2052</v>
      </c>
      <c r="AE44" s="238">
        <f t="shared" si="37"/>
        <v>2053</v>
      </c>
      <c r="AF44" s="238">
        <f t="shared" si="37"/>
        <v>2054</v>
      </c>
      <c r="AG44" s="238">
        <f t="shared" si="37"/>
        <v>2055</v>
      </c>
      <c r="AH44" s="238">
        <f t="shared" si="37"/>
        <v>2056</v>
      </c>
      <c r="AI44" s="238">
        <f t="shared" si="37"/>
        <v>2057</v>
      </c>
      <c r="AJ44" s="238">
        <f t="shared" si="37"/>
        <v>2058</v>
      </c>
      <c r="AK44" s="238">
        <f t="shared" si="37"/>
        <v>2059</v>
      </c>
      <c r="AL44" s="238">
        <f t="shared" si="37"/>
        <v>2060</v>
      </c>
      <c r="AM44" s="238">
        <f t="shared" si="37"/>
        <v>2061</v>
      </c>
      <c r="AN44" s="238">
        <f t="shared" si="37"/>
        <v>2062</v>
      </c>
      <c r="AO44" s="238">
        <f t="shared" si="37"/>
        <v>2063</v>
      </c>
      <c r="AP44" s="238">
        <f t="shared" si="37"/>
        <v>2064</v>
      </c>
      <c r="AQ44" s="238">
        <f t="shared" si="37"/>
        <v>2065</v>
      </c>
    </row>
    <row r="45" spans="1:60" x14ac:dyDescent="0.2">
      <c r="A45" s="231"/>
      <c r="B45" s="230" t="s">
        <v>281</v>
      </c>
      <c r="C45" s="245">
        <f>SUM(D45:AQ45)</f>
        <v>918468995.91480076</v>
      </c>
      <c r="D45" s="417">
        <f>H12+H14+H16+H17+H18+H19+H30+H31+H33+H34+H35+H36</f>
        <v>27816995.355600003</v>
      </c>
      <c r="E45" s="417">
        <f t="shared" ref="E45:AQ45" si="38">I12+I14+I16+I17+I18+I19+I30+I31+I33+I34+I35+I36</f>
        <v>27816995.355600003</v>
      </c>
      <c r="F45" s="417">
        <f t="shared" si="38"/>
        <v>27816995.355600003</v>
      </c>
      <c r="G45" s="417">
        <f t="shared" si="38"/>
        <v>27816995.355600003</v>
      </c>
      <c r="H45" s="417">
        <f t="shared" si="38"/>
        <v>27801391.582800005</v>
      </c>
      <c r="I45" s="417">
        <f t="shared" si="38"/>
        <v>27789688.753199998</v>
      </c>
      <c r="J45" s="417">
        <f t="shared" si="38"/>
        <v>27789688.753199998</v>
      </c>
      <c r="K45" s="417">
        <f t="shared" si="38"/>
        <v>27789688.753199998</v>
      </c>
      <c r="L45" s="417">
        <f t="shared" si="38"/>
        <v>27789688.753199998</v>
      </c>
      <c r="M45" s="417">
        <f t="shared" si="38"/>
        <v>27789688.753199998</v>
      </c>
      <c r="N45" s="417">
        <f t="shared" si="38"/>
        <v>27789688.753199998</v>
      </c>
      <c r="O45" s="417">
        <f t="shared" si="38"/>
        <v>27789688.753199998</v>
      </c>
      <c r="P45" s="417">
        <f t="shared" si="38"/>
        <v>27789688.753199998</v>
      </c>
      <c r="Q45" s="417">
        <f t="shared" si="38"/>
        <v>27731123.276999999</v>
      </c>
      <c r="R45" s="417">
        <f t="shared" si="38"/>
        <v>27731123.276999999</v>
      </c>
      <c r="S45" s="417">
        <f t="shared" si="38"/>
        <v>20064794.653200001</v>
      </c>
      <c r="T45" s="417">
        <f t="shared" si="38"/>
        <v>20064794.653200001</v>
      </c>
      <c r="U45" s="417">
        <f t="shared" si="38"/>
        <v>20064794.653200001</v>
      </c>
      <c r="V45" s="417">
        <f t="shared" si="38"/>
        <v>20064794.653200001</v>
      </c>
      <c r="W45" s="417">
        <f t="shared" si="38"/>
        <v>20064794.653200001</v>
      </c>
      <c r="X45" s="417">
        <f t="shared" si="38"/>
        <v>20064794.653200001</v>
      </c>
      <c r="Y45" s="417">
        <f t="shared" si="38"/>
        <v>20064794.653200001</v>
      </c>
      <c r="Z45" s="417">
        <f t="shared" si="38"/>
        <v>20064794.653200001</v>
      </c>
      <c r="AA45" s="417">
        <f t="shared" si="38"/>
        <v>20064794.653200001</v>
      </c>
      <c r="AB45" s="417">
        <f t="shared" si="38"/>
        <v>20064794.653200001</v>
      </c>
      <c r="AC45" s="417">
        <f t="shared" si="38"/>
        <v>20064794.653200001</v>
      </c>
      <c r="AD45" s="417">
        <f t="shared" si="38"/>
        <v>20064794.653200001</v>
      </c>
      <c r="AE45" s="417">
        <f t="shared" si="38"/>
        <v>20064794.653200001</v>
      </c>
      <c r="AF45" s="417">
        <f t="shared" si="38"/>
        <v>20064794.653200001</v>
      </c>
      <c r="AG45" s="417">
        <f t="shared" si="38"/>
        <v>20064794.653200001</v>
      </c>
      <c r="AH45" s="417">
        <f t="shared" si="38"/>
        <v>20064794.653200001</v>
      </c>
      <c r="AI45" s="417">
        <f t="shared" si="38"/>
        <v>20064794.653200001</v>
      </c>
      <c r="AJ45" s="417">
        <f t="shared" si="38"/>
        <v>20064794.653200001</v>
      </c>
      <c r="AK45" s="417">
        <f t="shared" si="38"/>
        <v>20064794.653200001</v>
      </c>
      <c r="AL45" s="417">
        <f t="shared" si="38"/>
        <v>20064794.653200001</v>
      </c>
      <c r="AM45" s="417">
        <f t="shared" si="38"/>
        <v>20064794.653200001</v>
      </c>
      <c r="AN45" s="417">
        <f t="shared" si="38"/>
        <v>20064794.653200001</v>
      </c>
      <c r="AO45" s="417">
        <f t="shared" si="38"/>
        <v>20064794.653200001</v>
      </c>
      <c r="AP45" s="417">
        <f t="shared" si="38"/>
        <v>20064794.653200001</v>
      </c>
      <c r="AQ45" s="417">
        <f t="shared" si="38"/>
        <v>20064794.653200001</v>
      </c>
    </row>
    <row r="46" spans="1:60" x14ac:dyDescent="0.2">
      <c r="A46" s="231"/>
      <c r="B46" s="230" t="s">
        <v>279</v>
      </c>
      <c r="C46" s="245">
        <f t="shared" ref="C46:C50" si="39">SUM(D46:AQ46)</f>
        <v>70776300</v>
      </c>
      <c r="D46" s="417">
        <v>0</v>
      </c>
      <c r="E46" s="417">
        <v>0</v>
      </c>
      <c r="F46" s="417">
        <v>0</v>
      </c>
      <c r="G46" s="417">
        <v>0</v>
      </c>
      <c r="H46" s="417">
        <v>0</v>
      </c>
      <c r="I46" s="417">
        <v>0</v>
      </c>
      <c r="J46" s="417">
        <v>0</v>
      </c>
      <c r="K46" s="417">
        <v>0</v>
      </c>
      <c r="L46" s="417">
        <v>0</v>
      </c>
      <c r="M46" s="417">
        <v>0</v>
      </c>
      <c r="N46" s="417">
        <v>0</v>
      </c>
      <c r="O46" s="417">
        <v>0</v>
      </c>
      <c r="P46" s="417">
        <v>0</v>
      </c>
      <c r="Q46" s="417">
        <v>0</v>
      </c>
      <c r="R46" s="417">
        <v>0</v>
      </c>
      <c r="S46" s="417">
        <v>0</v>
      </c>
      <c r="T46" s="417">
        <v>0</v>
      </c>
      <c r="U46" s="417">
        <v>0</v>
      </c>
      <c r="V46" s="417">
        <v>0</v>
      </c>
      <c r="W46" s="417">
        <v>0</v>
      </c>
      <c r="X46" s="417">
        <v>0</v>
      </c>
      <c r="Y46" s="417">
        <v>0</v>
      </c>
      <c r="Z46" s="417">
        <v>0</v>
      </c>
      <c r="AA46" s="417">
        <v>0</v>
      </c>
      <c r="AB46" s="417">
        <v>0</v>
      </c>
      <c r="AC46" s="417">
        <f>'01 Investičné výdavky EMU550'!E54*C55</f>
        <v>23592100</v>
      </c>
      <c r="AD46" s="417">
        <v>0</v>
      </c>
      <c r="AE46" s="417">
        <v>0</v>
      </c>
      <c r="AF46" s="417">
        <v>0</v>
      </c>
      <c r="AG46" s="417">
        <v>0</v>
      </c>
      <c r="AH46" s="417">
        <v>0</v>
      </c>
      <c r="AI46" s="417">
        <v>0</v>
      </c>
      <c r="AJ46" s="417">
        <v>0</v>
      </c>
      <c r="AK46" s="417">
        <v>0</v>
      </c>
      <c r="AL46" s="417">
        <v>0</v>
      </c>
      <c r="AM46" s="417">
        <f>'01 Investičné výdavky EMU550'!E54*E55</f>
        <v>47184200</v>
      </c>
      <c r="AN46" s="417">
        <v>0</v>
      </c>
      <c r="AO46" s="417">
        <v>0</v>
      </c>
      <c r="AP46" s="417">
        <v>0</v>
      </c>
      <c r="AQ46" s="417">
        <v>0</v>
      </c>
    </row>
    <row r="47" spans="1:60" x14ac:dyDescent="0.2">
      <c r="A47" s="231"/>
      <c r="B47" s="232" t="s">
        <v>278</v>
      </c>
      <c r="C47" s="465">
        <f t="shared" si="39"/>
        <v>989245295.91480076</v>
      </c>
      <c r="D47" s="465">
        <f t="shared" ref="D47:AG47" si="40">SUM(D45:D46)</f>
        <v>27816995.355600003</v>
      </c>
      <c r="E47" s="465">
        <f t="shared" si="40"/>
        <v>27816995.355600003</v>
      </c>
      <c r="F47" s="465">
        <f t="shared" si="40"/>
        <v>27816995.355600003</v>
      </c>
      <c r="G47" s="465">
        <f t="shared" si="40"/>
        <v>27816995.355600003</v>
      </c>
      <c r="H47" s="465">
        <f t="shared" si="40"/>
        <v>27801391.582800005</v>
      </c>
      <c r="I47" s="465">
        <f t="shared" si="40"/>
        <v>27789688.753199998</v>
      </c>
      <c r="J47" s="465">
        <f t="shared" si="40"/>
        <v>27789688.753199998</v>
      </c>
      <c r="K47" s="465">
        <f t="shared" si="40"/>
        <v>27789688.753199998</v>
      </c>
      <c r="L47" s="465">
        <f t="shared" si="40"/>
        <v>27789688.753199998</v>
      </c>
      <c r="M47" s="465">
        <f t="shared" si="40"/>
        <v>27789688.753199998</v>
      </c>
      <c r="N47" s="465">
        <f t="shared" si="40"/>
        <v>27789688.753199998</v>
      </c>
      <c r="O47" s="465">
        <f t="shared" si="40"/>
        <v>27789688.753199998</v>
      </c>
      <c r="P47" s="465">
        <f t="shared" si="40"/>
        <v>27789688.753199998</v>
      </c>
      <c r="Q47" s="465">
        <f t="shared" si="40"/>
        <v>27731123.276999999</v>
      </c>
      <c r="R47" s="465">
        <f t="shared" si="40"/>
        <v>27731123.276999999</v>
      </c>
      <c r="S47" s="465">
        <f t="shared" si="40"/>
        <v>20064794.653200001</v>
      </c>
      <c r="T47" s="465">
        <f t="shared" si="40"/>
        <v>20064794.653200001</v>
      </c>
      <c r="U47" s="465">
        <f t="shared" si="40"/>
        <v>20064794.653200001</v>
      </c>
      <c r="V47" s="465">
        <f t="shared" si="40"/>
        <v>20064794.653200001</v>
      </c>
      <c r="W47" s="465">
        <f t="shared" si="40"/>
        <v>20064794.653200001</v>
      </c>
      <c r="X47" s="465">
        <f t="shared" si="40"/>
        <v>20064794.653200001</v>
      </c>
      <c r="Y47" s="465">
        <f t="shared" si="40"/>
        <v>20064794.653200001</v>
      </c>
      <c r="Z47" s="465">
        <f t="shared" si="40"/>
        <v>20064794.653200001</v>
      </c>
      <c r="AA47" s="465">
        <f t="shared" si="40"/>
        <v>20064794.653200001</v>
      </c>
      <c r="AB47" s="465">
        <f t="shared" si="40"/>
        <v>20064794.653200001</v>
      </c>
      <c r="AC47" s="465">
        <f t="shared" si="40"/>
        <v>43656894.653200001</v>
      </c>
      <c r="AD47" s="465">
        <f t="shared" si="40"/>
        <v>20064794.653200001</v>
      </c>
      <c r="AE47" s="465">
        <f t="shared" si="40"/>
        <v>20064794.653200001</v>
      </c>
      <c r="AF47" s="465">
        <f t="shared" si="40"/>
        <v>20064794.653200001</v>
      </c>
      <c r="AG47" s="465">
        <f t="shared" si="40"/>
        <v>20064794.653200001</v>
      </c>
      <c r="AH47" s="465">
        <f t="shared" ref="AH47:AP47" si="41">SUM(AH45:AH46)</f>
        <v>20064794.653200001</v>
      </c>
      <c r="AI47" s="465">
        <f t="shared" si="41"/>
        <v>20064794.653200001</v>
      </c>
      <c r="AJ47" s="465">
        <f t="shared" si="41"/>
        <v>20064794.653200001</v>
      </c>
      <c r="AK47" s="465">
        <f t="shared" si="41"/>
        <v>20064794.653200001</v>
      </c>
      <c r="AL47" s="465">
        <f t="shared" si="41"/>
        <v>20064794.653200001</v>
      </c>
      <c r="AM47" s="465">
        <f t="shared" si="41"/>
        <v>67248994.653200001</v>
      </c>
      <c r="AN47" s="465">
        <f t="shared" si="41"/>
        <v>20064794.653200001</v>
      </c>
      <c r="AO47" s="465">
        <f t="shared" si="41"/>
        <v>20064794.653200001</v>
      </c>
      <c r="AP47" s="465">
        <f t="shared" si="41"/>
        <v>20064794.653200001</v>
      </c>
      <c r="AQ47" s="465">
        <f t="shared" ref="AQ47" si="42">SUM(AQ45:AQ46)</f>
        <v>20064794.653200001</v>
      </c>
    </row>
    <row r="48" spans="1:60" x14ac:dyDescent="0.2">
      <c r="A48" s="231"/>
      <c r="B48" s="230" t="s">
        <v>54</v>
      </c>
      <c r="C48" s="245">
        <f t="shared" si="39"/>
        <v>188945166.19739985</v>
      </c>
      <c r="D48" s="417">
        <f>H21+H22+H38+H39</f>
        <v>3929060.3904000008</v>
      </c>
      <c r="E48" s="417">
        <f t="shared" ref="E48:AQ48" si="43">I21+I22+I38+I39</f>
        <v>3929060.3904000008</v>
      </c>
      <c r="F48" s="417">
        <f t="shared" si="43"/>
        <v>3929060.3904000008</v>
      </c>
      <c r="G48" s="417">
        <f t="shared" si="43"/>
        <v>3929060.3904000008</v>
      </c>
      <c r="H48" s="417">
        <f t="shared" si="43"/>
        <v>4439626.6648000004</v>
      </c>
      <c r="I48" s="417">
        <f t="shared" si="43"/>
        <v>4822551.3706</v>
      </c>
      <c r="J48" s="417">
        <f t="shared" si="43"/>
        <v>4822551.3706</v>
      </c>
      <c r="K48" s="417">
        <f t="shared" si="43"/>
        <v>4822551.3706</v>
      </c>
      <c r="L48" s="417">
        <f t="shared" si="43"/>
        <v>4822551.3706</v>
      </c>
      <c r="M48" s="417">
        <f t="shared" si="43"/>
        <v>4822551.3706</v>
      </c>
      <c r="N48" s="417">
        <f t="shared" si="43"/>
        <v>4822551.3706</v>
      </c>
      <c r="O48" s="417">
        <f t="shared" si="43"/>
        <v>4822551.3706</v>
      </c>
      <c r="P48" s="417">
        <f t="shared" si="43"/>
        <v>4822551.3706</v>
      </c>
      <c r="Q48" s="417">
        <f t="shared" si="43"/>
        <v>4822551.3706</v>
      </c>
      <c r="R48" s="417">
        <f t="shared" si="43"/>
        <v>4822551.3706</v>
      </c>
      <c r="S48" s="417">
        <f t="shared" si="43"/>
        <v>4822551.3706</v>
      </c>
      <c r="T48" s="417">
        <f t="shared" si="43"/>
        <v>4822551.3706</v>
      </c>
      <c r="U48" s="417">
        <f t="shared" si="43"/>
        <v>4822551.3706</v>
      </c>
      <c r="V48" s="417">
        <f t="shared" si="43"/>
        <v>4822551.3706</v>
      </c>
      <c r="W48" s="417">
        <f t="shared" si="43"/>
        <v>4822551.3706</v>
      </c>
      <c r="X48" s="417">
        <f t="shared" si="43"/>
        <v>4822551.3706</v>
      </c>
      <c r="Y48" s="417">
        <f t="shared" si="43"/>
        <v>4822551.3706</v>
      </c>
      <c r="Z48" s="417">
        <f t="shared" si="43"/>
        <v>4822551.3706</v>
      </c>
      <c r="AA48" s="417">
        <f t="shared" si="43"/>
        <v>4822551.3706</v>
      </c>
      <c r="AB48" s="417">
        <f t="shared" si="43"/>
        <v>4822551.3706</v>
      </c>
      <c r="AC48" s="417">
        <f t="shared" si="43"/>
        <v>4822551.3706</v>
      </c>
      <c r="AD48" s="417">
        <f t="shared" si="43"/>
        <v>4822551.3706</v>
      </c>
      <c r="AE48" s="417">
        <f t="shared" si="43"/>
        <v>4822551.3706</v>
      </c>
      <c r="AF48" s="417">
        <f t="shared" si="43"/>
        <v>4822551.3706</v>
      </c>
      <c r="AG48" s="417">
        <f t="shared" si="43"/>
        <v>4822551.3706</v>
      </c>
      <c r="AH48" s="417">
        <f t="shared" si="43"/>
        <v>4822551.3706</v>
      </c>
      <c r="AI48" s="417">
        <f t="shared" si="43"/>
        <v>4822551.3706</v>
      </c>
      <c r="AJ48" s="417">
        <f t="shared" si="43"/>
        <v>4822551.3706</v>
      </c>
      <c r="AK48" s="417">
        <f t="shared" si="43"/>
        <v>4822551.3706</v>
      </c>
      <c r="AL48" s="417">
        <f t="shared" si="43"/>
        <v>4822551.3706</v>
      </c>
      <c r="AM48" s="417">
        <f t="shared" si="43"/>
        <v>4822551.3706</v>
      </c>
      <c r="AN48" s="417">
        <f t="shared" si="43"/>
        <v>4822551.3706</v>
      </c>
      <c r="AO48" s="417">
        <f t="shared" si="43"/>
        <v>4822551.3706</v>
      </c>
      <c r="AP48" s="417">
        <f t="shared" si="43"/>
        <v>4822551.3706</v>
      </c>
      <c r="AQ48" s="417">
        <f t="shared" si="43"/>
        <v>4822551.3706</v>
      </c>
    </row>
    <row r="49" spans="1:60" ht="13.5" thickBot="1" x14ac:dyDescent="0.25">
      <c r="A49" s="231"/>
      <c r="B49" s="466" t="s">
        <v>52</v>
      </c>
      <c r="C49" s="465">
        <f t="shared" si="39"/>
        <v>188945166.19739985</v>
      </c>
      <c r="D49" s="467">
        <f t="shared" ref="D49:AG49" si="44">SUM(D48:D48)</f>
        <v>3929060.3904000008</v>
      </c>
      <c r="E49" s="467">
        <f t="shared" si="44"/>
        <v>3929060.3904000008</v>
      </c>
      <c r="F49" s="467">
        <f t="shared" si="44"/>
        <v>3929060.3904000008</v>
      </c>
      <c r="G49" s="467">
        <f t="shared" si="44"/>
        <v>3929060.3904000008</v>
      </c>
      <c r="H49" s="467">
        <f t="shared" si="44"/>
        <v>4439626.6648000004</v>
      </c>
      <c r="I49" s="467">
        <f t="shared" si="44"/>
        <v>4822551.3706</v>
      </c>
      <c r="J49" s="467">
        <f t="shared" si="44"/>
        <v>4822551.3706</v>
      </c>
      <c r="K49" s="467">
        <f t="shared" si="44"/>
        <v>4822551.3706</v>
      </c>
      <c r="L49" s="467">
        <f t="shared" si="44"/>
        <v>4822551.3706</v>
      </c>
      <c r="M49" s="467">
        <f t="shared" si="44"/>
        <v>4822551.3706</v>
      </c>
      <c r="N49" s="467">
        <f t="shared" si="44"/>
        <v>4822551.3706</v>
      </c>
      <c r="O49" s="467">
        <f t="shared" si="44"/>
        <v>4822551.3706</v>
      </c>
      <c r="P49" s="467">
        <f t="shared" si="44"/>
        <v>4822551.3706</v>
      </c>
      <c r="Q49" s="467">
        <f t="shared" si="44"/>
        <v>4822551.3706</v>
      </c>
      <c r="R49" s="467">
        <f t="shared" si="44"/>
        <v>4822551.3706</v>
      </c>
      <c r="S49" s="467">
        <f t="shared" si="44"/>
        <v>4822551.3706</v>
      </c>
      <c r="T49" s="467">
        <f t="shared" si="44"/>
        <v>4822551.3706</v>
      </c>
      <c r="U49" s="467">
        <f t="shared" si="44"/>
        <v>4822551.3706</v>
      </c>
      <c r="V49" s="467">
        <f t="shared" si="44"/>
        <v>4822551.3706</v>
      </c>
      <c r="W49" s="467">
        <f t="shared" si="44"/>
        <v>4822551.3706</v>
      </c>
      <c r="X49" s="467">
        <f t="shared" si="44"/>
        <v>4822551.3706</v>
      </c>
      <c r="Y49" s="467">
        <f t="shared" si="44"/>
        <v>4822551.3706</v>
      </c>
      <c r="Z49" s="467">
        <f t="shared" si="44"/>
        <v>4822551.3706</v>
      </c>
      <c r="AA49" s="467">
        <f t="shared" si="44"/>
        <v>4822551.3706</v>
      </c>
      <c r="AB49" s="467">
        <f t="shared" si="44"/>
        <v>4822551.3706</v>
      </c>
      <c r="AC49" s="467">
        <f t="shared" si="44"/>
        <v>4822551.3706</v>
      </c>
      <c r="AD49" s="467">
        <f t="shared" si="44"/>
        <v>4822551.3706</v>
      </c>
      <c r="AE49" s="467">
        <f t="shared" si="44"/>
        <v>4822551.3706</v>
      </c>
      <c r="AF49" s="467">
        <f t="shared" si="44"/>
        <v>4822551.3706</v>
      </c>
      <c r="AG49" s="467">
        <f t="shared" si="44"/>
        <v>4822551.3706</v>
      </c>
      <c r="AH49" s="467">
        <f t="shared" ref="AH49:AP49" si="45">SUM(AH48:AH48)</f>
        <v>4822551.3706</v>
      </c>
      <c r="AI49" s="467">
        <f t="shared" si="45"/>
        <v>4822551.3706</v>
      </c>
      <c r="AJ49" s="467">
        <f t="shared" si="45"/>
        <v>4822551.3706</v>
      </c>
      <c r="AK49" s="467">
        <f t="shared" si="45"/>
        <v>4822551.3706</v>
      </c>
      <c r="AL49" s="467">
        <f t="shared" si="45"/>
        <v>4822551.3706</v>
      </c>
      <c r="AM49" s="467">
        <f t="shared" si="45"/>
        <v>4822551.3706</v>
      </c>
      <c r="AN49" s="467">
        <f t="shared" si="45"/>
        <v>4822551.3706</v>
      </c>
      <c r="AO49" s="467">
        <f t="shared" si="45"/>
        <v>4822551.3706</v>
      </c>
      <c r="AP49" s="467">
        <f t="shared" si="45"/>
        <v>4822551.3706</v>
      </c>
      <c r="AQ49" s="467">
        <f t="shared" ref="AQ49" si="46">SUM(AQ48:AQ48)</f>
        <v>4822551.3706</v>
      </c>
    </row>
    <row r="50" spans="1:60" ht="13.5" thickTop="1" x14ac:dyDescent="0.2">
      <c r="A50" s="231"/>
      <c r="B50" s="468" t="s">
        <v>51</v>
      </c>
      <c r="C50" s="465">
        <f t="shared" si="39"/>
        <v>1178190462.1121998</v>
      </c>
      <c r="D50" s="469">
        <f t="shared" ref="D50:AP50" si="47">SUM(D47,D49)</f>
        <v>31746055.746000003</v>
      </c>
      <c r="E50" s="469">
        <f t="shared" si="47"/>
        <v>31746055.746000003</v>
      </c>
      <c r="F50" s="469">
        <f t="shared" si="47"/>
        <v>31746055.746000003</v>
      </c>
      <c r="G50" s="469">
        <f t="shared" si="47"/>
        <v>31746055.746000003</v>
      </c>
      <c r="H50" s="469">
        <f t="shared" si="47"/>
        <v>32241018.247600004</v>
      </c>
      <c r="I50" s="469">
        <f t="shared" si="47"/>
        <v>32612240.123799998</v>
      </c>
      <c r="J50" s="469">
        <f t="shared" si="47"/>
        <v>32612240.123799998</v>
      </c>
      <c r="K50" s="469">
        <f t="shared" si="47"/>
        <v>32612240.123799998</v>
      </c>
      <c r="L50" s="469">
        <f t="shared" si="47"/>
        <v>32612240.123799998</v>
      </c>
      <c r="M50" s="469">
        <f t="shared" si="47"/>
        <v>32612240.123799998</v>
      </c>
      <c r="N50" s="469">
        <f t="shared" si="47"/>
        <v>32612240.123799998</v>
      </c>
      <c r="O50" s="469">
        <f t="shared" si="47"/>
        <v>32612240.123799998</v>
      </c>
      <c r="P50" s="469">
        <f t="shared" si="47"/>
        <v>32612240.123799998</v>
      </c>
      <c r="Q50" s="469">
        <f t="shared" si="47"/>
        <v>32553674.647599999</v>
      </c>
      <c r="R50" s="469">
        <f t="shared" si="47"/>
        <v>32553674.647599999</v>
      </c>
      <c r="S50" s="469">
        <f t="shared" si="47"/>
        <v>24887346.023800001</v>
      </c>
      <c r="T50" s="469">
        <f t="shared" si="47"/>
        <v>24887346.023800001</v>
      </c>
      <c r="U50" s="469">
        <f t="shared" si="47"/>
        <v>24887346.023800001</v>
      </c>
      <c r="V50" s="469">
        <f t="shared" si="47"/>
        <v>24887346.023800001</v>
      </c>
      <c r="W50" s="469">
        <f t="shared" si="47"/>
        <v>24887346.023800001</v>
      </c>
      <c r="X50" s="469">
        <f t="shared" si="47"/>
        <v>24887346.023800001</v>
      </c>
      <c r="Y50" s="469">
        <f t="shared" si="47"/>
        <v>24887346.023800001</v>
      </c>
      <c r="Z50" s="469">
        <f t="shared" si="47"/>
        <v>24887346.023800001</v>
      </c>
      <c r="AA50" s="469">
        <f t="shared" si="47"/>
        <v>24887346.023800001</v>
      </c>
      <c r="AB50" s="469">
        <f t="shared" si="47"/>
        <v>24887346.023800001</v>
      </c>
      <c r="AC50" s="469">
        <f t="shared" si="47"/>
        <v>48479446.023800001</v>
      </c>
      <c r="AD50" s="469">
        <f t="shared" si="47"/>
        <v>24887346.023800001</v>
      </c>
      <c r="AE50" s="469">
        <f t="shared" si="47"/>
        <v>24887346.023800001</v>
      </c>
      <c r="AF50" s="469">
        <f t="shared" si="47"/>
        <v>24887346.023800001</v>
      </c>
      <c r="AG50" s="469">
        <f t="shared" si="47"/>
        <v>24887346.023800001</v>
      </c>
      <c r="AH50" s="469">
        <f t="shared" si="47"/>
        <v>24887346.023800001</v>
      </c>
      <c r="AI50" s="469">
        <f t="shared" si="47"/>
        <v>24887346.023800001</v>
      </c>
      <c r="AJ50" s="469">
        <f t="shared" si="47"/>
        <v>24887346.023800001</v>
      </c>
      <c r="AK50" s="469">
        <f t="shared" si="47"/>
        <v>24887346.023800001</v>
      </c>
      <c r="AL50" s="469">
        <f t="shared" si="47"/>
        <v>24887346.023800001</v>
      </c>
      <c r="AM50" s="469">
        <f t="shared" si="47"/>
        <v>72071546.023800001</v>
      </c>
      <c r="AN50" s="469">
        <f t="shared" si="47"/>
        <v>24887346.023800001</v>
      </c>
      <c r="AO50" s="469">
        <f t="shared" si="47"/>
        <v>24887346.023800001</v>
      </c>
      <c r="AP50" s="469">
        <f t="shared" si="47"/>
        <v>24887346.023800001</v>
      </c>
      <c r="AQ50" s="469">
        <f t="shared" ref="AQ50" si="48">SUM(AQ47,AQ49)</f>
        <v>24887346.023800001</v>
      </c>
    </row>
    <row r="51" spans="1:60" x14ac:dyDescent="0.2">
      <c r="A51" s="231"/>
      <c r="BC51" s="412"/>
      <c r="BD51" s="412"/>
      <c r="BE51" s="412"/>
      <c r="BF51" s="412"/>
      <c r="BG51" s="412"/>
      <c r="BH51" s="412"/>
    </row>
    <row r="52" spans="1:60" ht="13.5" thickBot="1" x14ac:dyDescent="0.25"/>
    <row r="53" spans="1:60" x14ac:dyDescent="0.2">
      <c r="B53" s="78"/>
      <c r="C53" s="683" t="s">
        <v>676</v>
      </c>
      <c r="D53" s="684"/>
      <c r="E53" s="694"/>
      <c r="K53" s="409" t="s">
        <v>273</v>
      </c>
      <c r="L53" s="464"/>
    </row>
    <row r="54" spans="1:60" s="412" customFormat="1" ht="22.35" customHeight="1" thickBot="1" x14ac:dyDescent="0.25">
      <c r="A54" s="409"/>
      <c r="B54" s="78"/>
      <c r="C54" s="686" t="s">
        <v>515</v>
      </c>
      <c r="D54" s="687"/>
      <c r="E54" s="295" t="s">
        <v>520</v>
      </c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409"/>
      <c r="BB54" s="409"/>
      <c r="BC54" s="409"/>
      <c r="BD54" s="409"/>
      <c r="BE54" s="409"/>
      <c r="BF54" s="409"/>
      <c r="BG54" s="409"/>
      <c r="BH54" s="409"/>
    </row>
    <row r="55" spans="1:60" x14ac:dyDescent="0.2">
      <c r="B55" s="285" t="s">
        <v>675</v>
      </c>
      <c r="C55" s="740">
        <v>0.1</v>
      </c>
      <c r="D55" s="741"/>
      <c r="E55" s="308">
        <v>0.2</v>
      </c>
    </row>
    <row r="56" spans="1:60" x14ac:dyDescent="0.2">
      <c r="C56" s="464"/>
    </row>
    <row r="72" spans="1:77" s="412" customFormat="1" x14ac:dyDescent="0.2">
      <c r="A72" s="409"/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09"/>
      <c r="AS72" s="409"/>
      <c r="AT72" s="409"/>
      <c r="AU72" s="409"/>
      <c r="AV72" s="409"/>
      <c r="AW72" s="409"/>
      <c r="AX72" s="409"/>
      <c r="AY72" s="409"/>
      <c r="AZ72" s="409"/>
      <c r="BA72" s="409"/>
      <c r="BB72" s="409"/>
      <c r="BC72" s="409"/>
      <c r="BD72" s="409"/>
      <c r="BE72" s="409"/>
      <c r="BF72" s="409"/>
      <c r="BG72" s="409"/>
      <c r="BH72" s="409"/>
      <c r="BI72" s="409"/>
      <c r="BJ72" s="409"/>
      <c r="BK72" s="409"/>
      <c r="BL72" s="409"/>
      <c r="BM72" s="409"/>
      <c r="BN72" s="409"/>
      <c r="BO72" s="409"/>
      <c r="BP72" s="409"/>
      <c r="BQ72" s="409"/>
      <c r="BR72" s="409"/>
      <c r="BS72" s="409"/>
      <c r="BT72" s="409"/>
      <c r="BU72" s="409"/>
      <c r="BV72" s="409"/>
      <c r="BW72" s="409"/>
      <c r="BX72" s="409"/>
      <c r="BY72" s="409"/>
    </row>
    <row r="75" spans="1:77" x14ac:dyDescent="0.2">
      <c r="AP75" s="412"/>
      <c r="AQ75" s="412"/>
      <c r="AR75" s="412"/>
      <c r="AS75" s="412"/>
      <c r="AT75" s="412"/>
      <c r="AU75" s="412"/>
      <c r="AV75" s="412"/>
      <c r="AW75" s="412"/>
      <c r="AX75" s="412"/>
      <c r="AY75" s="412"/>
      <c r="AZ75" s="412"/>
      <c r="BA75" s="412"/>
      <c r="BB75" s="412"/>
    </row>
    <row r="79" spans="1:77" s="412" customFormat="1" x14ac:dyDescent="0.2">
      <c r="A79" s="409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09"/>
      <c r="AQ79" s="409"/>
      <c r="AR79" s="409"/>
      <c r="AS79" s="409"/>
      <c r="AT79" s="409"/>
      <c r="AU79" s="409"/>
      <c r="AV79" s="409"/>
      <c r="AW79" s="409"/>
      <c r="AX79" s="409"/>
      <c r="AY79" s="409"/>
      <c r="AZ79" s="409"/>
      <c r="BA79" s="409"/>
      <c r="BB79" s="409"/>
      <c r="BC79" s="409"/>
      <c r="BD79" s="409"/>
      <c r="BE79" s="409"/>
      <c r="BF79" s="409"/>
      <c r="BG79" s="409"/>
      <c r="BH79" s="409"/>
      <c r="BI79" s="409"/>
      <c r="BJ79" s="409"/>
      <c r="BK79" s="409"/>
      <c r="BL79" s="409"/>
      <c r="BM79" s="409"/>
      <c r="BN79" s="409"/>
      <c r="BO79" s="409"/>
      <c r="BP79" s="409"/>
      <c r="BQ79" s="409"/>
      <c r="BR79" s="409"/>
      <c r="BS79" s="409"/>
      <c r="BT79" s="409"/>
      <c r="BU79" s="409"/>
      <c r="BV79" s="409"/>
      <c r="BW79" s="409"/>
      <c r="BX79" s="409"/>
      <c r="BY79" s="409"/>
    </row>
    <row r="92" spans="1:61" x14ac:dyDescent="0.2">
      <c r="BC92" s="412"/>
      <c r="BD92" s="412"/>
      <c r="BE92" s="412"/>
      <c r="BF92" s="412"/>
      <c r="BG92" s="412"/>
      <c r="BH92" s="412"/>
    </row>
    <row r="94" spans="1:61" x14ac:dyDescent="0.2">
      <c r="BI94" s="412"/>
    </row>
    <row r="95" spans="1:61" s="412" customFormat="1" x14ac:dyDescent="0.2">
      <c r="A95" s="409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9"/>
      <c r="AE95" s="409"/>
      <c r="AF95" s="409"/>
      <c r="AG95" s="409"/>
      <c r="AH95" s="409"/>
      <c r="AI95" s="409"/>
      <c r="AJ95" s="409"/>
      <c r="AK95" s="409"/>
      <c r="AL95" s="409"/>
      <c r="AM95" s="409"/>
      <c r="AN95" s="409"/>
      <c r="AO95" s="409"/>
      <c r="AP95" s="409"/>
      <c r="AQ95" s="409"/>
      <c r="AR95" s="409"/>
      <c r="AS95" s="409"/>
      <c r="AT95" s="409"/>
      <c r="AU95" s="409"/>
      <c r="AV95" s="409"/>
      <c r="AW95" s="409"/>
      <c r="AX95" s="409"/>
      <c r="AY95" s="409"/>
      <c r="AZ95" s="409"/>
      <c r="BA95" s="409"/>
      <c r="BB95" s="409"/>
      <c r="BC95" s="409"/>
      <c r="BD95" s="409"/>
      <c r="BE95" s="409"/>
      <c r="BF95" s="409"/>
      <c r="BG95" s="409"/>
      <c r="BH95" s="409"/>
      <c r="BI95" s="409"/>
    </row>
  </sheetData>
  <mergeCells count="16">
    <mergeCell ref="C53:E53"/>
    <mergeCell ref="C54:D54"/>
    <mergeCell ref="C55:D55"/>
    <mergeCell ref="G12:G22"/>
    <mergeCell ref="B26:B27"/>
    <mergeCell ref="D26:D28"/>
    <mergeCell ref="E26:E28"/>
    <mergeCell ref="F26:F28"/>
    <mergeCell ref="G29:G39"/>
    <mergeCell ref="B1:AK1"/>
    <mergeCell ref="B2:G4"/>
    <mergeCell ref="B5:G5"/>
    <mergeCell ref="B9:B10"/>
    <mergeCell ref="D9:D11"/>
    <mergeCell ref="E9:E11"/>
    <mergeCell ref="F9:F1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C3B5-FE55-4138-B3CF-653FB6048736}">
  <sheetPr>
    <tabColor rgb="FFFFC000"/>
  </sheetPr>
  <dimension ref="B2:AQ23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14.42578125" style="2" bestFit="1" customWidth="1"/>
    <col min="3" max="3" width="10.5703125" style="2" bestFit="1" customWidth="1"/>
    <col min="4" max="4" width="10.5703125" style="2" customWidth="1"/>
    <col min="5" max="16" width="10.5703125" style="2" bestFit="1" customWidth="1"/>
    <col min="17" max="17" width="10.5703125" style="2" customWidth="1"/>
    <col min="18" max="34" width="10.5703125" style="2" bestFit="1" customWidth="1"/>
    <col min="35" max="41" width="11.42578125" style="2" bestFit="1" customWidth="1"/>
    <col min="42" max="42" width="11.42578125" style="2" customWidth="1"/>
    <col min="43" max="43" width="11.42578125" style="2" bestFit="1" customWidth="1"/>
    <col min="44" max="16384" width="9.140625" style="2"/>
  </cols>
  <sheetData>
    <row r="2" spans="2:4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 t="s">
        <v>198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33</v>
      </c>
      <c r="C4" s="6" t="s">
        <v>9</v>
      </c>
      <c r="D4" s="7">
        <f>'Parametre EMU550'!C13</f>
        <v>2026</v>
      </c>
      <c r="E4" s="7">
        <f>$D$4+D3</f>
        <v>2027</v>
      </c>
      <c r="F4" s="7">
        <f>$D$4+E3</f>
        <v>2028</v>
      </c>
      <c r="G4" s="7">
        <f t="shared" ref="G4:AQ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si="0"/>
        <v>2056</v>
      </c>
      <c r="AI4" s="7">
        <f t="shared" si="0"/>
        <v>2057</v>
      </c>
      <c r="AJ4" s="7">
        <f t="shared" si="0"/>
        <v>2058</v>
      </c>
      <c r="AK4" s="7">
        <f t="shared" si="0"/>
        <v>2059</v>
      </c>
      <c r="AL4" s="7">
        <f t="shared" si="0"/>
        <v>2060</v>
      </c>
      <c r="AM4" s="7">
        <f t="shared" si="0"/>
        <v>2061</v>
      </c>
      <c r="AN4" s="7">
        <f t="shared" si="0"/>
        <v>2062</v>
      </c>
      <c r="AO4" s="7">
        <f t="shared" si="0"/>
        <v>2063</v>
      </c>
      <c r="AP4" s="7">
        <f t="shared" si="0"/>
        <v>2064</v>
      </c>
      <c r="AQ4" s="7">
        <f t="shared" si="0"/>
        <v>2065</v>
      </c>
    </row>
    <row r="5" spans="2:43" x14ac:dyDescent="0.2">
      <c r="B5" s="3" t="s">
        <v>282</v>
      </c>
      <c r="C5" s="8">
        <f>SUM(D5:AQ5)</f>
        <v>714967016.37455261</v>
      </c>
      <c r="D5" s="9">
        <f>'04 Prevádzkové príjmy NOV200'!D5</f>
        <v>16212988.223822912</v>
      </c>
      <c r="E5" s="9">
        <f>'04 Prevádzkové príjmy NOV200'!E5</f>
        <v>16375118.106061142</v>
      </c>
      <c r="F5" s="9">
        <f>'04 Prevádzkové príjmy NOV200'!F5</f>
        <v>16538869.287121752</v>
      </c>
      <c r="G5" s="9">
        <f>'04 Prevádzkové príjmy NOV200'!G5</f>
        <v>16704257.979992973</v>
      </c>
      <c r="H5" s="9">
        <f>'04 Prevádzkové príjmy NOV200'!H5</f>
        <v>16871300.559792899</v>
      </c>
      <c r="I5" s="9">
        <f>'04 Prevádzkové príjmy NOV200'!I5</f>
        <v>17040013.565390829</v>
      </c>
      <c r="J5" s="9">
        <f>'04 Prevádzkové príjmy NOV200'!J5</f>
        <v>17210413.701044738</v>
      </c>
      <c r="K5" s="9">
        <f>'04 Prevádzkové príjmy NOV200'!K5</f>
        <v>17382517.838055186</v>
      </c>
      <c r="L5" s="9">
        <f>'04 Prevádzkové príjmy NOV200'!L5</f>
        <v>17556343.016435739</v>
      </c>
      <c r="M5" s="9">
        <f>'04 Prevádzkové príjmy NOV200'!M5</f>
        <v>17731906.446600094</v>
      </c>
      <c r="N5" s="9">
        <f>'04 Prevádzkové príjmy NOV200'!N5</f>
        <v>17909225.511066094</v>
      </c>
      <c r="O5" s="9">
        <f>'04 Prevádzkové príjmy NOV200'!O5</f>
        <v>18088317.766176756</v>
      </c>
      <c r="P5" s="9">
        <f>'04 Prevádzkové príjmy NOV200'!P5</f>
        <v>18269200.943838526</v>
      </c>
      <c r="Q5" s="9">
        <f>'04 Prevádzkové príjmy NOV200'!Q5</f>
        <v>18451892.95327691</v>
      </c>
      <c r="R5" s="9">
        <f>'04 Prevádzkové príjmy NOV200'!R5</f>
        <v>18636411.88280968</v>
      </c>
      <c r="S5" s="9">
        <f>'04 Prevádzkové príjmy NOV200'!S5</f>
        <v>18599139.059044059</v>
      </c>
      <c r="T5" s="9">
        <f>'04 Prevádzkové príjmy NOV200'!T5</f>
        <v>18561940.780925971</v>
      </c>
      <c r="U5" s="9">
        <f>'04 Prevádzkové príjmy NOV200'!U5</f>
        <v>18524816.899364118</v>
      </c>
      <c r="V5" s="9">
        <f>'04 Prevádzkové príjmy NOV200'!V5</f>
        <v>18487767.265565388</v>
      </c>
      <c r="W5" s="9">
        <f>'04 Prevádzkové príjmy NOV200'!W5</f>
        <v>18450791.73103426</v>
      </c>
      <c r="X5" s="9">
        <f>'04 Prevádzkové príjmy NOV200'!X5</f>
        <v>18413890.147572193</v>
      </c>
      <c r="Y5" s="9">
        <f>'04 Prevádzkové príjmy NOV200'!Y5</f>
        <v>18377062.367277049</v>
      </c>
      <c r="Z5" s="9">
        <f>'04 Prevádzkové príjmy NOV200'!Z5</f>
        <v>18340308.24254249</v>
      </c>
      <c r="AA5" s="9">
        <f>'04 Prevádzkové príjmy NOV200'!AA5</f>
        <v>18303627.626057405</v>
      </c>
      <c r="AB5" s="9">
        <f>'04 Prevádzkové príjmy NOV200'!AB5</f>
        <v>18267020.370805293</v>
      </c>
      <c r="AC5" s="9">
        <f>'04 Prevádzkové príjmy NOV200'!AC5</f>
        <v>18230486.330063682</v>
      </c>
      <c r="AD5" s="9">
        <f>'04 Prevádzkové príjmy NOV200'!AD5</f>
        <v>18194025.35740355</v>
      </c>
      <c r="AE5" s="9">
        <f>'04 Prevádzkové príjmy NOV200'!AE5</f>
        <v>18157637.306688741</v>
      </c>
      <c r="AF5" s="9">
        <f>'04 Prevádzkové príjmy NOV200'!AF5</f>
        <v>18121322.032075368</v>
      </c>
      <c r="AG5" s="9">
        <f>'04 Prevádzkové príjmy NOV200'!AG5</f>
        <v>18085079.388011217</v>
      </c>
      <c r="AH5" s="9">
        <f>'04 Prevádzkové príjmy NOV200'!AH5</f>
        <v>18048909.229235195</v>
      </c>
      <c r="AI5" s="9">
        <f>'04 Prevádzkové príjmy NOV200'!AI5</f>
        <v>18012811.410776723</v>
      </c>
      <c r="AJ5" s="9">
        <f>'04 Prevádzkové príjmy NOV200'!AJ5</f>
        <v>17976785.787955169</v>
      </c>
      <c r="AK5" s="9">
        <f>'04 Prevádzkové príjmy NOV200'!AK5</f>
        <v>17940832.216379259</v>
      </c>
      <c r="AL5" s="9">
        <f>'04 Prevádzkové príjmy NOV200'!AL5</f>
        <v>17904950.551946498</v>
      </c>
      <c r="AM5" s="9">
        <f>'04 Prevádzkové príjmy NOV200'!AM5</f>
        <v>17869140.650842611</v>
      </c>
      <c r="AN5" s="9">
        <f>'04 Prevádzkové príjmy NOV200'!AN5</f>
        <v>17833402.369540922</v>
      </c>
      <c r="AO5" s="9">
        <f>'04 Prevádzkové príjmy NOV200'!AO5</f>
        <v>17797735.564801846</v>
      </c>
      <c r="AP5" s="9">
        <f>'04 Prevádzkové príjmy NOV200'!AP5</f>
        <v>17762140.093672238</v>
      </c>
      <c r="AQ5" s="9">
        <f>'04 Prevádzkové príjmy NOV200'!AQ5</f>
        <v>17726615.813484892</v>
      </c>
    </row>
    <row r="6" spans="2:43" x14ac:dyDescent="0.2">
      <c r="B6" s="3" t="s">
        <v>53</v>
      </c>
      <c r="C6" s="8">
        <f>SUM(D6:AQ6)</f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</row>
    <row r="7" spans="2:43" x14ac:dyDescent="0.2">
      <c r="B7" s="4" t="s">
        <v>11</v>
      </c>
      <c r="C7" s="13">
        <f>SUM(D7:AQ7)</f>
        <v>714967016.37455261</v>
      </c>
      <c r="D7" s="13">
        <f>SUM(D5:D6)</f>
        <v>16212988.223822912</v>
      </c>
      <c r="E7" s="13">
        <f t="shared" ref="E7:AP7" si="1">SUM(E5:E6)</f>
        <v>16375118.106061142</v>
      </c>
      <c r="F7" s="13">
        <f t="shared" si="1"/>
        <v>16538869.287121752</v>
      </c>
      <c r="G7" s="13">
        <f t="shared" si="1"/>
        <v>16704257.979992973</v>
      </c>
      <c r="H7" s="13">
        <f t="shared" si="1"/>
        <v>16871300.559792899</v>
      </c>
      <c r="I7" s="13">
        <f t="shared" si="1"/>
        <v>17040013.565390829</v>
      </c>
      <c r="J7" s="13">
        <f t="shared" si="1"/>
        <v>17210413.701044738</v>
      </c>
      <c r="K7" s="13">
        <f t="shared" si="1"/>
        <v>17382517.838055186</v>
      </c>
      <c r="L7" s="13">
        <f t="shared" si="1"/>
        <v>17556343.016435739</v>
      </c>
      <c r="M7" s="13">
        <f t="shared" si="1"/>
        <v>17731906.446600094</v>
      </c>
      <c r="N7" s="13">
        <f t="shared" si="1"/>
        <v>17909225.511066094</v>
      </c>
      <c r="O7" s="13">
        <f t="shared" si="1"/>
        <v>18088317.766176756</v>
      </c>
      <c r="P7" s="13">
        <f t="shared" si="1"/>
        <v>18269200.943838526</v>
      </c>
      <c r="Q7" s="13">
        <f t="shared" si="1"/>
        <v>18451892.95327691</v>
      </c>
      <c r="R7" s="13">
        <f t="shared" si="1"/>
        <v>18636411.88280968</v>
      </c>
      <c r="S7" s="13">
        <f t="shared" si="1"/>
        <v>18599139.059044059</v>
      </c>
      <c r="T7" s="13">
        <f t="shared" si="1"/>
        <v>18561940.780925971</v>
      </c>
      <c r="U7" s="13">
        <f t="shared" si="1"/>
        <v>18524816.899364118</v>
      </c>
      <c r="V7" s="13">
        <f t="shared" si="1"/>
        <v>18487767.265565388</v>
      </c>
      <c r="W7" s="13">
        <f t="shared" si="1"/>
        <v>18450791.73103426</v>
      </c>
      <c r="X7" s="13">
        <f t="shared" si="1"/>
        <v>18413890.147572193</v>
      </c>
      <c r="Y7" s="13">
        <f t="shared" si="1"/>
        <v>18377062.367277049</v>
      </c>
      <c r="Z7" s="13">
        <f t="shared" si="1"/>
        <v>18340308.24254249</v>
      </c>
      <c r="AA7" s="13">
        <f t="shared" si="1"/>
        <v>18303627.626057405</v>
      </c>
      <c r="AB7" s="13">
        <f t="shared" si="1"/>
        <v>18267020.370805293</v>
      </c>
      <c r="AC7" s="13">
        <f t="shared" si="1"/>
        <v>18230486.330063682</v>
      </c>
      <c r="AD7" s="13">
        <f t="shared" si="1"/>
        <v>18194025.35740355</v>
      </c>
      <c r="AE7" s="13">
        <f t="shared" si="1"/>
        <v>18157637.306688741</v>
      </c>
      <c r="AF7" s="13">
        <f t="shared" si="1"/>
        <v>18121322.032075368</v>
      </c>
      <c r="AG7" s="13">
        <f t="shared" si="1"/>
        <v>18085079.388011217</v>
      </c>
      <c r="AH7" s="13">
        <f t="shared" si="1"/>
        <v>18048909.229235195</v>
      </c>
      <c r="AI7" s="13">
        <f t="shared" si="1"/>
        <v>18012811.410776723</v>
      </c>
      <c r="AJ7" s="13">
        <f t="shared" si="1"/>
        <v>17976785.787955169</v>
      </c>
      <c r="AK7" s="13">
        <f t="shared" si="1"/>
        <v>17940832.216379259</v>
      </c>
      <c r="AL7" s="13">
        <f t="shared" si="1"/>
        <v>17904950.551946498</v>
      </c>
      <c r="AM7" s="13">
        <f t="shared" si="1"/>
        <v>17869140.650842611</v>
      </c>
      <c r="AN7" s="13">
        <f t="shared" si="1"/>
        <v>17833402.369540922</v>
      </c>
      <c r="AO7" s="13">
        <f t="shared" si="1"/>
        <v>17797735.564801846</v>
      </c>
      <c r="AP7" s="13">
        <f t="shared" si="1"/>
        <v>17762140.093672238</v>
      </c>
      <c r="AQ7" s="13">
        <f t="shared" ref="AQ7" si="2">SUM(AQ5:AQ6)</f>
        <v>17726615.813484892</v>
      </c>
    </row>
    <row r="10" spans="2:43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2:43" x14ac:dyDescent="0.2">
      <c r="B11" s="4" t="s">
        <v>199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  <c r="AH11" s="3">
        <v>31</v>
      </c>
      <c r="AI11" s="3">
        <v>32</v>
      </c>
      <c r="AJ11" s="3">
        <v>33</v>
      </c>
      <c r="AK11" s="3">
        <v>34</v>
      </c>
      <c r="AL11" s="3">
        <v>35</v>
      </c>
      <c r="AM11" s="3">
        <v>36</v>
      </c>
      <c r="AN11" s="3">
        <v>37</v>
      </c>
      <c r="AO11" s="3">
        <v>38</v>
      </c>
      <c r="AP11" s="3">
        <v>39</v>
      </c>
      <c r="AQ11" s="3">
        <v>40</v>
      </c>
    </row>
    <row r="12" spans="2:43" x14ac:dyDescent="0.2">
      <c r="B12" s="6" t="s">
        <v>34</v>
      </c>
      <c r="C12" s="6" t="s">
        <v>9</v>
      </c>
      <c r="D12" s="7">
        <f>D4</f>
        <v>2026</v>
      </c>
      <c r="E12" s="7">
        <f>E4</f>
        <v>2027</v>
      </c>
      <c r="F12" s="7">
        <f>F4</f>
        <v>2028</v>
      </c>
      <c r="G12" s="7">
        <f t="shared" ref="G12:AP12" si="3">G4</f>
        <v>2029</v>
      </c>
      <c r="H12" s="7">
        <f t="shared" si="3"/>
        <v>2030</v>
      </c>
      <c r="I12" s="7">
        <f t="shared" si="3"/>
        <v>2031</v>
      </c>
      <c r="J12" s="7">
        <f t="shared" si="3"/>
        <v>2032</v>
      </c>
      <c r="K12" s="7">
        <f t="shared" si="3"/>
        <v>2033</v>
      </c>
      <c r="L12" s="7">
        <f t="shared" si="3"/>
        <v>2034</v>
      </c>
      <c r="M12" s="7">
        <f t="shared" si="3"/>
        <v>2035</v>
      </c>
      <c r="N12" s="7">
        <f t="shared" si="3"/>
        <v>2036</v>
      </c>
      <c r="O12" s="7">
        <f t="shared" si="3"/>
        <v>2037</v>
      </c>
      <c r="P12" s="7">
        <f t="shared" si="3"/>
        <v>2038</v>
      </c>
      <c r="Q12" s="7">
        <f t="shared" si="3"/>
        <v>2039</v>
      </c>
      <c r="R12" s="7">
        <f t="shared" si="3"/>
        <v>2040</v>
      </c>
      <c r="S12" s="7">
        <f t="shared" si="3"/>
        <v>2041</v>
      </c>
      <c r="T12" s="7">
        <f t="shared" si="3"/>
        <v>2042</v>
      </c>
      <c r="U12" s="7">
        <f t="shared" si="3"/>
        <v>2043</v>
      </c>
      <c r="V12" s="7">
        <f t="shared" si="3"/>
        <v>2044</v>
      </c>
      <c r="W12" s="7">
        <f t="shared" si="3"/>
        <v>2045</v>
      </c>
      <c r="X12" s="7">
        <f t="shared" si="3"/>
        <v>2046</v>
      </c>
      <c r="Y12" s="7">
        <f t="shared" si="3"/>
        <v>2047</v>
      </c>
      <c r="Z12" s="7">
        <f t="shared" si="3"/>
        <v>2048</v>
      </c>
      <c r="AA12" s="7">
        <f t="shared" si="3"/>
        <v>2049</v>
      </c>
      <c r="AB12" s="7">
        <f t="shared" si="3"/>
        <v>2050</v>
      </c>
      <c r="AC12" s="7">
        <f t="shared" si="3"/>
        <v>2051</v>
      </c>
      <c r="AD12" s="7">
        <f t="shared" si="3"/>
        <v>2052</v>
      </c>
      <c r="AE12" s="7">
        <f t="shared" si="3"/>
        <v>2053</v>
      </c>
      <c r="AF12" s="7">
        <f t="shared" si="3"/>
        <v>2054</v>
      </c>
      <c r="AG12" s="7">
        <f t="shared" si="3"/>
        <v>2055</v>
      </c>
      <c r="AH12" s="7">
        <f t="shared" si="3"/>
        <v>2056</v>
      </c>
      <c r="AI12" s="7">
        <f t="shared" si="3"/>
        <v>2057</v>
      </c>
      <c r="AJ12" s="7">
        <f t="shared" si="3"/>
        <v>2058</v>
      </c>
      <c r="AK12" s="7">
        <f t="shared" si="3"/>
        <v>2059</v>
      </c>
      <c r="AL12" s="7">
        <f t="shared" si="3"/>
        <v>2060</v>
      </c>
      <c r="AM12" s="7">
        <f t="shared" si="3"/>
        <v>2061</v>
      </c>
      <c r="AN12" s="7">
        <f t="shared" si="3"/>
        <v>2062</v>
      </c>
      <c r="AO12" s="7">
        <f t="shared" si="3"/>
        <v>2063</v>
      </c>
      <c r="AP12" s="7">
        <f t="shared" si="3"/>
        <v>2064</v>
      </c>
      <c r="AQ12" s="7">
        <f t="shared" ref="AQ12" si="4">AQ4</f>
        <v>2065</v>
      </c>
    </row>
    <row r="13" spans="2:43" x14ac:dyDescent="0.2">
      <c r="B13" s="3" t="s">
        <v>282</v>
      </c>
      <c r="C13" s="8">
        <f>SUM(D13:AQ13)</f>
        <v>714967016.37455261</v>
      </c>
      <c r="D13" s="9">
        <f>D5</f>
        <v>16212988.223822912</v>
      </c>
      <c r="E13" s="9">
        <f t="shared" ref="E13:AQ13" si="5">E5</f>
        <v>16375118.106061142</v>
      </c>
      <c r="F13" s="9">
        <f t="shared" si="5"/>
        <v>16538869.287121752</v>
      </c>
      <c r="G13" s="9">
        <f t="shared" si="5"/>
        <v>16704257.979992973</v>
      </c>
      <c r="H13" s="9">
        <f t="shared" si="5"/>
        <v>16871300.559792899</v>
      </c>
      <c r="I13" s="9">
        <f t="shared" si="5"/>
        <v>17040013.565390829</v>
      </c>
      <c r="J13" s="9">
        <f t="shared" si="5"/>
        <v>17210413.701044738</v>
      </c>
      <c r="K13" s="9">
        <f t="shared" si="5"/>
        <v>17382517.838055186</v>
      </c>
      <c r="L13" s="9">
        <f t="shared" si="5"/>
        <v>17556343.016435739</v>
      </c>
      <c r="M13" s="9">
        <f t="shared" si="5"/>
        <v>17731906.446600094</v>
      </c>
      <c r="N13" s="9">
        <f t="shared" si="5"/>
        <v>17909225.511066094</v>
      </c>
      <c r="O13" s="9">
        <f t="shared" si="5"/>
        <v>18088317.766176756</v>
      </c>
      <c r="P13" s="9">
        <f t="shared" si="5"/>
        <v>18269200.943838526</v>
      </c>
      <c r="Q13" s="9">
        <f t="shared" si="5"/>
        <v>18451892.95327691</v>
      </c>
      <c r="R13" s="9">
        <f t="shared" si="5"/>
        <v>18636411.88280968</v>
      </c>
      <c r="S13" s="9">
        <f t="shared" si="5"/>
        <v>18599139.059044059</v>
      </c>
      <c r="T13" s="9">
        <f t="shared" si="5"/>
        <v>18561940.780925971</v>
      </c>
      <c r="U13" s="9">
        <f t="shared" si="5"/>
        <v>18524816.899364118</v>
      </c>
      <c r="V13" s="9">
        <f t="shared" si="5"/>
        <v>18487767.265565388</v>
      </c>
      <c r="W13" s="9">
        <f t="shared" si="5"/>
        <v>18450791.73103426</v>
      </c>
      <c r="X13" s="9">
        <f t="shared" si="5"/>
        <v>18413890.147572193</v>
      </c>
      <c r="Y13" s="9">
        <f t="shared" si="5"/>
        <v>18377062.367277049</v>
      </c>
      <c r="Z13" s="9">
        <f t="shared" si="5"/>
        <v>18340308.24254249</v>
      </c>
      <c r="AA13" s="9">
        <f t="shared" si="5"/>
        <v>18303627.626057405</v>
      </c>
      <c r="AB13" s="9">
        <f t="shared" si="5"/>
        <v>18267020.370805293</v>
      </c>
      <c r="AC13" s="9">
        <f t="shared" si="5"/>
        <v>18230486.330063682</v>
      </c>
      <c r="AD13" s="9">
        <f t="shared" si="5"/>
        <v>18194025.35740355</v>
      </c>
      <c r="AE13" s="9">
        <f t="shared" si="5"/>
        <v>18157637.306688741</v>
      </c>
      <c r="AF13" s="9">
        <f t="shared" si="5"/>
        <v>18121322.032075368</v>
      </c>
      <c r="AG13" s="9">
        <f t="shared" si="5"/>
        <v>18085079.388011217</v>
      </c>
      <c r="AH13" s="9">
        <f t="shared" si="5"/>
        <v>18048909.229235195</v>
      </c>
      <c r="AI13" s="9">
        <f t="shared" si="5"/>
        <v>18012811.410776723</v>
      </c>
      <c r="AJ13" s="9">
        <f t="shared" si="5"/>
        <v>17976785.787955169</v>
      </c>
      <c r="AK13" s="9">
        <f t="shared" si="5"/>
        <v>17940832.216379259</v>
      </c>
      <c r="AL13" s="9">
        <f t="shared" si="5"/>
        <v>17904950.551946498</v>
      </c>
      <c r="AM13" s="9">
        <f t="shared" si="5"/>
        <v>17869140.650842611</v>
      </c>
      <c r="AN13" s="9">
        <f t="shared" si="5"/>
        <v>17833402.369540922</v>
      </c>
      <c r="AO13" s="9">
        <f t="shared" si="5"/>
        <v>17797735.564801846</v>
      </c>
      <c r="AP13" s="9">
        <f t="shared" si="5"/>
        <v>17762140.093672238</v>
      </c>
      <c r="AQ13" s="9">
        <f t="shared" si="5"/>
        <v>17726615.813484892</v>
      </c>
    </row>
    <row r="14" spans="2:43" x14ac:dyDescent="0.2">
      <c r="B14" s="3" t="s">
        <v>53</v>
      </c>
      <c r="C14" s="8">
        <f>SUM(D14:AQ14)</f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</row>
    <row r="15" spans="2:43" x14ac:dyDescent="0.2">
      <c r="B15" s="4" t="s">
        <v>11</v>
      </c>
      <c r="C15" s="13">
        <f>SUM(D15:AQ15)</f>
        <v>714967016.37455261</v>
      </c>
      <c r="D15" s="13">
        <f>SUM(D13:D14)</f>
        <v>16212988.223822912</v>
      </c>
      <c r="E15" s="13">
        <f t="shared" ref="E15:AP15" si="6">SUM(E13:E14)</f>
        <v>16375118.106061142</v>
      </c>
      <c r="F15" s="13">
        <f t="shared" si="6"/>
        <v>16538869.287121752</v>
      </c>
      <c r="G15" s="13">
        <f t="shared" si="6"/>
        <v>16704257.979992973</v>
      </c>
      <c r="H15" s="13">
        <f t="shared" si="6"/>
        <v>16871300.559792899</v>
      </c>
      <c r="I15" s="13">
        <f t="shared" si="6"/>
        <v>17040013.565390829</v>
      </c>
      <c r="J15" s="13">
        <f t="shared" si="6"/>
        <v>17210413.701044738</v>
      </c>
      <c r="K15" s="13">
        <f t="shared" si="6"/>
        <v>17382517.838055186</v>
      </c>
      <c r="L15" s="13">
        <f t="shared" si="6"/>
        <v>17556343.016435739</v>
      </c>
      <c r="M15" s="13">
        <f t="shared" si="6"/>
        <v>17731906.446600094</v>
      </c>
      <c r="N15" s="13">
        <f t="shared" si="6"/>
        <v>17909225.511066094</v>
      </c>
      <c r="O15" s="13">
        <f t="shared" si="6"/>
        <v>18088317.766176756</v>
      </c>
      <c r="P15" s="13">
        <f t="shared" si="6"/>
        <v>18269200.943838526</v>
      </c>
      <c r="Q15" s="13">
        <f t="shared" si="6"/>
        <v>18451892.95327691</v>
      </c>
      <c r="R15" s="13">
        <f t="shared" si="6"/>
        <v>18636411.88280968</v>
      </c>
      <c r="S15" s="13">
        <f t="shared" si="6"/>
        <v>18599139.059044059</v>
      </c>
      <c r="T15" s="13">
        <f t="shared" si="6"/>
        <v>18561940.780925971</v>
      </c>
      <c r="U15" s="13">
        <f t="shared" si="6"/>
        <v>18524816.899364118</v>
      </c>
      <c r="V15" s="13">
        <f t="shared" si="6"/>
        <v>18487767.265565388</v>
      </c>
      <c r="W15" s="13">
        <f t="shared" si="6"/>
        <v>18450791.73103426</v>
      </c>
      <c r="X15" s="13">
        <f t="shared" si="6"/>
        <v>18413890.147572193</v>
      </c>
      <c r="Y15" s="13">
        <f t="shared" si="6"/>
        <v>18377062.367277049</v>
      </c>
      <c r="Z15" s="13">
        <f t="shared" si="6"/>
        <v>18340308.24254249</v>
      </c>
      <c r="AA15" s="13">
        <f t="shared" si="6"/>
        <v>18303627.626057405</v>
      </c>
      <c r="AB15" s="13">
        <f t="shared" si="6"/>
        <v>18267020.370805293</v>
      </c>
      <c r="AC15" s="13">
        <f t="shared" si="6"/>
        <v>18230486.330063682</v>
      </c>
      <c r="AD15" s="13">
        <f t="shared" si="6"/>
        <v>18194025.35740355</v>
      </c>
      <c r="AE15" s="13">
        <f t="shared" si="6"/>
        <v>18157637.306688741</v>
      </c>
      <c r="AF15" s="13">
        <f t="shared" si="6"/>
        <v>18121322.032075368</v>
      </c>
      <c r="AG15" s="13">
        <f t="shared" si="6"/>
        <v>18085079.388011217</v>
      </c>
      <c r="AH15" s="13">
        <f t="shared" si="6"/>
        <v>18048909.229235195</v>
      </c>
      <c r="AI15" s="13">
        <f t="shared" si="6"/>
        <v>18012811.410776723</v>
      </c>
      <c r="AJ15" s="13">
        <f t="shared" si="6"/>
        <v>17976785.787955169</v>
      </c>
      <c r="AK15" s="13">
        <f t="shared" si="6"/>
        <v>17940832.216379259</v>
      </c>
      <c r="AL15" s="13">
        <f t="shared" si="6"/>
        <v>17904950.551946498</v>
      </c>
      <c r="AM15" s="13">
        <f t="shared" si="6"/>
        <v>17869140.650842611</v>
      </c>
      <c r="AN15" s="13">
        <f t="shared" si="6"/>
        <v>17833402.369540922</v>
      </c>
      <c r="AO15" s="13">
        <f t="shared" si="6"/>
        <v>17797735.564801846</v>
      </c>
      <c r="AP15" s="13">
        <f t="shared" si="6"/>
        <v>17762140.093672238</v>
      </c>
      <c r="AQ15" s="13">
        <f t="shared" ref="AQ15" si="7">SUM(AQ13:AQ14)</f>
        <v>17726615.813484892</v>
      </c>
    </row>
    <row r="18" spans="2:43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2:43" x14ac:dyDescent="0.2">
      <c r="B19" s="4" t="s">
        <v>200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  <c r="AH19" s="3">
        <v>31</v>
      </c>
      <c r="AI19" s="3">
        <v>32</v>
      </c>
      <c r="AJ19" s="3">
        <v>33</v>
      </c>
      <c r="AK19" s="3">
        <v>34</v>
      </c>
      <c r="AL19" s="3">
        <v>35</v>
      </c>
      <c r="AM19" s="3">
        <v>36</v>
      </c>
      <c r="AN19" s="3">
        <v>37</v>
      </c>
      <c r="AO19" s="3">
        <v>38</v>
      </c>
      <c r="AP19" s="3">
        <v>39</v>
      </c>
      <c r="AQ19" s="3">
        <v>40</v>
      </c>
    </row>
    <row r="20" spans="2:43" x14ac:dyDescent="0.2">
      <c r="B20" s="154" t="s">
        <v>201</v>
      </c>
      <c r="C20" s="154" t="s">
        <v>9</v>
      </c>
      <c r="D20" s="281">
        <f>D4</f>
        <v>2026</v>
      </c>
      <c r="E20" s="281">
        <f t="shared" ref="E20:AP20" si="8">E4</f>
        <v>2027</v>
      </c>
      <c r="F20" s="281">
        <f t="shared" si="8"/>
        <v>2028</v>
      </c>
      <c r="G20" s="281">
        <f t="shared" si="8"/>
        <v>2029</v>
      </c>
      <c r="H20" s="281">
        <f t="shared" si="8"/>
        <v>2030</v>
      </c>
      <c r="I20" s="281">
        <f t="shared" si="8"/>
        <v>2031</v>
      </c>
      <c r="J20" s="281">
        <f t="shared" si="8"/>
        <v>2032</v>
      </c>
      <c r="K20" s="281">
        <f t="shared" si="8"/>
        <v>2033</v>
      </c>
      <c r="L20" s="281">
        <f t="shared" si="8"/>
        <v>2034</v>
      </c>
      <c r="M20" s="281">
        <f t="shared" si="8"/>
        <v>2035</v>
      </c>
      <c r="N20" s="281">
        <f t="shared" si="8"/>
        <v>2036</v>
      </c>
      <c r="O20" s="281">
        <f t="shared" si="8"/>
        <v>2037</v>
      </c>
      <c r="P20" s="281">
        <f t="shared" si="8"/>
        <v>2038</v>
      </c>
      <c r="Q20" s="281">
        <f t="shared" si="8"/>
        <v>2039</v>
      </c>
      <c r="R20" s="281">
        <f t="shared" si="8"/>
        <v>2040</v>
      </c>
      <c r="S20" s="281">
        <f t="shared" si="8"/>
        <v>2041</v>
      </c>
      <c r="T20" s="281">
        <f t="shared" si="8"/>
        <v>2042</v>
      </c>
      <c r="U20" s="281">
        <f t="shared" si="8"/>
        <v>2043</v>
      </c>
      <c r="V20" s="281">
        <f t="shared" si="8"/>
        <v>2044</v>
      </c>
      <c r="W20" s="281">
        <f t="shared" si="8"/>
        <v>2045</v>
      </c>
      <c r="X20" s="281">
        <f t="shared" si="8"/>
        <v>2046</v>
      </c>
      <c r="Y20" s="281">
        <f t="shared" si="8"/>
        <v>2047</v>
      </c>
      <c r="Z20" s="281">
        <f t="shared" si="8"/>
        <v>2048</v>
      </c>
      <c r="AA20" s="281">
        <f t="shared" si="8"/>
        <v>2049</v>
      </c>
      <c r="AB20" s="281">
        <f t="shared" si="8"/>
        <v>2050</v>
      </c>
      <c r="AC20" s="281">
        <f t="shared" si="8"/>
        <v>2051</v>
      </c>
      <c r="AD20" s="281">
        <f t="shared" si="8"/>
        <v>2052</v>
      </c>
      <c r="AE20" s="281">
        <f t="shared" si="8"/>
        <v>2053</v>
      </c>
      <c r="AF20" s="281">
        <f t="shared" si="8"/>
        <v>2054</v>
      </c>
      <c r="AG20" s="281">
        <f t="shared" si="8"/>
        <v>2055</v>
      </c>
      <c r="AH20" s="281">
        <f t="shared" si="8"/>
        <v>2056</v>
      </c>
      <c r="AI20" s="281">
        <f t="shared" si="8"/>
        <v>2057</v>
      </c>
      <c r="AJ20" s="281">
        <f t="shared" si="8"/>
        <v>2058</v>
      </c>
      <c r="AK20" s="281">
        <f t="shared" si="8"/>
        <v>2059</v>
      </c>
      <c r="AL20" s="281">
        <f t="shared" si="8"/>
        <v>2060</v>
      </c>
      <c r="AM20" s="281">
        <f t="shared" si="8"/>
        <v>2061</v>
      </c>
      <c r="AN20" s="281">
        <f t="shared" si="8"/>
        <v>2062</v>
      </c>
      <c r="AO20" s="281">
        <f t="shared" si="8"/>
        <v>2063</v>
      </c>
      <c r="AP20" s="281">
        <f t="shared" si="8"/>
        <v>2064</v>
      </c>
      <c r="AQ20" s="281">
        <f t="shared" ref="AQ20" si="9">AQ4</f>
        <v>2065</v>
      </c>
    </row>
    <row r="21" spans="2:43" x14ac:dyDescent="0.2">
      <c r="B21" s="3" t="s">
        <v>282</v>
      </c>
      <c r="C21" s="8">
        <f>SUM(D21:AP21)</f>
        <v>0</v>
      </c>
      <c r="D21" s="8">
        <f>D13-D5</f>
        <v>0</v>
      </c>
      <c r="E21" s="8">
        <f t="shared" ref="E21:AP22" si="10">E13-E5</f>
        <v>0</v>
      </c>
      <c r="F21" s="8">
        <f t="shared" si="10"/>
        <v>0</v>
      </c>
      <c r="G21" s="8">
        <f t="shared" si="10"/>
        <v>0</v>
      </c>
      <c r="H21" s="8">
        <f t="shared" si="10"/>
        <v>0</v>
      </c>
      <c r="I21" s="8">
        <f t="shared" si="10"/>
        <v>0</v>
      </c>
      <c r="J21" s="8">
        <f t="shared" si="10"/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8">
        <f t="shared" si="10"/>
        <v>0</v>
      </c>
      <c r="U21" s="8">
        <f t="shared" si="10"/>
        <v>0</v>
      </c>
      <c r="V21" s="8">
        <f t="shared" si="10"/>
        <v>0</v>
      </c>
      <c r="W21" s="8">
        <f t="shared" si="10"/>
        <v>0</v>
      </c>
      <c r="X21" s="8">
        <f t="shared" si="10"/>
        <v>0</v>
      </c>
      <c r="Y21" s="8">
        <f t="shared" si="10"/>
        <v>0</v>
      </c>
      <c r="Z21" s="8">
        <f t="shared" si="10"/>
        <v>0</v>
      </c>
      <c r="AA21" s="8">
        <f t="shared" si="10"/>
        <v>0</v>
      </c>
      <c r="AB21" s="8">
        <f t="shared" si="10"/>
        <v>0</v>
      </c>
      <c r="AC21" s="8">
        <f t="shared" si="10"/>
        <v>0</v>
      </c>
      <c r="AD21" s="8">
        <f t="shared" si="10"/>
        <v>0</v>
      </c>
      <c r="AE21" s="8">
        <f t="shared" si="10"/>
        <v>0</v>
      </c>
      <c r="AF21" s="8">
        <f t="shared" si="10"/>
        <v>0</v>
      </c>
      <c r="AG21" s="8">
        <f t="shared" si="10"/>
        <v>0</v>
      </c>
      <c r="AH21" s="8">
        <f t="shared" si="10"/>
        <v>0</v>
      </c>
      <c r="AI21" s="8">
        <f t="shared" si="10"/>
        <v>0</v>
      </c>
      <c r="AJ21" s="8">
        <f t="shared" si="10"/>
        <v>0</v>
      </c>
      <c r="AK21" s="8">
        <f t="shared" si="10"/>
        <v>0</v>
      </c>
      <c r="AL21" s="8">
        <f t="shared" si="10"/>
        <v>0</v>
      </c>
      <c r="AM21" s="8">
        <f t="shared" si="10"/>
        <v>0</v>
      </c>
      <c r="AN21" s="8">
        <f t="shared" si="10"/>
        <v>0</v>
      </c>
      <c r="AO21" s="8">
        <f t="shared" si="10"/>
        <v>0</v>
      </c>
      <c r="AP21" s="8">
        <f t="shared" si="10"/>
        <v>0</v>
      </c>
      <c r="AQ21" s="8">
        <f t="shared" ref="AQ21" si="11">AQ13-AQ5</f>
        <v>0</v>
      </c>
    </row>
    <row r="22" spans="2:43" x14ac:dyDescent="0.2">
      <c r="B22" s="3" t="s">
        <v>53</v>
      </c>
      <c r="C22" s="8">
        <f t="shared" ref="C22:C23" si="12">SUM(D22:AP22)</f>
        <v>0</v>
      </c>
      <c r="D22" s="8">
        <f>D14-D6</f>
        <v>0</v>
      </c>
      <c r="E22" s="8">
        <f t="shared" si="10"/>
        <v>0</v>
      </c>
      <c r="F22" s="8">
        <f t="shared" si="10"/>
        <v>0</v>
      </c>
      <c r="G22" s="8">
        <f t="shared" si="10"/>
        <v>0</v>
      </c>
      <c r="H22" s="8">
        <f t="shared" si="10"/>
        <v>0</v>
      </c>
      <c r="I22" s="8">
        <f t="shared" si="10"/>
        <v>0</v>
      </c>
      <c r="J22" s="8">
        <f t="shared" si="10"/>
        <v>0</v>
      </c>
      <c r="K22" s="8">
        <f t="shared" si="10"/>
        <v>0</v>
      </c>
      <c r="L22" s="8">
        <f t="shared" si="10"/>
        <v>0</v>
      </c>
      <c r="M22" s="8">
        <f t="shared" si="10"/>
        <v>0</v>
      </c>
      <c r="N22" s="8">
        <f t="shared" si="10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8">
        <f t="shared" si="10"/>
        <v>0</v>
      </c>
      <c r="U22" s="8">
        <f t="shared" si="10"/>
        <v>0</v>
      </c>
      <c r="V22" s="8">
        <f t="shared" si="10"/>
        <v>0</v>
      </c>
      <c r="W22" s="8">
        <f t="shared" si="10"/>
        <v>0</v>
      </c>
      <c r="X22" s="8">
        <f t="shared" si="10"/>
        <v>0</v>
      </c>
      <c r="Y22" s="8">
        <f t="shared" si="10"/>
        <v>0</v>
      </c>
      <c r="Z22" s="8">
        <f t="shared" si="10"/>
        <v>0</v>
      </c>
      <c r="AA22" s="8">
        <f t="shared" si="10"/>
        <v>0</v>
      </c>
      <c r="AB22" s="8">
        <f t="shared" si="10"/>
        <v>0</v>
      </c>
      <c r="AC22" s="8">
        <f t="shared" si="10"/>
        <v>0</v>
      </c>
      <c r="AD22" s="8">
        <f t="shared" si="10"/>
        <v>0</v>
      </c>
      <c r="AE22" s="8">
        <f t="shared" si="10"/>
        <v>0</v>
      </c>
      <c r="AF22" s="8">
        <f t="shared" si="10"/>
        <v>0</v>
      </c>
      <c r="AG22" s="8">
        <f t="shared" si="10"/>
        <v>0</v>
      </c>
      <c r="AH22" s="8">
        <f t="shared" si="10"/>
        <v>0</v>
      </c>
      <c r="AI22" s="8">
        <f t="shared" si="10"/>
        <v>0</v>
      </c>
      <c r="AJ22" s="8">
        <f t="shared" si="10"/>
        <v>0</v>
      </c>
      <c r="AK22" s="8">
        <f t="shared" si="10"/>
        <v>0</v>
      </c>
      <c r="AL22" s="8">
        <f t="shared" si="10"/>
        <v>0</v>
      </c>
      <c r="AM22" s="8">
        <f t="shared" si="10"/>
        <v>0</v>
      </c>
      <c r="AN22" s="8">
        <f t="shared" si="10"/>
        <v>0</v>
      </c>
      <c r="AO22" s="8">
        <f t="shared" si="10"/>
        <v>0</v>
      </c>
      <c r="AP22" s="8">
        <f t="shared" si="10"/>
        <v>0</v>
      </c>
      <c r="AQ22" s="8">
        <f t="shared" ref="AQ22" si="13">AQ14-AQ6</f>
        <v>0</v>
      </c>
    </row>
    <row r="23" spans="2:43" x14ac:dyDescent="0.2">
      <c r="B23" s="4" t="s">
        <v>11</v>
      </c>
      <c r="C23" s="13">
        <f t="shared" si="12"/>
        <v>0</v>
      </c>
      <c r="D23" s="13">
        <f>SUM(D21:D22)</f>
        <v>0</v>
      </c>
      <c r="E23" s="13">
        <f t="shared" ref="E23:AP23" si="14">SUM(E21:E22)</f>
        <v>0</v>
      </c>
      <c r="F23" s="13">
        <f t="shared" si="14"/>
        <v>0</v>
      </c>
      <c r="G23" s="13">
        <f t="shared" si="14"/>
        <v>0</v>
      </c>
      <c r="H23" s="13">
        <f t="shared" si="14"/>
        <v>0</v>
      </c>
      <c r="I23" s="13">
        <f t="shared" si="14"/>
        <v>0</v>
      </c>
      <c r="J23" s="13">
        <f t="shared" si="14"/>
        <v>0</v>
      </c>
      <c r="K23" s="13">
        <f t="shared" si="14"/>
        <v>0</v>
      </c>
      <c r="L23" s="13">
        <f t="shared" si="14"/>
        <v>0</v>
      </c>
      <c r="M23" s="13">
        <f t="shared" si="14"/>
        <v>0</v>
      </c>
      <c r="N23" s="13">
        <f t="shared" si="14"/>
        <v>0</v>
      </c>
      <c r="O23" s="13">
        <f t="shared" si="14"/>
        <v>0</v>
      </c>
      <c r="P23" s="13">
        <f t="shared" si="14"/>
        <v>0</v>
      </c>
      <c r="Q23" s="13">
        <f t="shared" si="14"/>
        <v>0</v>
      </c>
      <c r="R23" s="13">
        <f t="shared" si="14"/>
        <v>0</v>
      </c>
      <c r="S23" s="13">
        <f t="shared" si="14"/>
        <v>0</v>
      </c>
      <c r="T23" s="13">
        <f t="shared" si="14"/>
        <v>0</v>
      </c>
      <c r="U23" s="13">
        <f t="shared" si="14"/>
        <v>0</v>
      </c>
      <c r="V23" s="13">
        <f t="shared" si="14"/>
        <v>0</v>
      </c>
      <c r="W23" s="13">
        <f t="shared" si="14"/>
        <v>0</v>
      </c>
      <c r="X23" s="13">
        <f t="shared" si="14"/>
        <v>0</v>
      </c>
      <c r="Y23" s="13">
        <f t="shared" si="14"/>
        <v>0</v>
      </c>
      <c r="Z23" s="13">
        <f t="shared" si="14"/>
        <v>0</v>
      </c>
      <c r="AA23" s="13">
        <f t="shared" si="14"/>
        <v>0</v>
      </c>
      <c r="AB23" s="13">
        <f t="shared" si="14"/>
        <v>0</v>
      </c>
      <c r="AC23" s="13">
        <f t="shared" si="14"/>
        <v>0</v>
      </c>
      <c r="AD23" s="13">
        <f t="shared" si="14"/>
        <v>0</v>
      </c>
      <c r="AE23" s="13">
        <f t="shared" si="14"/>
        <v>0</v>
      </c>
      <c r="AF23" s="13">
        <f t="shared" si="14"/>
        <v>0</v>
      </c>
      <c r="AG23" s="13">
        <f t="shared" si="14"/>
        <v>0</v>
      </c>
      <c r="AH23" s="13">
        <f t="shared" si="14"/>
        <v>0</v>
      </c>
      <c r="AI23" s="13">
        <f t="shared" si="14"/>
        <v>0</v>
      </c>
      <c r="AJ23" s="13">
        <f t="shared" si="14"/>
        <v>0</v>
      </c>
      <c r="AK23" s="13">
        <f t="shared" si="14"/>
        <v>0</v>
      </c>
      <c r="AL23" s="13">
        <f t="shared" si="14"/>
        <v>0</v>
      </c>
      <c r="AM23" s="13">
        <f t="shared" si="14"/>
        <v>0</v>
      </c>
      <c r="AN23" s="13">
        <f t="shared" si="14"/>
        <v>0</v>
      </c>
      <c r="AO23" s="13">
        <f t="shared" si="14"/>
        <v>0</v>
      </c>
      <c r="AP23" s="13">
        <f t="shared" si="14"/>
        <v>0</v>
      </c>
      <c r="AQ23" s="13">
        <f t="shared" ref="AQ23" si="15">SUM(AQ21:AQ22)</f>
        <v>0</v>
      </c>
    </row>
  </sheetData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B324-E93C-4F4F-918F-D50782314DBE}">
  <sheetPr>
    <tabColor rgb="FFFFC000"/>
  </sheetPr>
  <dimension ref="B2:AG29"/>
  <sheetViews>
    <sheetView zoomScale="90" zoomScaleNormal="90" workbookViewId="0"/>
  </sheetViews>
  <sheetFormatPr defaultColWidth="9.140625" defaultRowHeight="11.25" x14ac:dyDescent="0.2"/>
  <cols>
    <col min="1" max="1" width="2.5703125" style="2" customWidth="1"/>
    <col min="2" max="2" width="30.85546875" style="2" customWidth="1"/>
    <col min="3" max="13" width="12.85546875" style="2" customWidth="1"/>
    <col min="14" max="33" width="6.85546875" style="2" customWidth="1"/>
    <col min="34" max="16384" width="9.140625" style="2"/>
  </cols>
  <sheetData>
    <row r="2" spans="2:6" x14ac:dyDescent="0.2">
      <c r="B2" s="6" t="s">
        <v>15</v>
      </c>
      <c r="C2" s="110" t="s">
        <v>28</v>
      </c>
      <c r="D2" s="110" t="s">
        <v>29</v>
      </c>
    </row>
    <row r="3" spans="2:6" x14ac:dyDescent="0.2">
      <c r="B3" s="3" t="s">
        <v>220</v>
      </c>
      <c r="C3" s="113">
        <f>'01 Investičné výdavky EMU550'!C12</f>
        <v>235921000</v>
      </c>
      <c r="D3" s="155">
        <f>'06 Finančná analýza EMU550'!C5</f>
        <v>206275774.0559679</v>
      </c>
      <c r="F3" s="2" t="s">
        <v>186</v>
      </c>
    </row>
    <row r="4" spans="2:6" x14ac:dyDescent="0.2">
      <c r="B4" s="3" t="s">
        <v>16</v>
      </c>
      <c r="C4" s="113">
        <f>'06 Finančná analýza EMU550'!AP8</f>
        <v>118746903.33333334</v>
      </c>
      <c r="D4" s="155">
        <f>'06 Finančná analýza EMU550'!C8</f>
        <v>26751947.262624402</v>
      </c>
    </row>
    <row r="5" spans="2:6" x14ac:dyDescent="0.2">
      <c r="B5" s="3" t="s">
        <v>171</v>
      </c>
      <c r="C5" s="113">
        <f>'04 Prevádzkové príjmy EMU550'!C23</f>
        <v>0</v>
      </c>
      <c r="D5" s="155">
        <f>'06 Finančná analýza EMU550'!C7</f>
        <v>0</v>
      </c>
    </row>
    <row r="6" spans="2:6" x14ac:dyDescent="0.2">
      <c r="B6" s="3" t="s">
        <v>57</v>
      </c>
      <c r="C6" s="113">
        <f>'03 Prev. výdavky EMU550'!C32</f>
        <v>-466851767.72779983</v>
      </c>
      <c r="D6" s="155">
        <f>'06 Finančná analýza EMU550'!C6</f>
        <v>-181173654.65318218</v>
      </c>
      <c r="F6" s="742" t="s">
        <v>779</v>
      </c>
    </row>
    <row r="7" spans="2:6" x14ac:dyDescent="0.2">
      <c r="B7" s="3" t="s">
        <v>219</v>
      </c>
      <c r="C7" s="126"/>
      <c r="D7" s="155">
        <f>IF(D6&gt;D5,D4+D5-D6,0)</f>
        <v>0</v>
      </c>
      <c r="F7" s="742" t="s">
        <v>780</v>
      </c>
    </row>
    <row r="8" spans="2:6" x14ac:dyDescent="0.2">
      <c r="B8" s="3" t="s">
        <v>221</v>
      </c>
      <c r="C8" s="127"/>
      <c r="D8" s="155">
        <f>D3-D7</f>
        <v>206275774.0559679</v>
      </c>
    </row>
    <row r="9" spans="2:6" x14ac:dyDescent="0.2">
      <c r="B9" s="3" t="s">
        <v>222</v>
      </c>
      <c r="C9" s="128"/>
      <c r="D9" s="156">
        <f>IFERROR(D8/D3,0)</f>
        <v>1</v>
      </c>
    </row>
    <row r="12" spans="2:6" x14ac:dyDescent="0.2">
      <c r="B12" s="6" t="s">
        <v>18</v>
      </c>
      <c r="C12" s="19"/>
      <c r="D12" s="2" t="s">
        <v>224</v>
      </c>
    </row>
    <row r="13" spans="2:6" x14ac:dyDescent="0.2">
      <c r="B13" s="3" t="s">
        <v>299</v>
      </c>
      <c r="C13" s="8">
        <v>0</v>
      </c>
    </row>
    <row r="14" spans="2:6" x14ac:dyDescent="0.2">
      <c r="B14" s="3" t="s">
        <v>300</v>
      </c>
      <c r="C14" s="9"/>
      <c r="D14" s="2" t="s">
        <v>302</v>
      </c>
    </row>
    <row r="15" spans="2:6" x14ac:dyDescent="0.2">
      <c r="B15" s="3" t="s">
        <v>301</v>
      </c>
      <c r="C15" s="8">
        <f>C13+C14</f>
        <v>0</v>
      </c>
    </row>
    <row r="16" spans="2:6" x14ac:dyDescent="0.2">
      <c r="B16" s="3" t="s">
        <v>172</v>
      </c>
      <c r="C16" s="8">
        <f>C15*D9</f>
        <v>0</v>
      </c>
    </row>
    <row r="17" spans="2:33" x14ac:dyDescent="0.2">
      <c r="B17" s="3" t="s">
        <v>17</v>
      </c>
      <c r="C17" s="24">
        <v>1</v>
      </c>
    </row>
    <row r="18" spans="2:33" x14ac:dyDescent="0.2">
      <c r="B18" s="3" t="s">
        <v>19</v>
      </c>
      <c r="C18" s="8">
        <f>C16*C17</f>
        <v>0</v>
      </c>
    </row>
    <row r="19" spans="2:33" x14ac:dyDescent="0.2">
      <c r="B19" s="752" t="s">
        <v>496</v>
      </c>
      <c r="C19" s="753">
        <f>IFERROR(C18/C13,0)</f>
        <v>0</v>
      </c>
    </row>
    <row r="20" spans="2:33" x14ac:dyDescent="0.2">
      <c r="B20" s="15"/>
    </row>
    <row r="21" spans="2:33" x14ac:dyDescent="0.2">
      <c r="B21" s="15"/>
    </row>
    <row r="22" spans="2:33" x14ac:dyDescent="0.2">
      <c r="B22" s="3"/>
      <c r="C22" s="3"/>
      <c r="D22" s="3" t="s">
        <v>10</v>
      </c>
      <c r="E22" s="3"/>
      <c r="F22" s="3"/>
      <c r="G22" s="3"/>
      <c r="H22" s="3"/>
      <c r="I22" s="3"/>
      <c r="J22" s="3"/>
      <c r="K22" s="3"/>
      <c r="L22" s="3"/>
      <c r="M22" s="3"/>
    </row>
    <row r="23" spans="2:33" x14ac:dyDescent="0.2">
      <c r="B23" s="4"/>
      <c r="C23" s="4"/>
      <c r="D23" s="5">
        <v>1</v>
      </c>
      <c r="E23" s="5">
        <v>2</v>
      </c>
      <c r="F23" s="5">
        <v>3</v>
      </c>
      <c r="G23" s="5">
        <v>4</v>
      </c>
      <c r="H23" s="5">
        <v>5</v>
      </c>
      <c r="I23" s="5">
        <v>6</v>
      </c>
      <c r="J23" s="5">
        <v>7</v>
      </c>
      <c r="K23" s="5">
        <v>8</v>
      </c>
      <c r="L23" s="5">
        <v>9</v>
      </c>
      <c r="M23" s="5">
        <v>10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3" x14ac:dyDescent="0.2">
      <c r="B24" s="6" t="s">
        <v>497</v>
      </c>
      <c r="C24" s="110" t="s">
        <v>9</v>
      </c>
      <c r="D24" s="7">
        <f>'Parametre EMU550'!C13</f>
        <v>2026</v>
      </c>
      <c r="E24" s="7">
        <f>$D$24+D23</f>
        <v>2027</v>
      </c>
      <c r="F24" s="7">
        <f>$D$24+E23</f>
        <v>2028</v>
      </c>
      <c r="G24" s="7">
        <f>$D$24+F23</f>
        <v>2029</v>
      </c>
      <c r="H24" s="7">
        <f t="shared" ref="H24:M24" si="0">$D$24+G23</f>
        <v>2030</v>
      </c>
      <c r="I24" s="7">
        <f t="shared" si="0"/>
        <v>2031</v>
      </c>
      <c r="J24" s="7">
        <f t="shared" si="0"/>
        <v>2032</v>
      </c>
      <c r="K24" s="7">
        <f t="shared" si="0"/>
        <v>2033</v>
      </c>
      <c r="L24" s="7">
        <f t="shared" si="0"/>
        <v>2034</v>
      </c>
      <c r="M24" s="7">
        <f t="shared" si="0"/>
        <v>2035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2:33" x14ac:dyDescent="0.2">
      <c r="B25" s="3" t="s">
        <v>58</v>
      </c>
      <c r="C25" s="8">
        <f>SUM(D25:AG25)</f>
        <v>290182830</v>
      </c>
      <c r="D25" s="8">
        <f>'01 Investičné výdavky EMU550'!D17</f>
        <v>0</v>
      </c>
      <c r="E25" s="8">
        <f>'01 Investičné výdavky EMU550'!E17</f>
        <v>0</v>
      </c>
      <c r="F25" s="8">
        <f>'01 Investičné výdavky EMU550'!F17</f>
        <v>0</v>
      </c>
      <c r="G25" s="8">
        <f>'01 Investičné výdavky EMU550'!G17</f>
        <v>165818760</v>
      </c>
      <c r="H25" s="8">
        <f>'01 Investičné výdavky EMU550'!H17</f>
        <v>124364070</v>
      </c>
      <c r="I25" s="8">
        <f>'01 Investičné výdavky EMU550'!I17</f>
        <v>0</v>
      </c>
      <c r="J25" s="8">
        <f>'01 Investičné výdavky EMU550'!J17</f>
        <v>0</v>
      </c>
      <c r="K25" s="8">
        <f>'01 Investičné výdavky EMU550'!K17</f>
        <v>0</v>
      </c>
      <c r="L25" s="8">
        <f>'01 Investičné výdavky EMU550'!L17</f>
        <v>0</v>
      </c>
      <c r="M25" s="8">
        <f>'01 Investičné výdavky EMU550'!M17</f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x14ac:dyDescent="0.2">
      <c r="B26" s="3" t="s">
        <v>385</v>
      </c>
      <c r="C26" s="8">
        <f>SUM(D26:AG26)</f>
        <v>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x14ac:dyDescent="0.2">
      <c r="B27" s="3" t="s">
        <v>184</v>
      </c>
      <c r="C27" s="8">
        <f t="shared" ref="C27:C28" si="1">SUM(D27:AG27)</f>
        <v>0</v>
      </c>
      <c r="D27" s="8">
        <f>$D$9*$C$17*'01 Investičné výdavky EMU550'!D19</f>
        <v>0</v>
      </c>
      <c r="E27" s="8">
        <f>$D$9*$C$17*'01 Investičné výdavky EMU550'!E19</f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x14ac:dyDescent="0.2">
      <c r="B28" s="3" t="s">
        <v>185</v>
      </c>
      <c r="C28" s="8">
        <f t="shared" si="1"/>
        <v>0</v>
      </c>
      <c r="D28" s="8">
        <f>D25-D27</f>
        <v>0</v>
      </c>
      <c r="E28" s="8">
        <f t="shared" ref="E28" si="2">E25-E27</f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x14ac:dyDescent="0.2">
      <c r="B29" s="1" t="s">
        <v>498</v>
      </c>
    </row>
  </sheetData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05B7-91C7-42FC-A4A5-9ACAE286BAB6}">
  <sheetPr>
    <tabColor rgb="FFFFC000"/>
  </sheetPr>
  <dimension ref="B2:AP60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49.85546875" style="2" bestFit="1" customWidth="1"/>
    <col min="3" max="3" width="12.5703125" style="2" bestFit="1" customWidth="1"/>
    <col min="4" max="6" width="10.5703125" style="2" bestFit="1" customWidth="1"/>
    <col min="7" max="8" width="11.5703125" style="2" bestFit="1" customWidth="1"/>
    <col min="9" max="12" width="10.5703125" style="2" bestFit="1" customWidth="1"/>
    <col min="13" max="42" width="11.5703125" style="2" bestFit="1" customWidth="1"/>
    <col min="43" max="16384" width="9.140625" style="2"/>
  </cols>
  <sheetData>
    <row r="2" spans="2:42" x14ac:dyDescent="0.2">
      <c r="B2" s="15" t="s">
        <v>24</v>
      </c>
      <c r="C2" s="15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2:42" x14ac:dyDescent="0.2">
      <c r="B3" s="4"/>
      <c r="C3" s="18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</row>
    <row r="4" spans="2:42" x14ac:dyDescent="0.2">
      <c r="B4" s="6" t="s">
        <v>39</v>
      </c>
      <c r="C4" s="110" t="s">
        <v>180</v>
      </c>
      <c r="D4" s="7">
        <f>'Parametre EMU550'!C13</f>
        <v>2026</v>
      </c>
      <c r="E4" s="7">
        <f>$D$4+D3</f>
        <v>2027</v>
      </c>
      <c r="F4" s="7">
        <f>$D$4+E3</f>
        <v>2028</v>
      </c>
      <c r="G4" s="7">
        <f t="shared" ref="G4:AP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si="0"/>
        <v>2056</v>
      </c>
      <c r="AI4" s="7">
        <f t="shared" si="0"/>
        <v>2057</v>
      </c>
      <c r="AJ4" s="7">
        <f t="shared" si="0"/>
        <v>2058</v>
      </c>
      <c r="AK4" s="7">
        <f t="shared" si="0"/>
        <v>2059</v>
      </c>
      <c r="AL4" s="7">
        <f t="shared" si="0"/>
        <v>2060</v>
      </c>
      <c r="AM4" s="7">
        <f t="shared" si="0"/>
        <v>2061</v>
      </c>
      <c r="AN4" s="7">
        <f t="shared" si="0"/>
        <v>2062</v>
      </c>
      <c r="AO4" s="7">
        <f t="shared" si="0"/>
        <v>2063</v>
      </c>
      <c r="AP4" s="7">
        <f t="shared" si="0"/>
        <v>2064</v>
      </c>
    </row>
    <row r="5" spans="2:42" x14ac:dyDescent="0.2">
      <c r="B5" s="3" t="s">
        <v>58</v>
      </c>
      <c r="C5" s="221">
        <f>D5+NPV('Parametre EMU550'!$C$9,'06 Finančná analýza EMU550'!E5:AP5)</f>
        <v>206275774.0559679</v>
      </c>
      <c r="D5" s="116">
        <f>'01 Investičné výdavky EMU550'!D12</f>
        <v>0</v>
      </c>
      <c r="E5" s="116">
        <f>'01 Investičné výdavky EMU550'!E12</f>
        <v>0</v>
      </c>
      <c r="F5" s="116">
        <f>'01 Investičné výdavky EMU550'!F12</f>
        <v>0</v>
      </c>
      <c r="G5" s="116">
        <f>'01 Investičné výdavky EMU550'!G12</f>
        <v>134812000</v>
      </c>
      <c r="H5" s="116">
        <f>'01 Investičné výdavky EMU550'!H12</f>
        <v>101109000</v>
      </c>
      <c r="I5" s="116">
        <f>'01 Investičné výdavky EMU550'!I12</f>
        <v>0</v>
      </c>
      <c r="J5" s="116">
        <f>'01 Investičné výdavky EMU550'!J12</f>
        <v>0</v>
      </c>
      <c r="K5" s="116">
        <f>'01 Investičné výdavky EMU550'!K12</f>
        <v>0</v>
      </c>
      <c r="L5" s="116">
        <f>'01 Investičné výdavky EMU550'!L12</f>
        <v>0</v>
      </c>
      <c r="M5" s="116">
        <f>'01 Investičné výdavky EMU550'!M12</f>
        <v>0</v>
      </c>
      <c r="N5" s="116">
        <f>'01 Investičné výdavky EMU550'!N12</f>
        <v>0</v>
      </c>
      <c r="O5" s="116">
        <f>'01 Investičné výdavky EMU550'!O12</f>
        <v>0</v>
      </c>
      <c r="P5" s="116">
        <f>'01 Investičné výdavky EMU550'!P12</f>
        <v>0</v>
      </c>
      <c r="Q5" s="116">
        <f>'01 Investičné výdavky EMU550'!Q12</f>
        <v>0</v>
      </c>
      <c r="R5" s="116">
        <f>'01 Investičné výdavky EMU550'!R12</f>
        <v>0</v>
      </c>
      <c r="S5" s="116">
        <f>'01 Investičné výdavky EMU550'!S12</f>
        <v>0</v>
      </c>
      <c r="T5" s="116">
        <f>'01 Investičné výdavky EMU550'!T12</f>
        <v>0</v>
      </c>
      <c r="U5" s="116">
        <f>'01 Investičné výdavky EMU550'!U12</f>
        <v>0</v>
      </c>
      <c r="V5" s="116">
        <f>'01 Investičné výdavky EMU550'!V12</f>
        <v>0</v>
      </c>
      <c r="W5" s="116">
        <f>'01 Investičné výdavky EMU550'!W12</f>
        <v>0</v>
      </c>
      <c r="X5" s="116">
        <f>'01 Investičné výdavky EMU550'!X12</f>
        <v>0</v>
      </c>
      <c r="Y5" s="116">
        <f>'01 Investičné výdavky EMU550'!Y12</f>
        <v>0</v>
      </c>
      <c r="Z5" s="116">
        <f>'01 Investičné výdavky EMU550'!Z12</f>
        <v>0</v>
      </c>
      <c r="AA5" s="116">
        <f>'01 Investičné výdavky EMU550'!AA12</f>
        <v>0</v>
      </c>
      <c r="AB5" s="116">
        <f>'01 Investičné výdavky EMU550'!AB12</f>
        <v>0</v>
      </c>
      <c r="AC5" s="116">
        <f>'01 Investičné výdavky EMU550'!AC12</f>
        <v>0</v>
      </c>
      <c r="AD5" s="116">
        <f>'01 Investičné výdavky EMU550'!AD12</f>
        <v>0</v>
      </c>
      <c r="AE5" s="116">
        <f>'01 Investičné výdavky EMU550'!AE12</f>
        <v>0</v>
      </c>
      <c r="AF5" s="116">
        <f>'01 Investičné výdavky EMU550'!AF12</f>
        <v>0</v>
      </c>
      <c r="AG5" s="116">
        <f>'01 Investičné výdavky EMU550'!AG12</f>
        <v>0</v>
      </c>
      <c r="AH5" s="116">
        <f>'01 Investičné výdavky EMU550'!AH12</f>
        <v>0</v>
      </c>
      <c r="AI5" s="116">
        <f>'01 Investičné výdavky EMU550'!AI12</f>
        <v>0</v>
      </c>
      <c r="AJ5" s="116">
        <f>'01 Investičné výdavky EMU550'!AJ12</f>
        <v>0</v>
      </c>
      <c r="AK5" s="116">
        <f>'01 Investičné výdavky EMU550'!AK12</f>
        <v>0</v>
      </c>
      <c r="AL5" s="116">
        <f>'01 Investičné výdavky EMU550'!AL12</f>
        <v>0</v>
      </c>
      <c r="AM5" s="116">
        <f>'01 Investičné výdavky EMU550'!AM12</f>
        <v>0</v>
      </c>
      <c r="AN5" s="116">
        <f>'01 Investičné výdavky EMU550'!AN12</f>
        <v>0</v>
      </c>
      <c r="AO5" s="116">
        <f>'01 Investičné výdavky EMU550'!AO12</f>
        <v>0</v>
      </c>
      <c r="AP5" s="116">
        <f>'01 Investičné výdavky EMU550'!AP12</f>
        <v>0</v>
      </c>
    </row>
    <row r="6" spans="2:42" x14ac:dyDescent="0.2">
      <c r="B6" s="3" t="s">
        <v>57</v>
      </c>
      <c r="C6" s="221">
        <f>D6+NPV('Parametre EMU550'!$C$9,'06 Finančná analýza EMU550'!E6:AP6)</f>
        <v>-181173654.65318218</v>
      </c>
      <c r="D6" s="116">
        <f>'03 Prev. výdavky EMU550'!D32</f>
        <v>0</v>
      </c>
      <c r="E6" s="116">
        <f>'03 Prev. výdavky EMU550'!E32</f>
        <v>0</v>
      </c>
      <c r="F6" s="116">
        <f>'03 Prev. výdavky EMU550'!F32</f>
        <v>0</v>
      </c>
      <c r="G6" s="116">
        <f>'03 Prev. výdavky EMU550'!G32</f>
        <v>0</v>
      </c>
      <c r="H6" s="116">
        <f>'03 Prev. výdavky EMU550'!H32</f>
        <v>494962.50160000101</v>
      </c>
      <c r="I6" s="116">
        <f>'03 Prev. výdavky EMU550'!I32</f>
        <v>-25933815.622200005</v>
      </c>
      <c r="J6" s="116">
        <f>'03 Prev. výdavky EMU550'!J32</f>
        <v>-25933815.622200005</v>
      </c>
      <c r="K6" s="116">
        <f>'03 Prev. výdavky EMU550'!K32</f>
        <v>866184.37779999431</v>
      </c>
      <c r="L6" s="116">
        <f>'03 Prev. výdavky EMU550'!L32</f>
        <v>866184.37779999431</v>
      </c>
      <c r="M6" s="116">
        <f>'03 Prev. výdavky EMU550'!M32</f>
        <v>866184.37779999431</v>
      </c>
      <c r="N6" s="116">
        <f>'03 Prev. výdavky EMU550'!N32</f>
        <v>866184.37779999431</v>
      </c>
      <c r="O6" s="116">
        <f>'03 Prev. výdavky EMU550'!O32</f>
        <v>866184.37779999431</v>
      </c>
      <c r="P6" s="116">
        <f>'03 Prev. výdavky EMU550'!P32</f>
        <v>866184.37779999431</v>
      </c>
      <c r="Q6" s="116">
        <f>'03 Prev. výdavky EMU550'!Q32</f>
        <v>807618.90159999486</v>
      </c>
      <c r="R6" s="116">
        <f>'03 Prev. výdavky EMU550'!R32</f>
        <v>807618.90159999486</v>
      </c>
      <c r="S6" s="116">
        <f>'03 Prev. výdavky EMU550'!S32</f>
        <v>-60458709.722199999</v>
      </c>
      <c r="T6" s="116">
        <f>'03 Prev. výdavky EMU550'!T32</f>
        <v>-60458709.722199999</v>
      </c>
      <c r="U6" s="116">
        <f>'03 Prev. výdavky EMU550'!U32</f>
        <v>-6858709.7222000035</v>
      </c>
      <c r="V6" s="116">
        <f>'03 Prev. výdavky EMU550'!V32</f>
        <v>-6858709.7222000035</v>
      </c>
      <c r="W6" s="116">
        <f>'03 Prev. výdavky EMU550'!W32</f>
        <v>-6858709.7222000035</v>
      </c>
      <c r="X6" s="116">
        <f>'03 Prev. výdavky EMU550'!X32</f>
        <v>-6858709.7222000035</v>
      </c>
      <c r="Y6" s="116">
        <f>'03 Prev. výdavky EMU550'!Y32</f>
        <v>-6858709.7222000035</v>
      </c>
      <c r="Z6" s="116">
        <f>'03 Prev. výdavky EMU550'!Z32</f>
        <v>-6858709.7222000035</v>
      </c>
      <c r="AA6" s="116">
        <f>'03 Prev. výdavky EMU550'!AA32</f>
        <v>-6858709.7222000035</v>
      </c>
      <c r="AB6" s="116">
        <f>'03 Prev. výdavky EMU550'!AB32</f>
        <v>-6858709.7222000035</v>
      </c>
      <c r="AC6" s="116">
        <f>'03 Prev. výdavky EMU550'!AC32</f>
        <v>-10066609.722200003</v>
      </c>
      <c r="AD6" s="116">
        <f>'03 Prev. výdavky EMU550'!AD32</f>
        <v>-33658709.722199999</v>
      </c>
      <c r="AE6" s="116">
        <f>'03 Prev. výdavky EMU550'!AE32</f>
        <v>-6858709.7222000035</v>
      </c>
      <c r="AF6" s="116">
        <f>'03 Prev. výdavky EMU550'!AF32</f>
        <v>-6858709.7222000035</v>
      </c>
      <c r="AG6" s="116">
        <f>'03 Prev. výdavky EMU550'!AG32</f>
        <v>-6858709.7222000035</v>
      </c>
      <c r="AH6" s="116">
        <f>'03 Prev. výdavky EMU550'!AH32</f>
        <v>-6858709.7222000035</v>
      </c>
      <c r="AI6" s="116">
        <f>'03 Prev. výdavky EMU550'!AI32</f>
        <v>-6858709.7222000035</v>
      </c>
      <c r="AJ6" s="116">
        <f>'03 Prev. výdavky EMU550'!AJ32</f>
        <v>-6858709.7222000035</v>
      </c>
      <c r="AK6" s="116">
        <f>'03 Prev. výdavky EMU550'!AK32</f>
        <v>-6858709.7222000035</v>
      </c>
      <c r="AL6" s="116">
        <f>'03 Prev. výdavky EMU550'!AL32</f>
        <v>-6858709.7222000035</v>
      </c>
      <c r="AM6" s="116">
        <f>'03 Prev. výdavky EMU550'!AM32</f>
        <v>-13274509.722200003</v>
      </c>
      <c r="AN6" s="116">
        <f>'03 Prev. výdavky EMU550'!AN32</f>
        <v>-60458709.722199999</v>
      </c>
      <c r="AO6" s="116">
        <f>'03 Prev. výdavky EMU550'!AO32</f>
        <v>-6858709.7222000035</v>
      </c>
      <c r="AP6" s="116">
        <f>'03 Prev. výdavky EMU550'!AP32</f>
        <v>-6858709.7222000035</v>
      </c>
    </row>
    <row r="7" spans="2:42" x14ac:dyDescent="0.2">
      <c r="B7" s="3" t="s">
        <v>171</v>
      </c>
      <c r="C7" s="221">
        <f>D7+NPV('Parametre EMU550'!$C$9,'06 Finančná analýza EMU550'!E7:AP7)</f>
        <v>0</v>
      </c>
      <c r="D7" s="116">
        <f>'04 Prevádzkové príjmy EMU550'!D23</f>
        <v>0</v>
      </c>
      <c r="E7" s="116">
        <f>'04 Prevádzkové príjmy EMU550'!E23</f>
        <v>0</v>
      </c>
      <c r="F7" s="116">
        <f>'04 Prevádzkové príjmy EMU550'!F23</f>
        <v>0</v>
      </c>
      <c r="G7" s="116">
        <f>'04 Prevádzkové príjmy EMU550'!G23</f>
        <v>0</v>
      </c>
      <c r="H7" s="116">
        <f>'04 Prevádzkové príjmy EMU550'!H23</f>
        <v>0</v>
      </c>
      <c r="I7" s="116">
        <f>'04 Prevádzkové príjmy EMU550'!I23</f>
        <v>0</v>
      </c>
      <c r="J7" s="116">
        <f>'04 Prevádzkové príjmy EMU550'!J23</f>
        <v>0</v>
      </c>
      <c r="K7" s="116">
        <f>'04 Prevádzkové príjmy EMU550'!K23</f>
        <v>0</v>
      </c>
      <c r="L7" s="116">
        <f>'04 Prevádzkové príjmy EMU550'!L23</f>
        <v>0</v>
      </c>
      <c r="M7" s="116">
        <f>'04 Prevádzkové príjmy EMU550'!M23</f>
        <v>0</v>
      </c>
      <c r="N7" s="116">
        <f>'04 Prevádzkové príjmy EMU550'!N23</f>
        <v>0</v>
      </c>
      <c r="O7" s="116">
        <f>'04 Prevádzkové príjmy EMU550'!O23</f>
        <v>0</v>
      </c>
      <c r="P7" s="116">
        <f>'04 Prevádzkové príjmy EMU550'!P23</f>
        <v>0</v>
      </c>
      <c r="Q7" s="116">
        <f>'04 Prevádzkové príjmy EMU550'!Q23</f>
        <v>0</v>
      </c>
      <c r="R7" s="116">
        <f>'04 Prevádzkové príjmy EMU550'!R23</f>
        <v>0</v>
      </c>
      <c r="S7" s="116">
        <f>'04 Prevádzkové príjmy EMU550'!S23</f>
        <v>0</v>
      </c>
      <c r="T7" s="116">
        <f>'04 Prevádzkové príjmy EMU550'!T23</f>
        <v>0</v>
      </c>
      <c r="U7" s="116">
        <f>'04 Prevádzkové príjmy EMU550'!U23</f>
        <v>0</v>
      </c>
      <c r="V7" s="116">
        <f>'04 Prevádzkové príjmy EMU550'!V23</f>
        <v>0</v>
      </c>
      <c r="W7" s="116">
        <f>'04 Prevádzkové príjmy EMU550'!W23</f>
        <v>0</v>
      </c>
      <c r="X7" s="116">
        <f>'04 Prevádzkové príjmy EMU550'!X23</f>
        <v>0</v>
      </c>
      <c r="Y7" s="116">
        <f>'04 Prevádzkové príjmy EMU550'!Y23</f>
        <v>0</v>
      </c>
      <c r="Z7" s="116">
        <f>'04 Prevádzkové príjmy EMU550'!Z23</f>
        <v>0</v>
      </c>
      <c r="AA7" s="116">
        <f>'04 Prevádzkové príjmy EMU550'!AA23</f>
        <v>0</v>
      </c>
      <c r="AB7" s="116">
        <f>'04 Prevádzkové príjmy EMU550'!AB23</f>
        <v>0</v>
      </c>
      <c r="AC7" s="116">
        <f>'04 Prevádzkové príjmy EMU550'!AC23</f>
        <v>0</v>
      </c>
      <c r="AD7" s="116">
        <f>'04 Prevádzkové príjmy EMU550'!AD23</f>
        <v>0</v>
      </c>
      <c r="AE7" s="116">
        <f>'04 Prevádzkové príjmy EMU550'!AE23</f>
        <v>0</v>
      </c>
      <c r="AF7" s="116">
        <f>'04 Prevádzkové príjmy EMU550'!AF23</f>
        <v>0</v>
      </c>
      <c r="AG7" s="116">
        <f>'04 Prevádzkové príjmy EMU550'!AG23</f>
        <v>0</v>
      </c>
      <c r="AH7" s="116">
        <f>'04 Prevádzkové príjmy EMU550'!AH23</f>
        <v>0</v>
      </c>
      <c r="AI7" s="116">
        <f>'04 Prevádzkové príjmy EMU550'!AI23</f>
        <v>0</v>
      </c>
      <c r="AJ7" s="116">
        <f>'04 Prevádzkové príjmy EMU550'!AJ23</f>
        <v>0</v>
      </c>
      <c r="AK7" s="116">
        <f>'04 Prevádzkové príjmy EMU550'!AK23</f>
        <v>0</v>
      </c>
      <c r="AL7" s="116">
        <f>'04 Prevádzkové príjmy EMU550'!AL23</f>
        <v>0</v>
      </c>
      <c r="AM7" s="116">
        <f>'04 Prevádzkové príjmy EMU550'!AM23</f>
        <v>0</v>
      </c>
      <c r="AN7" s="116">
        <f>'04 Prevádzkové príjmy EMU550'!AN23</f>
        <v>0</v>
      </c>
      <c r="AO7" s="116">
        <f>'04 Prevádzkové príjmy EMU550'!AO23</f>
        <v>0</v>
      </c>
      <c r="AP7" s="116">
        <f>'04 Prevádzkové príjmy EMU550'!AP23</f>
        <v>0</v>
      </c>
    </row>
    <row r="8" spans="2:42" ht="12" thickBot="1" x14ac:dyDescent="0.25">
      <c r="B8" s="27" t="s">
        <v>16</v>
      </c>
      <c r="C8" s="222">
        <f>D8+NPV('Parametre EMU550'!$C$9,'06 Finančná analýza EMU550'!E8:AP8)</f>
        <v>26751947.262624402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20">
        <f>IFERROR('02 Zostatková hodnota EMU550'!H9,0)</f>
        <v>118746903.33333334</v>
      </c>
    </row>
    <row r="9" spans="2:42" ht="12" thickTop="1" x14ac:dyDescent="0.2">
      <c r="B9" s="22" t="s">
        <v>40</v>
      </c>
      <c r="C9" s="223">
        <f>D9+NPV('Parametre EMU550'!$C$9,'06 Finančná analýza EMU550'!E9:AP9)</f>
        <v>1649827.8598386578</v>
      </c>
      <c r="D9" s="224">
        <f>-D5-D6+D7+D8</f>
        <v>0</v>
      </c>
      <c r="E9" s="224">
        <f t="shared" ref="E9:AP9" si="1">-E5-E6+E7+E8</f>
        <v>0</v>
      </c>
      <c r="F9" s="224">
        <f t="shared" si="1"/>
        <v>0</v>
      </c>
      <c r="G9" s="224">
        <f t="shared" si="1"/>
        <v>-134812000</v>
      </c>
      <c r="H9" s="224">
        <f t="shared" si="1"/>
        <v>-101603962.5016</v>
      </c>
      <c r="I9" s="224">
        <f>-I5-I6+I7+I8</f>
        <v>25933815.622200005</v>
      </c>
      <c r="J9" s="224">
        <f t="shared" si="1"/>
        <v>25933815.622200005</v>
      </c>
      <c r="K9" s="224">
        <f t="shared" si="1"/>
        <v>-866184.37779999431</v>
      </c>
      <c r="L9" s="224">
        <f t="shared" si="1"/>
        <v>-866184.37779999431</v>
      </c>
      <c r="M9" s="224">
        <f t="shared" si="1"/>
        <v>-866184.37779999431</v>
      </c>
      <c r="N9" s="224">
        <f t="shared" si="1"/>
        <v>-866184.37779999431</v>
      </c>
      <c r="O9" s="224">
        <f t="shared" si="1"/>
        <v>-866184.37779999431</v>
      </c>
      <c r="P9" s="224">
        <f t="shared" si="1"/>
        <v>-866184.37779999431</v>
      </c>
      <c r="Q9" s="224">
        <f t="shared" si="1"/>
        <v>-807618.90159999486</v>
      </c>
      <c r="R9" s="224">
        <f t="shared" si="1"/>
        <v>-807618.90159999486</v>
      </c>
      <c r="S9" s="224">
        <f t="shared" si="1"/>
        <v>60458709.722199999</v>
      </c>
      <c r="T9" s="224">
        <f t="shared" si="1"/>
        <v>60458709.722199999</v>
      </c>
      <c r="U9" s="224">
        <f t="shared" si="1"/>
        <v>6858709.7222000035</v>
      </c>
      <c r="V9" s="224">
        <f t="shared" si="1"/>
        <v>6858709.7222000035</v>
      </c>
      <c r="W9" s="224">
        <f t="shared" si="1"/>
        <v>6858709.7222000035</v>
      </c>
      <c r="X9" s="224">
        <f t="shared" si="1"/>
        <v>6858709.7222000035</v>
      </c>
      <c r="Y9" s="224">
        <f t="shared" si="1"/>
        <v>6858709.7222000035</v>
      </c>
      <c r="Z9" s="224">
        <f t="shared" si="1"/>
        <v>6858709.7222000035</v>
      </c>
      <c r="AA9" s="224">
        <f t="shared" si="1"/>
        <v>6858709.7222000035</v>
      </c>
      <c r="AB9" s="224">
        <f t="shared" si="1"/>
        <v>6858709.7222000035</v>
      </c>
      <c r="AC9" s="224">
        <f t="shared" si="1"/>
        <v>10066609.722200003</v>
      </c>
      <c r="AD9" s="224">
        <f t="shared" si="1"/>
        <v>33658709.722199999</v>
      </c>
      <c r="AE9" s="224">
        <f t="shared" si="1"/>
        <v>6858709.7222000035</v>
      </c>
      <c r="AF9" s="224">
        <f t="shared" si="1"/>
        <v>6858709.7222000035</v>
      </c>
      <c r="AG9" s="224">
        <f t="shared" si="1"/>
        <v>6858709.7222000035</v>
      </c>
      <c r="AH9" s="224">
        <f t="shared" si="1"/>
        <v>6858709.7222000035</v>
      </c>
      <c r="AI9" s="224">
        <f t="shared" si="1"/>
        <v>6858709.7222000035</v>
      </c>
      <c r="AJ9" s="224">
        <f t="shared" si="1"/>
        <v>6858709.7222000035</v>
      </c>
      <c r="AK9" s="224">
        <f t="shared" si="1"/>
        <v>6858709.7222000035</v>
      </c>
      <c r="AL9" s="224">
        <f t="shared" si="1"/>
        <v>6858709.7222000035</v>
      </c>
      <c r="AM9" s="224">
        <f t="shared" si="1"/>
        <v>13274509.722200003</v>
      </c>
      <c r="AN9" s="224">
        <f t="shared" si="1"/>
        <v>60458709.722199999</v>
      </c>
      <c r="AO9" s="224">
        <f t="shared" si="1"/>
        <v>6858709.7222000035</v>
      </c>
      <c r="AP9" s="224">
        <f t="shared" si="1"/>
        <v>125605613.05553335</v>
      </c>
    </row>
    <row r="11" spans="2:42" x14ac:dyDescent="0.2">
      <c r="B11" s="26" t="s">
        <v>20</v>
      </c>
      <c r="C11" s="157">
        <f>-C5-C6+C7+C8</f>
        <v>1649827.8598386832</v>
      </c>
      <c r="D11" s="2" t="s">
        <v>0</v>
      </c>
      <c r="E11" s="25"/>
    </row>
    <row r="12" spans="2:42" x14ac:dyDescent="0.2">
      <c r="B12" s="26" t="s">
        <v>21</v>
      </c>
      <c r="C12" s="158">
        <f>IRR(D9:AP9,1)</f>
        <v>4.0467907008062465E-2</v>
      </c>
    </row>
    <row r="15" spans="2:42" x14ac:dyDescent="0.2">
      <c r="B15" s="15" t="s">
        <v>25</v>
      </c>
      <c r="C15" s="15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42" x14ac:dyDescent="0.2">
      <c r="B16" s="4"/>
      <c r="C16" s="18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  <c r="AH16" s="5">
        <v>31</v>
      </c>
      <c r="AI16" s="5">
        <v>32</v>
      </c>
      <c r="AJ16" s="5">
        <v>33</v>
      </c>
      <c r="AK16" s="5">
        <v>34</v>
      </c>
      <c r="AL16" s="5">
        <v>35</v>
      </c>
      <c r="AM16" s="5">
        <v>36</v>
      </c>
      <c r="AN16" s="5">
        <v>37</v>
      </c>
      <c r="AO16" s="5">
        <v>38</v>
      </c>
      <c r="AP16" s="5">
        <v>39</v>
      </c>
    </row>
    <row r="17" spans="2:42" x14ac:dyDescent="0.2">
      <c r="B17" s="6" t="s">
        <v>39</v>
      </c>
      <c r="C17" s="110" t="s">
        <v>180</v>
      </c>
      <c r="D17" s="7">
        <f>D4</f>
        <v>2026</v>
      </c>
      <c r="E17" s="7">
        <f>E4</f>
        <v>2027</v>
      </c>
      <c r="F17" s="7">
        <f>F4</f>
        <v>2028</v>
      </c>
      <c r="G17" s="7">
        <f t="shared" ref="G17:AP17" si="2">G4</f>
        <v>2029</v>
      </c>
      <c r="H17" s="7">
        <f t="shared" si="2"/>
        <v>2030</v>
      </c>
      <c r="I17" s="7">
        <f t="shared" si="2"/>
        <v>2031</v>
      </c>
      <c r="J17" s="7">
        <f t="shared" si="2"/>
        <v>2032</v>
      </c>
      <c r="K17" s="7">
        <f t="shared" si="2"/>
        <v>2033</v>
      </c>
      <c r="L17" s="7">
        <f t="shared" si="2"/>
        <v>2034</v>
      </c>
      <c r="M17" s="7">
        <f t="shared" si="2"/>
        <v>2035</v>
      </c>
      <c r="N17" s="7">
        <f t="shared" si="2"/>
        <v>2036</v>
      </c>
      <c r="O17" s="7">
        <f t="shared" si="2"/>
        <v>2037</v>
      </c>
      <c r="P17" s="7">
        <f t="shared" si="2"/>
        <v>2038</v>
      </c>
      <c r="Q17" s="7">
        <f t="shared" si="2"/>
        <v>2039</v>
      </c>
      <c r="R17" s="7">
        <f t="shared" si="2"/>
        <v>2040</v>
      </c>
      <c r="S17" s="7">
        <f t="shared" si="2"/>
        <v>2041</v>
      </c>
      <c r="T17" s="7">
        <f t="shared" si="2"/>
        <v>2042</v>
      </c>
      <c r="U17" s="7">
        <f t="shared" si="2"/>
        <v>2043</v>
      </c>
      <c r="V17" s="7">
        <f t="shared" si="2"/>
        <v>2044</v>
      </c>
      <c r="W17" s="7">
        <f t="shared" si="2"/>
        <v>2045</v>
      </c>
      <c r="X17" s="7">
        <f t="shared" si="2"/>
        <v>2046</v>
      </c>
      <c r="Y17" s="7">
        <f t="shared" si="2"/>
        <v>2047</v>
      </c>
      <c r="Z17" s="7">
        <f t="shared" si="2"/>
        <v>2048</v>
      </c>
      <c r="AA17" s="7">
        <f t="shared" si="2"/>
        <v>2049</v>
      </c>
      <c r="AB17" s="7">
        <f t="shared" si="2"/>
        <v>2050</v>
      </c>
      <c r="AC17" s="7">
        <f t="shared" si="2"/>
        <v>2051</v>
      </c>
      <c r="AD17" s="7">
        <f t="shared" si="2"/>
        <v>2052</v>
      </c>
      <c r="AE17" s="7">
        <f t="shared" si="2"/>
        <v>2053</v>
      </c>
      <c r="AF17" s="7">
        <f t="shared" si="2"/>
        <v>2054</v>
      </c>
      <c r="AG17" s="7">
        <f t="shared" si="2"/>
        <v>2055</v>
      </c>
      <c r="AH17" s="7">
        <f t="shared" si="2"/>
        <v>2056</v>
      </c>
      <c r="AI17" s="7">
        <f t="shared" si="2"/>
        <v>2057</v>
      </c>
      <c r="AJ17" s="7">
        <f t="shared" si="2"/>
        <v>2058</v>
      </c>
      <c r="AK17" s="7">
        <f t="shared" si="2"/>
        <v>2059</v>
      </c>
      <c r="AL17" s="7">
        <f t="shared" si="2"/>
        <v>2060</v>
      </c>
      <c r="AM17" s="7">
        <f t="shared" si="2"/>
        <v>2061</v>
      </c>
      <c r="AN17" s="7">
        <f t="shared" si="2"/>
        <v>2062</v>
      </c>
      <c r="AO17" s="7">
        <f t="shared" si="2"/>
        <v>2063</v>
      </c>
      <c r="AP17" s="7">
        <f t="shared" si="2"/>
        <v>2064</v>
      </c>
    </row>
    <row r="18" spans="2:42" x14ac:dyDescent="0.2">
      <c r="B18" s="3" t="s">
        <v>181</v>
      </c>
      <c r="C18" s="221">
        <f>D18+NPV('Parametre EMU550'!$C$9,'06 Finančná analýza EMU550'!E18:AP18)</f>
        <v>-47443428.032872617</v>
      </c>
      <c r="D18" s="116">
        <f>'05 Financovanie EMU550'!D28-((1-'05 Financovanie EMU550'!$C$19)*('01 Investičné výdavky EMU550'!D13+'01 Investičné výdavky EMU550'!D14+'01 Investičné výdavky EMU550'!D16))</f>
        <v>0</v>
      </c>
      <c r="E18" s="116">
        <f>'05 Financovanie EMU550'!E28-((1-'05 Financovanie EMU550'!$C$19)*('01 Investičné výdavky EMU550'!E13+'01 Investičné výdavky EMU550'!E14+'01 Investičné výdavky EMU550'!E16))</f>
        <v>0</v>
      </c>
      <c r="F18" s="116">
        <f>'05 Financovanie EMU550'!F28-((1-'05 Financovanie EMU550'!$C$19)*('01 Investičné výdavky EMU550'!F13+'01 Investičné výdavky EMU550'!F14+'01 Investičné výdavky EMU550'!F16))</f>
        <v>0</v>
      </c>
      <c r="G18" s="116">
        <f>'05 Financovanie EMU550'!G28-((1-'05 Financovanie EMU550'!$C$19)*('01 Investičné výdavky EMU550'!G13+'01 Investičné výdavky EMU550'!G14+'01 Investičné výdavky EMU550'!G16))</f>
        <v>-31006760</v>
      </c>
      <c r="H18" s="116">
        <f>'05 Financovanie EMU550'!H28-((1-'05 Financovanie EMU550'!$C$19)*('01 Investičné výdavky EMU550'!H13+'01 Investičné výdavky EMU550'!H14+'01 Investičné výdavky EMU550'!H16))</f>
        <v>-23255070</v>
      </c>
      <c r="I18" s="116">
        <f>'05 Financovanie EMU550'!I28-((1-'05 Financovanie EMU550'!$C$19)*('01 Investičné výdavky EMU550'!I13+'01 Investičné výdavky EMU550'!I14+'01 Investičné výdavky EMU550'!I16))</f>
        <v>0</v>
      </c>
      <c r="J18" s="116">
        <f>'05 Financovanie EMU550'!J28-((1-'05 Financovanie EMU550'!$C$19)*('01 Investičné výdavky EMU550'!J13+'01 Investičné výdavky EMU550'!J14+'01 Investičné výdavky EMU550'!J16))</f>
        <v>0</v>
      </c>
      <c r="K18" s="116">
        <f>'05 Financovanie EMU550'!K28-((1-'05 Financovanie EMU550'!$C$19)*('01 Investičné výdavky EMU550'!K13+'01 Investičné výdavky EMU550'!K14+'01 Investičné výdavky EMU550'!K16))</f>
        <v>0</v>
      </c>
      <c r="L18" s="116">
        <f>'05 Financovanie EMU550'!L28-((1-'05 Financovanie EMU550'!$C$19)*('01 Investičné výdavky EMU550'!L13+'01 Investičné výdavky EMU550'!L14+'01 Investičné výdavky EMU550'!L16))</f>
        <v>0</v>
      </c>
      <c r="M18" s="116">
        <f>'05 Financovanie EMU550'!M28-((1-'05 Financovanie EMU550'!$C$19)*('01 Investičné výdavky EMU550'!M13+'01 Investičné výdavky EMU550'!M14+'01 Investičné výdavky EMU550'!M16))</f>
        <v>0</v>
      </c>
      <c r="N18" s="116">
        <f>'05 Financovanie EMU550'!N28-((1-'05 Financovanie EMU550'!$C$19)*('01 Investičné výdavky EMU550'!N13+'01 Investičné výdavky EMU550'!N14+'01 Investičné výdavky EMU550'!N16))</f>
        <v>0</v>
      </c>
      <c r="O18" s="116">
        <f>'05 Financovanie EMU550'!O28-((1-'05 Financovanie EMU550'!$C$19)*('01 Investičné výdavky EMU550'!O13+'01 Investičné výdavky EMU550'!O14+'01 Investičné výdavky EMU550'!O16))</f>
        <v>0</v>
      </c>
      <c r="P18" s="116">
        <f>'05 Financovanie EMU550'!P28-((1-'05 Financovanie EMU550'!$C$19)*('01 Investičné výdavky EMU550'!P13+'01 Investičné výdavky EMU550'!P14+'01 Investičné výdavky EMU550'!P16))</f>
        <v>0</v>
      </c>
      <c r="Q18" s="116">
        <f>'05 Financovanie EMU550'!Q28-((1-'05 Financovanie EMU550'!$C$19)*('01 Investičné výdavky EMU550'!Q13+'01 Investičné výdavky EMU550'!Q14+'01 Investičné výdavky EMU550'!Q16))</f>
        <v>0</v>
      </c>
      <c r="R18" s="116">
        <f>'05 Financovanie EMU550'!R28-((1-'05 Financovanie EMU550'!$C$19)*('01 Investičné výdavky EMU550'!R13+'01 Investičné výdavky EMU550'!R14+'01 Investičné výdavky EMU550'!R16))</f>
        <v>0</v>
      </c>
      <c r="S18" s="116">
        <f>'05 Financovanie EMU550'!S28-((1-'05 Financovanie EMU550'!$C$19)*('01 Investičné výdavky EMU550'!S13+'01 Investičné výdavky EMU550'!S14+'01 Investičné výdavky EMU550'!S16))</f>
        <v>0</v>
      </c>
      <c r="T18" s="116">
        <f>'05 Financovanie EMU550'!T28-((1-'05 Financovanie EMU550'!$C$19)*('01 Investičné výdavky EMU550'!T13+'01 Investičné výdavky EMU550'!T14+'01 Investičné výdavky EMU550'!T16))</f>
        <v>0</v>
      </c>
      <c r="U18" s="116">
        <f>'05 Financovanie EMU550'!U28-((1-'05 Financovanie EMU550'!$C$19)*('01 Investičné výdavky EMU550'!U13+'01 Investičné výdavky EMU550'!U14+'01 Investičné výdavky EMU550'!U16))</f>
        <v>0</v>
      </c>
      <c r="V18" s="116">
        <f>'05 Financovanie EMU550'!V28-((1-'05 Financovanie EMU550'!$C$19)*('01 Investičné výdavky EMU550'!V13+'01 Investičné výdavky EMU550'!V14+'01 Investičné výdavky EMU550'!V16))</f>
        <v>0</v>
      </c>
      <c r="W18" s="116">
        <f>'05 Financovanie EMU550'!W28-((1-'05 Financovanie EMU550'!$C$19)*('01 Investičné výdavky EMU550'!W13+'01 Investičné výdavky EMU550'!W14+'01 Investičné výdavky EMU550'!W16))</f>
        <v>0</v>
      </c>
      <c r="X18" s="116">
        <f>'05 Financovanie EMU550'!X28-((1-'05 Financovanie EMU550'!$C$19)*('01 Investičné výdavky EMU550'!X13+'01 Investičné výdavky EMU550'!X14+'01 Investičné výdavky EMU550'!X16))</f>
        <v>0</v>
      </c>
      <c r="Y18" s="116">
        <f>'05 Financovanie EMU550'!Y28-((1-'05 Financovanie EMU550'!$C$19)*('01 Investičné výdavky EMU550'!Y13+'01 Investičné výdavky EMU550'!Y14+'01 Investičné výdavky EMU550'!Y16))</f>
        <v>0</v>
      </c>
      <c r="Z18" s="116">
        <f>'05 Financovanie EMU550'!Z28-((1-'05 Financovanie EMU550'!$C$19)*('01 Investičné výdavky EMU550'!Z13+'01 Investičné výdavky EMU550'!Z14+'01 Investičné výdavky EMU550'!Z16))</f>
        <v>0</v>
      </c>
      <c r="AA18" s="116">
        <f>'05 Financovanie EMU550'!AA28-((1-'05 Financovanie EMU550'!$C$19)*('01 Investičné výdavky EMU550'!AA13+'01 Investičné výdavky EMU550'!AA14+'01 Investičné výdavky EMU550'!AA16))</f>
        <v>0</v>
      </c>
      <c r="AB18" s="116">
        <f>'05 Financovanie EMU550'!AB28-((1-'05 Financovanie EMU550'!$C$19)*('01 Investičné výdavky EMU550'!AB13+'01 Investičné výdavky EMU550'!AB14+'01 Investičné výdavky EMU550'!AB16))</f>
        <v>0</v>
      </c>
      <c r="AC18" s="116">
        <f>'05 Financovanie EMU550'!AC28-((1-'05 Financovanie EMU550'!$C$19)*('01 Investičné výdavky EMU550'!AC13+'01 Investičné výdavky EMU550'!AC14+'01 Investičné výdavky EMU550'!AC16))</f>
        <v>0</v>
      </c>
      <c r="AD18" s="116">
        <f>'05 Financovanie EMU550'!AD28-((1-'05 Financovanie EMU550'!$C$19)*('01 Investičné výdavky EMU550'!AD13+'01 Investičné výdavky EMU550'!AD14+'01 Investičné výdavky EMU550'!AD16))</f>
        <v>0</v>
      </c>
      <c r="AE18" s="116">
        <f>'05 Financovanie EMU550'!AE28-((1-'05 Financovanie EMU550'!$C$19)*('01 Investičné výdavky EMU550'!AE13+'01 Investičné výdavky EMU550'!AE14+'01 Investičné výdavky EMU550'!AE16))</f>
        <v>0</v>
      </c>
      <c r="AF18" s="116">
        <f>'05 Financovanie EMU550'!AF28-((1-'05 Financovanie EMU550'!$C$19)*('01 Investičné výdavky EMU550'!AF13+'01 Investičné výdavky EMU550'!AF14+'01 Investičné výdavky EMU550'!AF16))</f>
        <v>0</v>
      </c>
      <c r="AG18" s="116">
        <f>'05 Financovanie EMU550'!AG28-((1-'05 Financovanie EMU550'!$C$19)*('01 Investičné výdavky EMU550'!AG13+'01 Investičné výdavky EMU550'!AG14+'01 Investičné výdavky EMU550'!AG16))</f>
        <v>0</v>
      </c>
      <c r="AH18" s="116">
        <f>'05 Financovanie EMU550'!AH28-((1-'05 Financovanie EMU550'!$C$19)*('01 Investičné výdavky EMU550'!AH13+'01 Investičné výdavky EMU550'!AH14+'01 Investičné výdavky EMU550'!AH16))</f>
        <v>0</v>
      </c>
      <c r="AI18" s="116">
        <f>'05 Financovanie EMU550'!AI28-((1-'05 Financovanie EMU550'!$C$19)*('01 Investičné výdavky EMU550'!AI13+'01 Investičné výdavky EMU550'!AI14+'01 Investičné výdavky EMU550'!AI16))</f>
        <v>0</v>
      </c>
      <c r="AJ18" s="116">
        <f>'05 Financovanie EMU550'!AJ28-((1-'05 Financovanie EMU550'!$C$19)*('01 Investičné výdavky EMU550'!AJ13+'01 Investičné výdavky EMU550'!AJ14+'01 Investičné výdavky EMU550'!AJ16))</f>
        <v>0</v>
      </c>
      <c r="AK18" s="116">
        <f>'05 Financovanie EMU550'!AK28-((1-'05 Financovanie EMU550'!$C$19)*('01 Investičné výdavky EMU550'!AK13+'01 Investičné výdavky EMU550'!AK14+'01 Investičné výdavky EMU550'!AK16))</f>
        <v>0</v>
      </c>
      <c r="AL18" s="116">
        <f>'05 Financovanie EMU550'!AL28-((1-'05 Financovanie EMU550'!$C$19)*('01 Investičné výdavky EMU550'!AL13+'01 Investičné výdavky EMU550'!AL14+'01 Investičné výdavky EMU550'!AL16))</f>
        <v>0</v>
      </c>
      <c r="AM18" s="116">
        <f>'05 Financovanie EMU550'!AM28-((1-'05 Financovanie EMU550'!$C$19)*('01 Investičné výdavky EMU550'!AM13+'01 Investičné výdavky EMU550'!AM14+'01 Investičné výdavky EMU550'!AM16))</f>
        <v>0</v>
      </c>
      <c r="AN18" s="116">
        <f>'05 Financovanie EMU550'!AN28-((1-'05 Financovanie EMU550'!$C$19)*('01 Investičné výdavky EMU550'!AN13+'01 Investičné výdavky EMU550'!AN14+'01 Investičné výdavky EMU550'!AN16))</f>
        <v>0</v>
      </c>
      <c r="AO18" s="116">
        <f>'05 Financovanie EMU550'!AO28-((1-'05 Financovanie EMU550'!$C$19)*('01 Investičné výdavky EMU550'!AO13+'01 Investičné výdavky EMU550'!AO14+'01 Investičné výdavky EMU550'!AO16))</f>
        <v>0</v>
      </c>
      <c r="AP18" s="116">
        <f>'05 Financovanie EMU550'!AP28-((1-'05 Financovanie EMU550'!$C$19)*('01 Investičné výdavky EMU550'!AP13+'01 Investičné výdavky EMU550'!AP14+'01 Investičné výdavky EMU550'!AP16))</f>
        <v>0</v>
      </c>
    </row>
    <row r="19" spans="2:42" x14ac:dyDescent="0.2">
      <c r="B19" s="3" t="s">
        <v>57</v>
      </c>
      <c r="C19" s="221">
        <f>D19+NPV('Parametre EMU550'!$C$9,'06 Finančná analýza EMU550'!E19:AP19)</f>
        <v>-181173654.65318218</v>
      </c>
      <c r="D19" s="116">
        <f>'03 Prev. výdavky EMU550'!D32</f>
        <v>0</v>
      </c>
      <c r="E19" s="116">
        <f>'03 Prev. výdavky EMU550'!E32</f>
        <v>0</v>
      </c>
      <c r="F19" s="116">
        <f>'03 Prev. výdavky EMU550'!F32</f>
        <v>0</v>
      </c>
      <c r="G19" s="116">
        <f>'03 Prev. výdavky EMU550'!G32</f>
        <v>0</v>
      </c>
      <c r="H19" s="116">
        <f>'03 Prev. výdavky EMU550'!H32</f>
        <v>494962.50160000101</v>
      </c>
      <c r="I19" s="116">
        <f>'03 Prev. výdavky EMU550'!I32</f>
        <v>-25933815.622200005</v>
      </c>
      <c r="J19" s="116">
        <f>'03 Prev. výdavky EMU550'!J32</f>
        <v>-25933815.622200005</v>
      </c>
      <c r="K19" s="116">
        <f>'03 Prev. výdavky EMU550'!K32</f>
        <v>866184.37779999431</v>
      </c>
      <c r="L19" s="116">
        <f>'03 Prev. výdavky EMU550'!L32</f>
        <v>866184.37779999431</v>
      </c>
      <c r="M19" s="116">
        <f>'03 Prev. výdavky EMU550'!M32</f>
        <v>866184.37779999431</v>
      </c>
      <c r="N19" s="116">
        <f>'03 Prev. výdavky EMU550'!N32</f>
        <v>866184.37779999431</v>
      </c>
      <c r="O19" s="116">
        <f>'03 Prev. výdavky EMU550'!O32</f>
        <v>866184.37779999431</v>
      </c>
      <c r="P19" s="116">
        <f>'03 Prev. výdavky EMU550'!P32</f>
        <v>866184.37779999431</v>
      </c>
      <c r="Q19" s="116">
        <f>'03 Prev. výdavky EMU550'!Q32</f>
        <v>807618.90159999486</v>
      </c>
      <c r="R19" s="116">
        <f>'03 Prev. výdavky EMU550'!R32</f>
        <v>807618.90159999486</v>
      </c>
      <c r="S19" s="116">
        <f>'03 Prev. výdavky EMU550'!S32</f>
        <v>-60458709.722199999</v>
      </c>
      <c r="T19" s="116">
        <f>'03 Prev. výdavky EMU550'!T32</f>
        <v>-60458709.722199999</v>
      </c>
      <c r="U19" s="116">
        <f>'03 Prev. výdavky EMU550'!U32</f>
        <v>-6858709.7222000035</v>
      </c>
      <c r="V19" s="116">
        <f>'03 Prev. výdavky EMU550'!V32</f>
        <v>-6858709.7222000035</v>
      </c>
      <c r="W19" s="116">
        <f>'03 Prev. výdavky EMU550'!W32</f>
        <v>-6858709.7222000035</v>
      </c>
      <c r="X19" s="116">
        <f>'03 Prev. výdavky EMU550'!X32</f>
        <v>-6858709.7222000035</v>
      </c>
      <c r="Y19" s="116">
        <f>'03 Prev. výdavky EMU550'!Y32</f>
        <v>-6858709.7222000035</v>
      </c>
      <c r="Z19" s="116">
        <f>'03 Prev. výdavky EMU550'!Z32</f>
        <v>-6858709.7222000035</v>
      </c>
      <c r="AA19" s="116">
        <f>'03 Prev. výdavky EMU550'!AA32</f>
        <v>-6858709.7222000035</v>
      </c>
      <c r="AB19" s="116">
        <f>'03 Prev. výdavky EMU550'!AB32</f>
        <v>-6858709.7222000035</v>
      </c>
      <c r="AC19" s="116">
        <f>'03 Prev. výdavky EMU550'!AC32</f>
        <v>-10066609.722200003</v>
      </c>
      <c r="AD19" s="116">
        <f>'03 Prev. výdavky EMU550'!AD32</f>
        <v>-33658709.722199999</v>
      </c>
      <c r="AE19" s="116">
        <f>'03 Prev. výdavky EMU550'!AE32</f>
        <v>-6858709.7222000035</v>
      </c>
      <c r="AF19" s="116">
        <f>'03 Prev. výdavky EMU550'!AF32</f>
        <v>-6858709.7222000035</v>
      </c>
      <c r="AG19" s="116">
        <f>'03 Prev. výdavky EMU550'!AG32</f>
        <v>-6858709.7222000035</v>
      </c>
      <c r="AH19" s="116">
        <f>'03 Prev. výdavky EMU550'!AH32</f>
        <v>-6858709.7222000035</v>
      </c>
      <c r="AI19" s="116">
        <f>'03 Prev. výdavky EMU550'!AI32</f>
        <v>-6858709.7222000035</v>
      </c>
      <c r="AJ19" s="116">
        <f>'03 Prev. výdavky EMU550'!AJ32</f>
        <v>-6858709.7222000035</v>
      </c>
      <c r="AK19" s="116">
        <f>'03 Prev. výdavky EMU550'!AK32</f>
        <v>-6858709.7222000035</v>
      </c>
      <c r="AL19" s="116">
        <f>'03 Prev. výdavky EMU550'!AL32</f>
        <v>-6858709.7222000035</v>
      </c>
      <c r="AM19" s="116">
        <f>'03 Prev. výdavky EMU550'!AM32</f>
        <v>-13274509.722200003</v>
      </c>
      <c r="AN19" s="116">
        <f>'03 Prev. výdavky EMU550'!AN32</f>
        <v>-60458709.722199999</v>
      </c>
      <c r="AO19" s="116">
        <f>'03 Prev. výdavky EMU550'!AO32</f>
        <v>-6858709.7222000035</v>
      </c>
      <c r="AP19" s="116">
        <f>'03 Prev. výdavky EMU550'!AP32</f>
        <v>-6858709.7222000035</v>
      </c>
    </row>
    <row r="20" spans="2:42" x14ac:dyDescent="0.2">
      <c r="B20" s="3" t="s">
        <v>189</v>
      </c>
      <c r="C20" s="221">
        <f>D20+NPV('Parametre EMU550'!$C$9,'06 Finančná analýza EMU550'!E20:AP20)</f>
        <v>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  <row r="21" spans="2:42" x14ac:dyDescent="0.2">
      <c r="B21" s="3" t="s">
        <v>13</v>
      </c>
      <c r="C21" s="221">
        <f>D21+NPV('Parametre EMU550'!$C$9,'06 Finančná analýza EMU550'!E21:AP21)</f>
        <v>0</v>
      </c>
      <c r="D21" s="118">
        <f>'04 Prevádzkové príjmy EMU550'!D23</f>
        <v>0</v>
      </c>
      <c r="E21" s="118">
        <f>'04 Prevádzkové príjmy EMU550'!E23</f>
        <v>0</v>
      </c>
      <c r="F21" s="118">
        <f>'04 Prevádzkové príjmy EMU550'!F23</f>
        <v>0</v>
      </c>
      <c r="G21" s="118">
        <f>'04 Prevádzkové príjmy EMU550'!G23</f>
        <v>0</v>
      </c>
      <c r="H21" s="118">
        <f>'04 Prevádzkové príjmy EMU550'!H23</f>
        <v>0</v>
      </c>
      <c r="I21" s="118">
        <f>'04 Prevádzkové príjmy EMU550'!I23</f>
        <v>0</v>
      </c>
      <c r="J21" s="118">
        <f>'04 Prevádzkové príjmy EMU550'!J23</f>
        <v>0</v>
      </c>
      <c r="K21" s="118">
        <f>'04 Prevádzkové príjmy EMU550'!K23</f>
        <v>0</v>
      </c>
      <c r="L21" s="118">
        <f>'04 Prevádzkové príjmy EMU550'!L23</f>
        <v>0</v>
      </c>
      <c r="M21" s="118">
        <f>'04 Prevádzkové príjmy EMU550'!M23</f>
        <v>0</v>
      </c>
      <c r="N21" s="118">
        <f>'04 Prevádzkové príjmy EMU550'!N23</f>
        <v>0</v>
      </c>
      <c r="O21" s="118">
        <f>'04 Prevádzkové príjmy EMU550'!O23</f>
        <v>0</v>
      </c>
      <c r="P21" s="118">
        <f>'04 Prevádzkové príjmy EMU550'!P23</f>
        <v>0</v>
      </c>
      <c r="Q21" s="118">
        <f>'04 Prevádzkové príjmy EMU550'!Q23</f>
        <v>0</v>
      </c>
      <c r="R21" s="118">
        <f>'04 Prevádzkové príjmy EMU550'!R23</f>
        <v>0</v>
      </c>
      <c r="S21" s="118">
        <f>'04 Prevádzkové príjmy EMU550'!S23</f>
        <v>0</v>
      </c>
      <c r="T21" s="118">
        <f>'04 Prevádzkové príjmy EMU550'!T23</f>
        <v>0</v>
      </c>
      <c r="U21" s="118">
        <f>'04 Prevádzkové príjmy EMU550'!U23</f>
        <v>0</v>
      </c>
      <c r="V21" s="118">
        <f>'04 Prevádzkové príjmy EMU550'!V23</f>
        <v>0</v>
      </c>
      <c r="W21" s="118">
        <f>'04 Prevádzkové príjmy EMU550'!W23</f>
        <v>0</v>
      </c>
      <c r="X21" s="118">
        <f>'04 Prevádzkové príjmy EMU550'!X23</f>
        <v>0</v>
      </c>
      <c r="Y21" s="118">
        <f>'04 Prevádzkové príjmy EMU550'!Y23</f>
        <v>0</v>
      </c>
      <c r="Z21" s="118">
        <f>'04 Prevádzkové príjmy EMU550'!Z23</f>
        <v>0</v>
      </c>
      <c r="AA21" s="118">
        <f>'04 Prevádzkové príjmy EMU550'!AA23</f>
        <v>0</v>
      </c>
      <c r="AB21" s="118">
        <f>'04 Prevádzkové príjmy EMU550'!AB23</f>
        <v>0</v>
      </c>
      <c r="AC21" s="118">
        <f>'04 Prevádzkové príjmy EMU550'!AC23</f>
        <v>0</v>
      </c>
      <c r="AD21" s="118">
        <f>'04 Prevádzkové príjmy EMU550'!AD23</f>
        <v>0</v>
      </c>
      <c r="AE21" s="118">
        <f>'04 Prevádzkové príjmy EMU550'!AE23</f>
        <v>0</v>
      </c>
      <c r="AF21" s="118">
        <f>'04 Prevádzkové príjmy EMU550'!AF23</f>
        <v>0</v>
      </c>
      <c r="AG21" s="118">
        <f>'04 Prevádzkové príjmy EMU550'!AG23</f>
        <v>0</v>
      </c>
      <c r="AH21" s="118">
        <f>'04 Prevádzkové príjmy EMU550'!AH23</f>
        <v>0</v>
      </c>
      <c r="AI21" s="118">
        <f>'04 Prevádzkové príjmy EMU550'!AI23</f>
        <v>0</v>
      </c>
      <c r="AJ21" s="118">
        <f>'04 Prevádzkové príjmy EMU550'!AJ23</f>
        <v>0</v>
      </c>
      <c r="AK21" s="118">
        <f>'04 Prevádzkové príjmy EMU550'!AK23</f>
        <v>0</v>
      </c>
      <c r="AL21" s="118">
        <f>'04 Prevádzkové príjmy EMU550'!AL23</f>
        <v>0</v>
      </c>
      <c r="AM21" s="118">
        <f>'04 Prevádzkové príjmy EMU550'!AM23</f>
        <v>0</v>
      </c>
      <c r="AN21" s="118">
        <f>'04 Prevádzkové príjmy EMU550'!AN23</f>
        <v>0</v>
      </c>
      <c r="AO21" s="118">
        <f>'04 Prevádzkové príjmy EMU550'!AO23</f>
        <v>0</v>
      </c>
      <c r="AP21" s="118">
        <f>'04 Prevádzkové príjmy EMU550'!AP23</f>
        <v>0</v>
      </c>
    </row>
    <row r="22" spans="2:42" ht="12" thickBot="1" x14ac:dyDescent="0.25">
      <c r="B22" s="27" t="s">
        <v>16</v>
      </c>
      <c r="C22" s="222">
        <f>D22+NPV('Parametre EMU550'!$C$9,'06 Finančná analýza EMU550'!E22:AP22)</f>
        <v>26751947.262624402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f>AG8</f>
        <v>0</v>
      </c>
      <c r="AH22" s="117">
        <f t="shared" ref="AH22:AO22" si="3">AH8</f>
        <v>0</v>
      </c>
      <c r="AI22" s="117">
        <f t="shared" si="3"/>
        <v>0</v>
      </c>
      <c r="AJ22" s="117">
        <f t="shared" si="3"/>
        <v>0</v>
      </c>
      <c r="AK22" s="117">
        <f t="shared" si="3"/>
        <v>0</v>
      </c>
      <c r="AL22" s="117">
        <f t="shared" si="3"/>
        <v>0</v>
      </c>
      <c r="AM22" s="117">
        <f t="shared" si="3"/>
        <v>0</v>
      </c>
      <c r="AN22" s="117">
        <f t="shared" si="3"/>
        <v>0</v>
      </c>
      <c r="AO22" s="117">
        <f t="shared" si="3"/>
        <v>0</v>
      </c>
      <c r="AP22" s="117">
        <f>AP8</f>
        <v>118746903.33333334</v>
      </c>
    </row>
    <row r="23" spans="2:42" ht="12" thickTop="1" x14ac:dyDescent="0.2">
      <c r="B23" s="22" t="s">
        <v>40</v>
      </c>
      <c r="C23" s="225">
        <f>D23+NPV('Parametre EMU550'!$C$9,'06 Finančná analýza EMU550'!E23:AP23)</f>
        <v>255369029.94867921</v>
      </c>
      <c r="D23" s="224">
        <f>-D18-D19-D20+D21+D22</f>
        <v>0</v>
      </c>
      <c r="E23" s="224">
        <f t="shared" ref="E23:AP23" si="4">-E18-E19-E20+E21+E22</f>
        <v>0</v>
      </c>
      <c r="F23" s="224">
        <f t="shared" si="4"/>
        <v>0</v>
      </c>
      <c r="G23" s="224">
        <f t="shared" si="4"/>
        <v>31006760</v>
      </c>
      <c r="H23" s="224">
        <f t="shared" si="4"/>
        <v>22760107.498399999</v>
      </c>
      <c r="I23" s="224">
        <f t="shared" si="4"/>
        <v>25933815.622200005</v>
      </c>
      <c r="J23" s="224">
        <f t="shared" si="4"/>
        <v>25933815.622200005</v>
      </c>
      <c r="K23" s="224">
        <f t="shared" si="4"/>
        <v>-866184.37779999431</v>
      </c>
      <c r="L23" s="224">
        <f t="shared" si="4"/>
        <v>-866184.37779999431</v>
      </c>
      <c r="M23" s="224">
        <f t="shared" si="4"/>
        <v>-866184.37779999431</v>
      </c>
      <c r="N23" s="224">
        <f t="shared" si="4"/>
        <v>-866184.37779999431</v>
      </c>
      <c r="O23" s="224">
        <f t="shared" si="4"/>
        <v>-866184.37779999431</v>
      </c>
      <c r="P23" s="224">
        <f t="shared" si="4"/>
        <v>-866184.37779999431</v>
      </c>
      <c r="Q23" s="224">
        <f t="shared" si="4"/>
        <v>-807618.90159999486</v>
      </c>
      <c r="R23" s="224">
        <f t="shared" si="4"/>
        <v>-807618.90159999486</v>
      </c>
      <c r="S23" s="224">
        <f t="shared" si="4"/>
        <v>60458709.722199999</v>
      </c>
      <c r="T23" s="224">
        <f t="shared" si="4"/>
        <v>60458709.722199999</v>
      </c>
      <c r="U23" s="224">
        <f t="shared" si="4"/>
        <v>6858709.7222000035</v>
      </c>
      <c r="V23" s="224">
        <f t="shared" si="4"/>
        <v>6858709.7222000035</v>
      </c>
      <c r="W23" s="224">
        <f t="shared" si="4"/>
        <v>6858709.7222000035</v>
      </c>
      <c r="X23" s="224">
        <f t="shared" si="4"/>
        <v>6858709.7222000035</v>
      </c>
      <c r="Y23" s="224">
        <f t="shared" si="4"/>
        <v>6858709.7222000035</v>
      </c>
      <c r="Z23" s="224">
        <f t="shared" si="4"/>
        <v>6858709.7222000035</v>
      </c>
      <c r="AA23" s="224">
        <f t="shared" si="4"/>
        <v>6858709.7222000035</v>
      </c>
      <c r="AB23" s="224">
        <f t="shared" si="4"/>
        <v>6858709.7222000035</v>
      </c>
      <c r="AC23" s="224">
        <f t="shared" si="4"/>
        <v>10066609.722200003</v>
      </c>
      <c r="AD23" s="224">
        <f t="shared" si="4"/>
        <v>33658709.722199999</v>
      </c>
      <c r="AE23" s="224">
        <f t="shared" si="4"/>
        <v>6858709.7222000035</v>
      </c>
      <c r="AF23" s="224">
        <f t="shared" si="4"/>
        <v>6858709.7222000035</v>
      </c>
      <c r="AG23" s="224">
        <f t="shared" si="4"/>
        <v>6858709.7222000035</v>
      </c>
      <c r="AH23" s="224">
        <f t="shared" si="4"/>
        <v>6858709.7222000035</v>
      </c>
      <c r="AI23" s="224">
        <f t="shared" si="4"/>
        <v>6858709.7222000035</v>
      </c>
      <c r="AJ23" s="224">
        <f t="shared" si="4"/>
        <v>6858709.7222000035</v>
      </c>
      <c r="AK23" s="224">
        <f t="shared" si="4"/>
        <v>6858709.7222000035</v>
      </c>
      <c r="AL23" s="224">
        <f t="shared" si="4"/>
        <v>6858709.7222000035</v>
      </c>
      <c r="AM23" s="224">
        <f t="shared" si="4"/>
        <v>13274509.722200003</v>
      </c>
      <c r="AN23" s="224">
        <f t="shared" si="4"/>
        <v>60458709.722199999</v>
      </c>
      <c r="AO23" s="224">
        <f t="shared" si="4"/>
        <v>6858709.7222000035</v>
      </c>
      <c r="AP23" s="224">
        <f t="shared" si="4"/>
        <v>125605613.05553335</v>
      </c>
    </row>
    <row r="25" spans="2:42" x14ac:dyDescent="0.2">
      <c r="B25" s="26" t="s">
        <v>22</v>
      </c>
      <c r="C25" s="157">
        <f>-C18-C19-C20+C21+C22</f>
        <v>255369029.94867921</v>
      </c>
      <c r="D25" s="25" t="s">
        <v>0</v>
      </c>
    </row>
    <row r="26" spans="2:42" x14ac:dyDescent="0.2">
      <c r="B26" s="26" t="s">
        <v>23</v>
      </c>
      <c r="C26" s="158" t="e">
        <f>IRR(D23:AP23,1)</f>
        <v>#NUM!</v>
      </c>
    </row>
    <row r="27" spans="2:42" x14ac:dyDescent="0.2">
      <c r="D27" s="25"/>
    </row>
    <row r="29" spans="2:42" x14ac:dyDescent="0.2">
      <c r="B29" s="15" t="s">
        <v>183</v>
      </c>
      <c r="C29" s="15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  <c r="AH30" s="5">
        <v>31</v>
      </c>
      <c r="AI30" s="5">
        <v>32</v>
      </c>
      <c r="AJ30" s="5">
        <v>33</v>
      </c>
      <c r="AK30" s="5">
        <v>34</v>
      </c>
      <c r="AL30" s="5">
        <v>35</v>
      </c>
      <c r="AM30" s="5">
        <v>36</v>
      </c>
      <c r="AN30" s="5">
        <v>37</v>
      </c>
      <c r="AO30" s="5">
        <v>38</v>
      </c>
      <c r="AP30" s="5">
        <v>39</v>
      </c>
    </row>
    <row r="31" spans="2:42" x14ac:dyDescent="0.2">
      <c r="B31" s="6" t="s">
        <v>39</v>
      </c>
      <c r="C31" s="110" t="s">
        <v>9</v>
      </c>
      <c r="D31" s="7">
        <f>D4</f>
        <v>2026</v>
      </c>
      <c r="E31" s="7">
        <f t="shared" ref="E31:AP31" si="5">E4</f>
        <v>2027</v>
      </c>
      <c r="F31" s="7">
        <f t="shared" si="5"/>
        <v>2028</v>
      </c>
      <c r="G31" s="7">
        <f t="shared" si="5"/>
        <v>2029</v>
      </c>
      <c r="H31" s="7">
        <f t="shared" si="5"/>
        <v>2030</v>
      </c>
      <c r="I31" s="7">
        <f t="shared" si="5"/>
        <v>2031</v>
      </c>
      <c r="J31" s="7">
        <f t="shared" si="5"/>
        <v>2032</v>
      </c>
      <c r="K31" s="7">
        <f t="shared" si="5"/>
        <v>2033</v>
      </c>
      <c r="L31" s="7">
        <f t="shared" si="5"/>
        <v>2034</v>
      </c>
      <c r="M31" s="7">
        <f t="shared" si="5"/>
        <v>2035</v>
      </c>
      <c r="N31" s="7">
        <f t="shared" si="5"/>
        <v>2036</v>
      </c>
      <c r="O31" s="7">
        <f t="shared" si="5"/>
        <v>2037</v>
      </c>
      <c r="P31" s="7">
        <f t="shared" si="5"/>
        <v>2038</v>
      </c>
      <c r="Q31" s="7">
        <f t="shared" si="5"/>
        <v>2039</v>
      </c>
      <c r="R31" s="7">
        <f t="shared" si="5"/>
        <v>2040</v>
      </c>
      <c r="S31" s="7">
        <f t="shared" si="5"/>
        <v>2041</v>
      </c>
      <c r="T31" s="7">
        <f t="shared" si="5"/>
        <v>2042</v>
      </c>
      <c r="U31" s="7">
        <f t="shared" si="5"/>
        <v>2043</v>
      </c>
      <c r="V31" s="7">
        <f t="shared" si="5"/>
        <v>2044</v>
      </c>
      <c r="W31" s="7">
        <f t="shared" si="5"/>
        <v>2045</v>
      </c>
      <c r="X31" s="7">
        <f t="shared" si="5"/>
        <v>2046</v>
      </c>
      <c r="Y31" s="7">
        <f t="shared" si="5"/>
        <v>2047</v>
      </c>
      <c r="Z31" s="7">
        <f t="shared" si="5"/>
        <v>2048</v>
      </c>
      <c r="AA31" s="7">
        <f t="shared" si="5"/>
        <v>2049</v>
      </c>
      <c r="AB31" s="7">
        <f t="shared" si="5"/>
        <v>2050</v>
      </c>
      <c r="AC31" s="7">
        <f t="shared" si="5"/>
        <v>2051</v>
      </c>
      <c r="AD31" s="7">
        <f t="shared" si="5"/>
        <v>2052</v>
      </c>
      <c r="AE31" s="7">
        <f t="shared" si="5"/>
        <v>2053</v>
      </c>
      <c r="AF31" s="7">
        <f t="shared" si="5"/>
        <v>2054</v>
      </c>
      <c r="AG31" s="7">
        <f t="shared" si="5"/>
        <v>2055</v>
      </c>
      <c r="AH31" s="7">
        <f t="shared" si="5"/>
        <v>2056</v>
      </c>
      <c r="AI31" s="7">
        <f t="shared" si="5"/>
        <v>2057</v>
      </c>
      <c r="AJ31" s="7">
        <f t="shared" si="5"/>
        <v>2058</v>
      </c>
      <c r="AK31" s="7">
        <f t="shared" si="5"/>
        <v>2059</v>
      </c>
      <c r="AL31" s="7">
        <f t="shared" si="5"/>
        <v>2060</v>
      </c>
      <c r="AM31" s="7">
        <f t="shared" si="5"/>
        <v>2061</v>
      </c>
      <c r="AN31" s="7">
        <f t="shared" si="5"/>
        <v>2062</v>
      </c>
      <c r="AO31" s="7">
        <f t="shared" si="5"/>
        <v>2063</v>
      </c>
      <c r="AP31" s="7">
        <f t="shared" si="5"/>
        <v>2064</v>
      </c>
    </row>
    <row r="32" spans="2:42" x14ac:dyDescent="0.2">
      <c r="B32" s="3" t="s">
        <v>188</v>
      </c>
      <c r="C32" s="116">
        <f t="shared" ref="C32:C39" si="6">SUM(D32:AP32)</f>
        <v>235921000</v>
      </c>
      <c r="D32" s="116">
        <f>'05 Financovanie EMU550'!D25-'01 Investičné výdavky EMU550'!D13-'01 Investičné výdavky EMU550'!D14-'01 Investičné výdavky EMU550'!D16</f>
        <v>0</v>
      </c>
      <c r="E32" s="116">
        <f>'05 Financovanie EMU550'!E25-'01 Investičné výdavky EMU550'!E13-'01 Investičné výdavky EMU550'!E14-'01 Investičné výdavky EMU550'!E16</f>
        <v>0</v>
      </c>
      <c r="F32" s="116">
        <f>'05 Financovanie EMU550'!F25-'01 Investičné výdavky EMU550'!F13-'01 Investičné výdavky EMU550'!F14-'01 Investičné výdavky EMU550'!F16</f>
        <v>0</v>
      </c>
      <c r="G32" s="116">
        <f>'05 Financovanie EMU550'!G25-'01 Investičné výdavky EMU550'!G13-'01 Investičné výdavky EMU550'!G14-'01 Investičné výdavky EMU550'!G16</f>
        <v>134812000</v>
      </c>
      <c r="H32" s="116">
        <f>'05 Financovanie EMU550'!H25-'01 Investičné výdavky EMU550'!H13-'01 Investičné výdavky EMU550'!H14-'01 Investičné výdavky EMU550'!H16</f>
        <v>101109000</v>
      </c>
      <c r="I32" s="116">
        <f>'05 Financovanie EMU550'!I25-'01 Investičné výdavky EMU550'!I13-'01 Investičné výdavky EMU550'!I14-'01 Investičné výdavky EMU550'!I16</f>
        <v>0</v>
      </c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</row>
    <row r="33" spans="2:42" x14ac:dyDescent="0.2">
      <c r="B33" s="3" t="s">
        <v>171</v>
      </c>
      <c r="C33" s="116">
        <f t="shared" si="6"/>
        <v>0</v>
      </c>
      <c r="D33" s="116">
        <f>D7</f>
        <v>0</v>
      </c>
      <c r="E33" s="116">
        <f t="shared" ref="E33:AP33" si="7">E7</f>
        <v>0</v>
      </c>
      <c r="F33" s="116">
        <f t="shared" si="7"/>
        <v>0</v>
      </c>
      <c r="G33" s="116">
        <f t="shared" si="7"/>
        <v>0</v>
      </c>
      <c r="H33" s="116">
        <f t="shared" si="7"/>
        <v>0</v>
      </c>
      <c r="I33" s="116">
        <f t="shared" si="7"/>
        <v>0</v>
      </c>
      <c r="J33" s="116">
        <f t="shared" si="7"/>
        <v>0</v>
      </c>
      <c r="K33" s="116">
        <f t="shared" si="7"/>
        <v>0</v>
      </c>
      <c r="L33" s="116">
        <f t="shared" si="7"/>
        <v>0</v>
      </c>
      <c r="M33" s="116">
        <f t="shared" si="7"/>
        <v>0</v>
      </c>
      <c r="N33" s="116">
        <f t="shared" si="7"/>
        <v>0</v>
      </c>
      <c r="O33" s="116">
        <f t="shared" si="7"/>
        <v>0</v>
      </c>
      <c r="P33" s="116">
        <f t="shared" si="7"/>
        <v>0</v>
      </c>
      <c r="Q33" s="116">
        <f t="shared" si="7"/>
        <v>0</v>
      </c>
      <c r="R33" s="116">
        <f t="shared" si="7"/>
        <v>0</v>
      </c>
      <c r="S33" s="116">
        <f t="shared" si="7"/>
        <v>0</v>
      </c>
      <c r="T33" s="116">
        <f t="shared" si="7"/>
        <v>0</v>
      </c>
      <c r="U33" s="116">
        <f t="shared" si="7"/>
        <v>0</v>
      </c>
      <c r="V33" s="116">
        <f t="shared" si="7"/>
        <v>0</v>
      </c>
      <c r="W33" s="116">
        <f t="shared" si="7"/>
        <v>0</v>
      </c>
      <c r="X33" s="116">
        <f t="shared" si="7"/>
        <v>0</v>
      </c>
      <c r="Y33" s="116">
        <f t="shared" si="7"/>
        <v>0</v>
      </c>
      <c r="Z33" s="116">
        <f t="shared" si="7"/>
        <v>0</v>
      </c>
      <c r="AA33" s="116">
        <f t="shared" si="7"/>
        <v>0</v>
      </c>
      <c r="AB33" s="116">
        <f t="shared" si="7"/>
        <v>0</v>
      </c>
      <c r="AC33" s="116">
        <f t="shared" si="7"/>
        <v>0</v>
      </c>
      <c r="AD33" s="116">
        <f t="shared" si="7"/>
        <v>0</v>
      </c>
      <c r="AE33" s="116">
        <f t="shared" si="7"/>
        <v>0</v>
      </c>
      <c r="AF33" s="116">
        <f t="shared" si="7"/>
        <v>0</v>
      </c>
      <c r="AG33" s="116">
        <f t="shared" si="7"/>
        <v>0</v>
      </c>
      <c r="AH33" s="116">
        <f t="shared" si="7"/>
        <v>0</v>
      </c>
      <c r="AI33" s="116">
        <f t="shared" si="7"/>
        <v>0</v>
      </c>
      <c r="AJ33" s="116">
        <f t="shared" si="7"/>
        <v>0</v>
      </c>
      <c r="AK33" s="116">
        <f t="shared" si="7"/>
        <v>0</v>
      </c>
      <c r="AL33" s="116">
        <f t="shared" si="7"/>
        <v>0</v>
      </c>
      <c r="AM33" s="116">
        <f t="shared" si="7"/>
        <v>0</v>
      </c>
      <c r="AN33" s="116">
        <f t="shared" si="7"/>
        <v>0</v>
      </c>
      <c r="AO33" s="116">
        <f t="shared" si="7"/>
        <v>0</v>
      </c>
      <c r="AP33" s="116">
        <f t="shared" si="7"/>
        <v>0</v>
      </c>
    </row>
    <row r="34" spans="2:42" x14ac:dyDescent="0.2">
      <c r="B34" s="4" t="s">
        <v>11</v>
      </c>
      <c r="C34" s="176">
        <f t="shared" si="6"/>
        <v>235921000</v>
      </c>
      <c r="D34" s="176">
        <f t="shared" ref="D34:AG34" si="8">SUM(D32:D33)</f>
        <v>0</v>
      </c>
      <c r="E34" s="176">
        <f t="shared" si="8"/>
        <v>0</v>
      </c>
      <c r="F34" s="176">
        <f t="shared" si="8"/>
        <v>0</v>
      </c>
      <c r="G34" s="176">
        <f t="shared" si="8"/>
        <v>134812000</v>
      </c>
      <c r="H34" s="176">
        <f t="shared" si="8"/>
        <v>101109000</v>
      </c>
      <c r="I34" s="176">
        <f t="shared" si="8"/>
        <v>0</v>
      </c>
      <c r="J34" s="176">
        <f t="shared" si="8"/>
        <v>0</v>
      </c>
      <c r="K34" s="176">
        <f t="shared" si="8"/>
        <v>0</v>
      </c>
      <c r="L34" s="176">
        <f t="shared" si="8"/>
        <v>0</v>
      </c>
      <c r="M34" s="176">
        <f t="shared" si="8"/>
        <v>0</v>
      </c>
      <c r="N34" s="176">
        <f t="shared" si="8"/>
        <v>0</v>
      </c>
      <c r="O34" s="176">
        <f t="shared" si="8"/>
        <v>0</v>
      </c>
      <c r="P34" s="176">
        <f t="shared" si="8"/>
        <v>0</v>
      </c>
      <c r="Q34" s="176">
        <f t="shared" si="8"/>
        <v>0</v>
      </c>
      <c r="R34" s="176">
        <f t="shared" si="8"/>
        <v>0</v>
      </c>
      <c r="S34" s="176">
        <f t="shared" si="8"/>
        <v>0</v>
      </c>
      <c r="T34" s="176">
        <f t="shared" si="8"/>
        <v>0</v>
      </c>
      <c r="U34" s="176">
        <f t="shared" si="8"/>
        <v>0</v>
      </c>
      <c r="V34" s="176">
        <f t="shared" si="8"/>
        <v>0</v>
      </c>
      <c r="W34" s="176">
        <f t="shared" si="8"/>
        <v>0</v>
      </c>
      <c r="X34" s="176">
        <f t="shared" si="8"/>
        <v>0</v>
      </c>
      <c r="Y34" s="176">
        <f t="shared" si="8"/>
        <v>0</v>
      </c>
      <c r="Z34" s="176">
        <f t="shared" si="8"/>
        <v>0</v>
      </c>
      <c r="AA34" s="176">
        <f t="shared" si="8"/>
        <v>0</v>
      </c>
      <c r="AB34" s="176">
        <f t="shared" si="8"/>
        <v>0</v>
      </c>
      <c r="AC34" s="176">
        <f t="shared" si="8"/>
        <v>0</v>
      </c>
      <c r="AD34" s="176">
        <f t="shared" si="8"/>
        <v>0</v>
      </c>
      <c r="AE34" s="176">
        <f t="shared" si="8"/>
        <v>0</v>
      </c>
      <c r="AF34" s="176">
        <f t="shared" si="8"/>
        <v>0</v>
      </c>
      <c r="AG34" s="176">
        <f t="shared" si="8"/>
        <v>0</v>
      </c>
      <c r="AH34" s="176">
        <f t="shared" ref="AH34:AP34" si="9">SUM(AH32:AH33)</f>
        <v>0</v>
      </c>
      <c r="AI34" s="176">
        <f t="shared" si="9"/>
        <v>0</v>
      </c>
      <c r="AJ34" s="176">
        <f t="shared" si="9"/>
        <v>0</v>
      </c>
      <c r="AK34" s="176">
        <f t="shared" si="9"/>
        <v>0</v>
      </c>
      <c r="AL34" s="176">
        <f t="shared" si="9"/>
        <v>0</v>
      </c>
      <c r="AM34" s="176">
        <f t="shared" si="9"/>
        <v>0</v>
      </c>
      <c r="AN34" s="176">
        <f t="shared" si="9"/>
        <v>0</v>
      </c>
      <c r="AO34" s="176">
        <f t="shared" si="9"/>
        <v>0</v>
      </c>
      <c r="AP34" s="176">
        <f t="shared" si="9"/>
        <v>0</v>
      </c>
    </row>
    <row r="35" spans="2:42" x14ac:dyDescent="0.2">
      <c r="B35" s="3" t="s">
        <v>58</v>
      </c>
      <c r="C35" s="116">
        <f t="shared" si="6"/>
        <v>235921000</v>
      </c>
      <c r="D35" s="116">
        <f>D5</f>
        <v>0</v>
      </c>
      <c r="E35" s="116">
        <f t="shared" ref="E35:T36" si="10">E5</f>
        <v>0</v>
      </c>
      <c r="F35" s="116">
        <f>F5</f>
        <v>0</v>
      </c>
      <c r="G35" s="116">
        <f t="shared" si="10"/>
        <v>134812000</v>
      </c>
      <c r="H35" s="116">
        <f t="shared" si="10"/>
        <v>101109000</v>
      </c>
      <c r="I35" s="116">
        <f t="shared" si="10"/>
        <v>0</v>
      </c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</row>
    <row r="36" spans="2:42" x14ac:dyDescent="0.2">
      <c r="B36" s="3" t="s">
        <v>57</v>
      </c>
      <c r="C36" s="116">
        <f t="shared" si="6"/>
        <v>-406393058.00559986</v>
      </c>
      <c r="D36" s="116">
        <f>D6</f>
        <v>0</v>
      </c>
      <c r="E36" s="116">
        <f t="shared" si="10"/>
        <v>0</v>
      </c>
      <c r="F36" s="116">
        <f t="shared" si="10"/>
        <v>0</v>
      </c>
      <c r="G36" s="116">
        <f t="shared" si="10"/>
        <v>0</v>
      </c>
      <c r="H36" s="116">
        <f t="shared" si="10"/>
        <v>494962.50160000101</v>
      </c>
      <c r="I36" s="116">
        <f t="shared" si="10"/>
        <v>-25933815.622200005</v>
      </c>
      <c r="J36" s="116">
        <f t="shared" si="10"/>
        <v>-25933815.622200005</v>
      </c>
      <c r="K36" s="116">
        <f t="shared" si="10"/>
        <v>866184.37779999431</v>
      </c>
      <c r="L36" s="116">
        <f t="shared" si="10"/>
        <v>866184.37779999431</v>
      </c>
      <c r="M36" s="116">
        <f t="shared" si="10"/>
        <v>866184.37779999431</v>
      </c>
      <c r="N36" s="116">
        <f t="shared" si="10"/>
        <v>866184.37779999431</v>
      </c>
      <c r="O36" s="116">
        <f t="shared" si="10"/>
        <v>866184.37779999431</v>
      </c>
      <c r="P36" s="116">
        <f t="shared" si="10"/>
        <v>866184.37779999431</v>
      </c>
      <c r="Q36" s="116">
        <f t="shared" si="10"/>
        <v>807618.90159999486</v>
      </c>
      <c r="R36" s="116">
        <f t="shared" si="10"/>
        <v>807618.90159999486</v>
      </c>
      <c r="S36" s="116">
        <f t="shared" si="10"/>
        <v>-60458709.722199999</v>
      </c>
      <c r="T36" s="116">
        <f t="shared" si="10"/>
        <v>-60458709.722199999</v>
      </c>
      <c r="U36" s="116">
        <f t="shared" ref="U36:AP36" si="11">U6</f>
        <v>-6858709.7222000035</v>
      </c>
      <c r="V36" s="116">
        <f t="shared" si="11"/>
        <v>-6858709.7222000035</v>
      </c>
      <c r="W36" s="116">
        <f t="shared" si="11"/>
        <v>-6858709.7222000035</v>
      </c>
      <c r="X36" s="116">
        <f t="shared" si="11"/>
        <v>-6858709.7222000035</v>
      </c>
      <c r="Y36" s="116">
        <f t="shared" si="11"/>
        <v>-6858709.7222000035</v>
      </c>
      <c r="Z36" s="116">
        <f t="shared" si="11"/>
        <v>-6858709.7222000035</v>
      </c>
      <c r="AA36" s="116">
        <f t="shared" si="11"/>
        <v>-6858709.7222000035</v>
      </c>
      <c r="AB36" s="116">
        <f t="shared" si="11"/>
        <v>-6858709.7222000035</v>
      </c>
      <c r="AC36" s="116">
        <f t="shared" si="11"/>
        <v>-10066609.722200003</v>
      </c>
      <c r="AD36" s="116">
        <f t="shared" si="11"/>
        <v>-33658709.722199999</v>
      </c>
      <c r="AE36" s="116">
        <f t="shared" si="11"/>
        <v>-6858709.7222000035</v>
      </c>
      <c r="AF36" s="116">
        <f t="shared" si="11"/>
        <v>-6858709.7222000035</v>
      </c>
      <c r="AG36" s="116">
        <f t="shared" si="11"/>
        <v>-6858709.7222000035</v>
      </c>
      <c r="AH36" s="116">
        <f t="shared" si="11"/>
        <v>-6858709.7222000035</v>
      </c>
      <c r="AI36" s="116">
        <f t="shared" si="11"/>
        <v>-6858709.7222000035</v>
      </c>
      <c r="AJ36" s="116">
        <f t="shared" si="11"/>
        <v>-6858709.7222000035</v>
      </c>
      <c r="AK36" s="116">
        <f t="shared" si="11"/>
        <v>-6858709.7222000035</v>
      </c>
      <c r="AL36" s="116">
        <f t="shared" si="11"/>
        <v>-6858709.7222000035</v>
      </c>
      <c r="AM36" s="116">
        <f t="shared" si="11"/>
        <v>-13274509.722200003</v>
      </c>
      <c r="AN36" s="116">
        <f t="shared" si="11"/>
        <v>-60458709.722199999</v>
      </c>
      <c r="AO36" s="116">
        <f t="shared" si="11"/>
        <v>-6858709.7222000035</v>
      </c>
      <c r="AP36" s="116">
        <f t="shared" si="11"/>
        <v>-6858709.7222000035</v>
      </c>
    </row>
    <row r="37" spans="2:42" x14ac:dyDescent="0.2">
      <c r="B37" s="3" t="s">
        <v>182</v>
      </c>
      <c r="C37" s="116">
        <f t="shared" si="6"/>
        <v>0</v>
      </c>
      <c r="D37" s="116">
        <f>D20</f>
        <v>0</v>
      </c>
      <c r="E37" s="116">
        <f t="shared" ref="E37:AP37" si="12">E20</f>
        <v>0</v>
      </c>
      <c r="F37" s="116">
        <f t="shared" si="12"/>
        <v>0</v>
      </c>
      <c r="G37" s="116">
        <f t="shared" si="12"/>
        <v>0</v>
      </c>
      <c r="H37" s="116">
        <f t="shared" si="12"/>
        <v>0</v>
      </c>
      <c r="I37" s="116">
        <f t="shared" si="12"/>
        <v>0</v>
      </c>
      <c r="J37" s="116">
        <f t="shared" si="12"/>
        <v>0</v>
      </c>
      <c r="K37" s="116">
        <f t="shared" si="12"/>
        <v>0</v>
      </c>
      <c r="L37" s="116">
        <f t="shared" si="12"/>
        <v>0</v>
      </c>
      <c r="M37" s="116">
        <f t="shared" si="12"/>
        <v>0</v>
      </c>
      <c r="N37" s="116">
        <f t="shared" si="12"/>
        <v>0</v>
      </c>
      <c r="O37" s="116">
        <f t="shared" si="12"/>
        <v>0</v>
      </c>
      <c r="P37" s="116">
        <f t="shared" si="12"/>
        <v>0</v>
      </c>
      <c r="Q37" s="116">
        <f t="shared" si="12"/>
        <v>0</v>
      </c>
      <c r="R37" s="116">
        <f t="shared" si="12"/>
        <v>0</v>
      </c>
      <c r="S37" s="116">
        <f t="shared" si="12"/>
        <v>0</v>
      </c>
      <c r="T37" s="116">
        <f t="shared" si="12"/>
        <v>0</v>
      </c>
      <c r="U37" s="116">
        <f t="shared" si="12"/>
        <v>0</v>
      </c>
      <c r="V37" s="116">
        <f t="shared" si="12"/>
        <v>0</v>
      </c>
      <c r="W37" s="116">
        <f t="shared" si="12"/>
        <v>0</v>
      </c>
      <c r="X37" s="116">
        <f t="shared" si="12"/>
        <v>0</v>
      </c>
      <c r="Y37" s="116">
        <f t="shared" si="12"/>
        <v>0</v>
      </c>
      <c r="Z37" s="116">
        <f t="shared" si="12"/>
        <v>0</v>
      </c>
      <c r="AA37" s="116">
        <f t="shared" si="12"/>
        <v>0</v>
      </c>
      <c r="AB37" s="116">
        <f t="shared" si="12"/>
        <v>0</v>
      </c>
      <c r="AC37" s="116">
        <f t="shared" si="12"/>
        <v>0</v>
      </c>
      <c r="AD37" s="116">
        <f t="shared" si="12"/>
        <v>0</v>
      </c>
      <c r="AE37" s="116">
        <f t="shared" si="12"/>
        <v>0</v>
      </c>
      <c r="AF37" s="116">
        <f t="shared" si="12"/>
        <v>0</v>
      </c>
      <c r="AG37" s="116">
        <f t="shared" si="12"/>
        <v>0</v>
      </c>
      <c r="AH37" s="116">
        <f t="shared" si="12"/>
        <v>0</v>
      </c>
      <c r="AI37" s="116">
        <f t="shared" si="12"/>
        <v>0</v>
      </c>
      <c r="AJ37" s="116">
        <f t="shared" si="12"/>
        <v>0</v>
      </c>
      <c r="AK37" s="116">
        <f t="shared" si="12"/>
        <v>0</v>
      </c>
      <c r="AL37" s="116">
        <f t="shared" si="12"/>
        <v>0</v>
      </c>
      <c r="AM37" s="116">
        <f t="shared" si="12"/>
        <v>0</v>
      </c>
      <c r="AN37" s="116">
        <f t="shared" si="12"/>
        <v>0</v>
      </c>
      <c r="AO37" s="116">
        <f t="shared" si="12"/>
        <v>0</v>
      </c>
      <c r="AP37" s="116">
        <f t="shared" si="12"/>
        <v>0</v>
      </c>
    </row>
    <row r="38" spans="2:42" x14ac:dyDescent="0.2">
      <c r="B38" s="4" t="s">
        <v>26</v>
      </c>
      <c r="C38" s="176">
        <f t="shared" si="6"/>
        <v>-170472058.00560021</v>
      </c>
      <c r="D38" s="176">
        <f>SUM(D35:D37)</f>
        <v>0</v>
      </c>
      <c r="E38" s="176">
        <f t="shared" ref="E38:AP38" si="13">SUM(E35:E37)</f>
        <v>0</v>
      </c>
      <c r="F38" s="176">
        <f t="shared" si="13"/>
        <v>0</v>
      </c>
      <c r="G38" s="176">
        <f t="shared" si="13"/>
        <v>134812000</v>
      </c>
      <c r="H38" s="176">
        <f t="shared" si="13"/>
        <v>101603962.5016</v>
      </c>
      <c r="I38" s="176">
        <f t="shared" si="13"/>
        <v>-25933815.622200005</v>
      </c>
      <c r="J38" s="176">
        <f t="shared" si="13"/>
        <v>-25933815.622200005</v>
      </c>
      <c r="K38" s="176">
        <f t="shared" si="13"/>
        <v>866184.37779999431</v>
      </c>
      <c r="L38" s="176">
        <f t="shared" si="13"/>
        <v>866184.37779999431</v>
      </c>
      <c r="M38" s="176">
        <f t="shared" si="13"/>
        <v>866184.37779999431</v>
      </c>
      <c r="N38" s="176">
        <f t="shared" si="13"/>
        <v>866184.37779999431</v>
      </c>
      <c r="O38" s="176">
        <f t="shared" si="13"/>
        <v>866184.37779999431</v>
      </c>
      <c r="P38" s="176">
        <f t="shared" si="13"/>
        <v>866184.37779999431</v>
      </c>
      <c r="Q38" s="176">
        <f t="shared" si="13"/>
        <v>807618.90159999486</v>
      </c>
      <c r="R38" s="176">
        <f t="shared" si="13"/>
        <v>807618.90159999486</v>
      </c>
      <c r="S38" s="176">
        <f t="shared" si="13"/>
        <v>-60458709.722199999</v>
      </c>
      <c r="T38" s="176">
        <f t="shared" si="13"/>
        <v>-60458709.722199999</v>
      </c>
      <c r="U38" s="176">
        <f t="shared" si="13"/>
        <v>-6858709.7222000035</v>
      </c>
      <c r="V38" s="176">
        <f t="shared" si="13"/>
        <v>-6858709.7222000035</v>
      </c>
      <c r="W38" s="176">
        <f t="shared" si="13"/>
        <v>-6858709.7222000035</v>
      </c>
      <c r="X38" s="176">
        <f t="shared" si="13"/>
        <v>-6858709.7222000035</v>
      </c>
      <c r="Y38" s="176">
        <f t="shared" si="13"/>
        <v>-6858709.7222000035</v>
      </c>
      <c r="Z38" s="176">
        <f t="shared" si="13"/>
        <v>-6858709.7222000035</v>
      </c>
      <c r="AA38" s="176">
        <f t="shared" si="13"/>
        <v>-6858709.7222000035</v>
      </c>
      <c r="AB38" s="176">
        <f t="shared" si="13"/>
        <v>-6858709.7222000035</v>
      </c>
      <c r="AC38" s="176">
        <f t="shared" si="13"/>
        <v>-10066609.722200003</v>
      </c>
      <c r="AD38" s="176">
        <f t="shared" si="13"/>
        <v>-33658709.722199999</v>
      </c>
      <c r="AE38" s="176">
        <f t="shared" si="13"/>
        <v>-6858709.7222000035</v>
      </c>
      <c r="AF38" s="176">
        <f t="shared" si="13"/>
        <v>-6858709.7222000035</v>
      </c>
      <c r="AG38" s="176">
        <f t="shared" si="13"/>
        <v>-6858709.7222000035</v>
      </c>
      <c r="AH38" s="176">
        <f t="shared" si="13"/>
        <v>-6858709.7222000035</v>
      </c>
      <c r="AI38" s="176">
        <f t="shared" si="13"/>
        <v>-6858709.7222000035</v>
      </c>
      <c r="AJ38" s="176">
        <f t="shared" si="13"/>
        <v>-6858709.7222000035</v>
      </c>
      <c r="AK38" s="176">
        <f t="shared" si="13"/>
        <v>-6858709.7222000035</v>
      </c>
      <c r="AL38" s="176">
        <f t="shared" si="13"/>
        <v>-6858709.7222000035</v>
      </c>
      <c r="AM38" s="176">
        <f t="shared" si="13"/>
        <v>-13274509.722200003</v>
      </c>
      <c r="AN38" s="176">
        <f t="shared" si="13"/>
        <v>-60458709.722199999</v>
      </c>
      <c r="AO38" s="176">
        <f t="shared" si="13"/>
        <v>-6858709.7222000035</v>
      </c>
      <c r="AP38" s="176">
        <f t="shared" si="13"/>
        <v>-6858709.7222000035</v>
      </c>
    </row>
    <row r="39" spans="2:42" x14ac:dyDescent="0.2">
      <c r="B39" s="114" t="s">
        <v>47</v>
      </c>
      <c r="C39" s="177">
        <f t="shared" si="6"/>
        <v>406393058.00559986</v>
      </c>
      <c r="D39" s="177">
        <f>D34-D38</f>
        <v>0</v>
      </c>
      <c r="E39" s="177">
        <f t="shared" ref="E39:AP39" si="14">E34-E38</f>
        <v>0</v>
      </c>
      <c r="F39" s="177">
        <f t="shared" si="14"/>
        <v>0</v>
      </c>
      <c r="G39" s="177">
        <f t="shared" si="14"/>
        <v>0</v>
      </c>
      <c r="H39" s="177">
        <f t="shared" si="14"/>
        <v>-494962.50159999728</v>
      </c>
      <c r="I39" s="177">
        <f t="shared" si="14"/>
        <v>25933815.622200005</v>
      </c>
      <c r="J39" s="177">
        <f t="shared" si="14"/>
        <v>25933815.622200005</v>
      </c>
      <c r="K39" s="177">
        <f t="shared" si="14"/>
        <v>-866184.37779999431</v>
      </c>
      <c r="L39" s="177">
        <f t="shared" si="14"/>
        <v>-866184.37779999431</v>
      </c>
      <c r="M39" s="177">
        <f t="shared" si="14"/>
        <v>-866184.37779999431</v>
      </c>
      <c r="N39" s="177">
        <f t="shared" si="14"/>
        <v>-866184.37779999431</v>
      </c>
      <c r="O39" s="177">
        <f t="shared" si="14"/>
        <v>-866184.37779999431</v>
      </c>
      <c r="P39" s="177">
        <f t="shared" si="14"/>
        <v>-866184.37779999431</v>
      </c>
      <c r="Q39" s="177">
        <f t="shared" si="14"/>
        <v>-807618.90159999486</v>
      </c>
      <c r="R39" s="177">
        <f t="shared" si="14"/>
        <v>-807618.90159999486</v>
      </c>
      <c r="S39" s="177">
        <f t="shared" si="14"/>
        <v>60458709.722199999</v>
      </c>
      <c r="T39" s="177">
        <f t="shared" si="14"/>
        <v>60458709.722199999</v>
      </c>
      <c r="U39" s="177">
        <f t="shared" si="14"/>
        <v>6858709.7222000035</v>
      </c>
      <c r="V39" s="177">
        <f t="shared" si="14"/>
        <v>6858709.7222000035</v>
      </c>
      <c r="W39" s="177">
        <f t="shared" si="14"/>
        <v>6858709.7222000035</v>
      </c>
      <c r="X39" s="177">
        <f t="shared" si="14"/>
        <v>6858709.7222000035</v>
      </c>
      <c r="Y39" s="177">
        <f t="shared" si="14"/>
        <v>6858709.7222000035</v>
      </c>
      <c r="Z39" s="177">
        <f t="shared" si="14"/>
        <v>6858709.7222000035</v>
      </c>
      <c r="AA39" s="177">
        <f t="shared" si="14"/>
        <v>6858709.7222000035</v>
      </c>
      <c r="AB39" s="177">
        <f t="shared" si="14"/>
        <v>6858709.7222000035</v>
      </c>
      <c r="AC39" s="177">
        <f t="shared" si="14"/>
        <v>10066609.722200003</v>
      </c>
      <c r="AD39" s="177">
        <f t="shared" si="14"/>
        <v>33658709.722199999</v>
      </c>
      <c r="AE39" s="177">
        <f t="shared" si="14"/>
        <v>6858709.7222000035</v>
      </c>
      <c r="AF39" s="177">
        <f t="shared" si="14"/>
        <v>6858709.7222000035</v>
      </c>
      <c r="AG39" s="177">
        <f t="shared" si="14"/>
        <v>6858709.7222000035</v>
      </c>
      <c r="AH39" s="177">
        <f t="shared" si="14"/>
        <v>6858709.7222000035</v>
      </c>
      <c r="AI39" s="177">
        <f t="shared" si="14"/>
        <v>6858709.7222000035</v>
      </c>
      <c r="AJ39" s="177">
        <f t="shared" si="14"/>
        <v>6858709.7222000035</v>
      </c>
      <c r="AK39" s="177">
        <f t="shared" si="14"/>
        <v>6858709.7222000035</v>
      </c>
      <c r="AL39" s="177">
        <f t="shared" si="14"/>
        <v>6858709.7222000035</v>
      </c>
      <c r="AM39" s="177">
        <f t="shared" si="14"/>
        <v>13274509.722200003</v>
      </c>
      <c r="AN39" s="177">
        <f t="shared" si="14"/>
        <v>60458709.722199999</v>
      </c>
      <c r="AO39" s="177">
        <f t="shared" si="14"/>
        <v>6858709.7222000035</v>
      </c>
      <c r="AP39" s="177">
        <f t="shared" si="14"/>
        <v>6858709.7222000035</v>
      </c>
    </row>
    <row r="40" spans="2:42" x14ac:dyDescent="0.2">
      <c r="B40" s="3" t="s">
        <v>27</v>
      </c>
      <c r="C40" s="176"/>
      <c r="D40" s="116">
        <f>D39</f>
        <v>0</v>
      </c>
      <c r="E40" s="116">
        <f>D40+E39</f>
        <v>0</v>
      </c>
      <c r="F40" s="116">
        <f t="shared" ref="F40:AP40" si="15">E40+F39</f>
        <v>0</v>
      </c>
      <c r="G40" s="116">
        <f t="shared" si="15"/>
        <v>0</v>
      </c>
      <c r="H40" s="116">
        <f t="shared" si="15"/>
        <v>-494962.50159999728</v>
      </c>
      <c r="I40" s="116">
        <f t="shared" si="15"/>
        <v>25438853.120600007</v>
      </c>
      <c r="J40" s="116">
        <f t="shared" si="15"/>
        <v>51372668.742800012</v>
      </c>
      <c r="K40" s="116">
        <f t="shared" si="15"/>
        <v>50506484.365000017</v>
      </c>
      <c r="L40" s="116">
        <f t="shared" si="15"/>
        <v>49640299.987200022</v>
      </c>
      <c r="M40" s="116">
        <f t="shared" si="15"/>
        <v>48774115.609400027</v>
      </c>
      <c r="N40" s="116">
        <f t="shared" si="15"/>
        <v>47907931.231600031</v>
      </c>
      <c r="O40" s="116">
        <f t="shared" si="15"/>
        <v>47041746.853800036</v>
      </c>
      <c r="P40" s="116">
        <f t="shared" si="15"/>
        <v>46175562.476000041</v>
      </c>
      <c r="Q40" s="116">
        <f t="shared" si="15"/>
        <v>45367943.574400045</v>
      </c>
      <c r="R40" s="116">
        <f t="shared" si="15"/>
        <v>44560324.672800049</v>
      </c>
      <c r="S40" s="116">
        <f t="shared" si="15"/>
        <v>105019034.39500004</v>
      </c>
      <c r="T40" s="116">
        <f t="shared" si="15"/>
        <v>165477744.11720005</v>
      </c>
      <c r="U40" s="116">
        <f t="shared" si="15"/>
        <v>172336453.83940005</v>
      </c>
      <c r="V40" s="116">
        <f t="shared" si="15"/>
        <v>179195163.56160006</v>
      </c>
      <c r="W40" s="116">
        <f t="shared" si="15"/>
        <v>186053873.28380007</v>
      </c>
      <c r="X40" s="116">
        <f t="shared" si="15"/>
        <v>192912583.00600007</v>
      </c>
      <c r="Y40" s="116">
        <f t="shared" si="15"/>
        <v>199771292.72820008</v>
      </c>
      <c r="Z40" s="116">
        <f t="shared" si="15"/>
        <v>206630002.45040008</v>
      </c>
      <c r="AA40" s="116">
        <f t="shared" si="15"/>
        <v>213488712.17260009</v>
      </c>
      <c r="AB40" s="116">
        <f t="shared" si="15"/>
        <v>220347421.8948001</v>
      </c>
      <c r="AC40" s="116">
        <f t="shared" si="15"/>
        <v>230414031.6170001</v>
      </c>
      <c r="AD40" s="116">
        <f t="shared" si="15"/>
        <v>264072741.33920011</v>
      </c>
      <c r="AE40" s="116">
        <f t="shared" si="15"/>
        <v>270931451.06140012</v>
      </c>
      <c r="AF40" s="116">
        <f t="shared" si="15"/>
        <v>277790160.78360009</v>
      </c>
      <c r="AG40" s="116">
        <f t="shared" si="15"/>
        <v>284648870.50580007</v>
      </c>
      <c r="AH40" s="116">
        <f t="shared" si="15"/>
        <v>291507580.22800004</v>
      </c>
      <c r="AI40" s="116">
        <f t="shared" si="15"/>
        <v>298366289.95020002</v>
      </c>
      <c r="AJ40" s="116">
        <f t="shared" si="15"/>
        <v>305224999.6724</v>
      </c>
      <c r="AK40" s="116">
        <f t="shared" si="15"/>
        <v>312083709.39459997</v>
      </c>
      <c r="AL40" s="116">
        <f t="shared" si="15"/>
        <v>318942419.11679995</v>
      </c>
      <c r="AM40" s="116">
        <f t="shared" si="15"/>
        <v>332216928.83899993</v>
      </c>
      <c r="AN40" s="116">
        <f t="shared" si="15"/>
        <v>392675638.5611999</v>
      </c>
      <c r="AO40" s="116">
        <f t="shared" si="15"/>
        <v>399534348.28339988</v>
      </c>
      <c r="AP40" s="116">
        <f t="shared" si="15"/>
        <v>406393058.00559986</v>
      </c>
    </row>
    <row r="41" spans="2:42" x14ac:dyDescent="0.2">
      <c r="B41" s="3" t="s">
        <v>190</v>
      </c>
      <c r="C41" s="176">
        <f>SUM(D41:AP41)</f>
        <v>0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</row>
    <row r="42" spans="2:42" x14ac:dyDescent="0.2">
      <c r="B42" s="28" t="s">
        <v>191</v>
      </c>
      <c r="C42" s="178"/>
      <c r="D42" s="178">
        <f>D39+D41</f>
        <v>0</v>
      </c>
      <c r="E42" s="178">
        <f>D42+E39+E41</f>
        <v>0</v>
      </c>
      <c r="F42" s="178">
        <f t="shared" ref="F42:AP42" si="16">E42+F39+F41</f>
        <v>0</v>
      </c>
      <c r="G42" s="178">
        <f t="shared" si="16"/>
        <v>0</v>
      </c>
      <c r="H42" s="178">
        <f t="shared" si="16"/>
        <v>-494962.50159999728</v>
      </c>
      <c r="I42" s="178">
        <f t="shared" si="16"/>
        <v>25438853.120600007</v>
      </c>
      <c r="J42" s="178">
        <f t="shared" si="16"/>
        <v>51372668.742800012</v>
      </c>
      <c r="K42" s="178">
        <f t="shared" si="16"/>
        <v>50506484.365000017</v>
      </c>
      <c r="L42" s="178">
        <f t="shared" si="16"/>
        <v>49640299.987200022</v>
      </c>
      <c r="M42" s="178">
        <f t="shared" si="16"/>
        <v>48774115.609400027</v>
      </c>
      <c r="N42" s="178">
        <f t="shared" si="16"/>
        <v>47907931.231600031</v>
      </c>
      <c r="O42" s="178">
        <f t="shared" si="16"/>
        <v>47041746.853800036</v>
      </c>
      <c r="P42" s="178">
        <f t="shared" si="16"/>
        <v>46175562.476000041</v>
      </c>
      <c r="Q42" s="178">
        <f t="shared" si="16"/>
        <v>45367943.574400045</v>
      </c>
      <c r="R42" s="178">
        <f t="shared" si="16"/>
        <v>44560324.672800049</v>
      </c>
      <c r="S42" s="178">
        <f t="shared" si="16"/>
        <v>105019034.39500004</v>
      </c>
      <c r="T42" s="178">
        <f t="shared" si="16"/>
        <v>165477744.11720005</v>
      </c>
      <c r="U42" s="178">
        <f t="shared" si="16"/>
        <v>172336453.83940005</v>
      </c>
      <c r="V42" s="178">
        <f t="shared" si="16"/>
        <v>179195163.56160006</v>
      </c>
      <c r="W42" s="178">
        <f t="shared" si="16"/>
        <v>186053873.28380007</v>
      </c>
      <c r="X42" s="178">
        <f t="shared" si="16"/>
        <v>192912583.00600007</v>
      </c>
      <c r="Y42" s="178">
        <f t="shared" si="16"/>
        <v>199771292.72820008</v>
      </c>
      <c r="Z42" s="178">
        <f t="shared" si="16"/>
        <v>206630002.45040008</v>
      </c>
      <c r="AA42" s="178">
        <f t="shared" si="16"/>
        <v>213488712.17260009</v>
      </c>
      <c r="AB42" s="178">
        <f t="shared" si="16"/>
        <v>220347421.8948001</v>
      </c>
      <c r="AC42" s="178">
        <f t="shared" si="16"/>
        <v>230414031.6170001</v>
      </c>
      <c r="AD42" s="178">
        <f t="shared" si="16"/>
        <v>264072741.33920011</v>
      </c>
      <c r="AE42" s="178">
        <f t="shared" si="16"/>
        <v>270931451.06140012</v>
      </c>
      <c r="AF42" s="178">
        <f t="shared" si="16"/>
        <v>277790160.78360009</v>
      </c>
      <c r="AG42" s="178">
        <f t="shared" si="16"/>
        <v>284648870.50580007</v>
      </c>
      <c r="AH42" s="178">
        <f t="shared" si="16"/>
        <v>291507580.22800004</v>
      </c>
      <c r="AI42" s="178">
        <f t="shared" si="16"/>
        <v>298366289.95020002</v>
      </c>
      <c r="AJ42" s="178">
        <f t="shared" si="16"/>
        <v>305224999.6724</v>
      </c>
      <c r="AK42" s="178">
        <f t="shared" si="16"/>
        <v>312083709.39459997</v>
      </c>
      <c r="AL42" s="178">
        <f t="shared" si="16"/>
        <v>318942419.11679995</v>
      </c>
      <c r="AM42" s="178">
        <f t="shared" si="16"/>
        <v>332216928.83899993</v>
      </c>
      <c r="AN42" s="178">
        <f t="shared" si="16"/>
        <v>392675638.5611999</v>
      </c>
      <c r="AO42" s="178">
        <f t="shared" si="16"/>
        <v>399534348.28339988</v>
      </c>
      <c r="AP42" s="178">
        <f t="shared" si="16"/>
        <v>406393058.00559986</v>
      </c>
    </row>
    <row r="45" spans="2:42" x14ac:dyDescent="0.2">
      <c r="B45" s="15" t="s">
        <v>194</v>
      </c>
      <c r="C45" s="15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2:42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  <c r="AH46" s="5">
        <v>31</v>
      </c>
      <c r="AI46" s="5">
        <v>32</v>
      </c>
      <c r="AJ46" s="5">
        <v>33</v>
      </c>
      <c r="AK46" s="5">
        <v>34</v>
      </c>
      <c r="AL46" s="5">
        <v>35</v>
      </c>
      <c r="AM46" s="5">
        <v>36</v>
      </c>
      <c r="AN46" s="5">
        <v>37</v>
      </c>
      <c r="AO46" s="5">
        <v>38</v>
      </c>
      <c r="AP46" s="5">
        <v>39</v>
      </c>
    </row>
    <row r="47" spans="2:42" x14ac:dyDescent="0.2">
      <c r="B47" s="6" t="s">
        <v>39</v>
      </c>
      <c r="C47" s="110" t="s">
        <v>9</v>
      </c>
      <c r="D47" s="7">
        <f>D4</f>
        <v>2026</v>
      </c>
      <c r="E47" s="7">
        <f t="shared" ref="E47:AP47" si="17">E4</f>
        <v>2027</v>
      </c>
      <c r="F47" s="7">
        <f t="shared" si="17"/>
        <v>2028</v>
      </c>
      <c r="G47" s="7">
        <f t="shared" si="17"/>
        <v>2029</v>
      </c>
      <c r="H47" s="7">
        <f t="shared" si="17"/>
        <v>2030</v>
      </c>
      <c r="I47" s="7">
        <f t="shared" si="17"/>
        <v>2031</v>
      </c>
      <c r="J47" s="7">
        <f t="shared" si="17"/>
        <v>2032</v>
      </c>
      <c r="K47" s="7">
        <f t="shared" si="17"/>
        <v>2033</v>
      </c>
      <c r="L47" s="7">
        <f t="shared" si="17"/>
        <v>2034</v>
      </c>
      <c r="M47" s="7">
        <f t="shared" si="17"/>
        <v>2035</v>
      </c>
      <c r="N47" s="7">
        <f t="shared" si="17"/>
        <v>2036</v>
      </c>
      <c r="O47" s="7">
        <f t="shared" si="17"/>
        <v>2037</v>
      </c>
      <c r="P47" s="7">
        <f t="shared" si="17"/>
        <v>2038</v>
      </c>
      <c r="Q47" s="7">
        <f t="shared" si="17"/>
        <v>2039</v>
      </c>
      <c r="R47" s="7">
        <f t="shared" si="17"/>
        <v>2040</v>
      </c>
      <c r="S47" s="7">
        <f t="shared" si="17"/>
        <v>2041</v>
      </c>
      <c r="T47" s="7">
        <f t="shared" si="17"/>
        <v>2042</v>
      </c>
      <c r="U47" s="7">
        <f t="shared" si="17"/>
        <v>2043</v>
      </c>
      <c r="V47" s="7">
        <f t="shared" si="17"/>
        <v>2044</v>
      </c>
      <c r="W47" s="7">
        <f t="shared" si="17"/>
        <v>2045</v>
      </c>
      <c r="X47" s="7">
        <f t="shared" si="17"/>
        <v>2046</v>
      </c>
      <c r="Y47" s="7">
        <f t="shared" si="17"/>
        <v>2047</v>
      </c>
      <c r="Z47" s="7">
        <f t="shared" si="17"/>
        <v>2048</v>
      </c>
      <c r="AA47" s="7">
        <f t="shared" si="17"/>
        <v>2049</v>
      </c>
      <c r="AB47" s="7">
        <f t="shared" si="17"/>
        <v>2050</v>
      </c>
      <c r="AC47" s="7">
        <f t="shared" si="17"/>
        <v>2051</v>
      </c>
      <c r="AD47" s="7">
        <f t="shared" si="17"/>
        <v>2052</v>
      </c>
      <c r="AE47" s="7">
        <f t="shared" si="17"/>
        <v>2053</v>
      </c>
      <c r="AF47" s="7">
        <f t="shared" si="17"/>
        <v>2054</v>
      </c>
      <c r="AG47" s="7">
        <f t="shared" si="17"/>
        <v>2055</v>
      </c>
      <c r="AH47" s="7">
        <f t="shared" si="17"/>
        <v>2056</v>
      </c>
      <c r="AI47" s="7">
        <f t="shared" si="17"/>
        <v>2057</v>
      </c>
      <c r="AJ47" s="7">
        <f t="shared" si="17"/>
        <v>2058</v>
      </c>
      <c r="AK47" s="7">
        <f t="shared" si="17"/>
        <v>2059</v>
      </c>
      <c r="AL47" s="7">
        <f t="shared" si="17"/>
        <v>2060</v>
      </c>
      <c r="AM47" s="7">
        <f t="shared" si="17"/>
        <v>2061</v>
      </c>
      <c r="AN47" s="7">
        <f t="shared" si="17"/>
        <v>2062</v>
      </c>
      <c r="AO47" s="7">
        <f t="shared" si="17"/>
        <v>2063</v>
      </c>
      <c r="AP47" s="7">
        <f t="shared" si="17"/>
        <v>2064</v>
      </c>
    </row>
    <row r="48" spans="2:42" x14ac:dyDescent="0.2">
      <c r="B48" s="3" t="s">
        <v>188</v>
      </c>
      <c r="C48" s="116">
        <f t="shared" ref="C48:C55" si="18">SUM(D48:AP48)</f>
        <v>235921000</v>
      </c>
      <c r="D48" s="116">
        <f>'05 Financovanie EMU550'!D25-'01 Investičné výdavky EMU550'!D13-'01 Investičné výdavky EMU550'!D14-'01 Investičné výdavky EMU550'!D16</f>
        <v>0</v>
      </c>
      <c r="E48" s="116">
        <f>'05 Financovanie EMU550'!E25-'01 Investičné výdavky EMU550'!E13-'01 Investičné výdavky EMU550'!E14-'01 Investičné výdavky EMU550'!E16</f>
        <v>0</v>
      </c>
      <c r="F48" s="116">
        <f>'05 Financovanie EMU550'!F25-'01 Investičné výdavky EMU550'!F13-'01 Investičné výdavky EMU550'!F14-'01 Investičné výdavky EMU550'!F16</f>
        <v>0</v>
      </c>
      <c r="G48" s="116">
        <f>'05 Financovanie EMU550'!G25-'01 Investičné výdavky EMU550'!G13-'01 Investičné výdavky EMU550'!G14-'01 Investičné výdavky EMU550'!G16</f>
        <v>134812000</v>
      </c>
      <c r="H48" s="116">
        <f>'05 Financovanie EMU550'!H25-'01 Investičné výdavky EMU550'!H13-'01 Investičné výdavky EMU550'!H14-'01 Investičné výdavky EMU550'!H16</f>
        <v>101109000</v>
      </c>
      <c r="I48" s="116">
        <f>'05 Financovanie EMU550'!I25-'01 Investičné výdavky EMU550'!I13-'01 Investičné výdavky EMU550'!I14-'01 Investičné výdavky EMU550'!I16</f>
        <v>0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</row>
    <row r="49" spans="2:42" x14ac:dyDescent="0.2">
      <c r="B49" s="115" t="s">
        <v>193</v>
      </c>
      <c r="C49" s="175">
        <f t="shared" si="18"/>
        <v>697240400.5610677</v>
      </c>
      <c r="D49" s="175">
        <f>'04 Prevádzkové príjmy EMU550'!D15</f>
        <v>16212988.223822912</v>
      </c>
      <c r="E49" s="175">
        <f>'04 Prevádzkové príjmy EMU550'!E15</f>
        <v>16375118.106061142</v>
      </c>
      <c r="F49" s="175">
        <f>'04 Prevádzkové príjmy EMU550'!F15</f>
        <v>16538869.287121752</v>
      </c>
      <c r="G49" s="175">
        <f>'04 Prevádzkové príjmy EMU550'!G15</f>
        <v>16704257.979992973</v>
      </c>
      <c r="H49" s="175">
        <f>'04 Prevádzkové príjmy EMU550'!H15</f>
        <v>16871300.559792899</v>
      </c>
      <c r="I49" s="175">
        <f>'04 Prevádzkové príjmy EMU550'!I15</f>
        <v>17040013.565390829</v>
      </c>
      <c r="J49" s="175">
        <f>'04 Prevádzkové príjmy EMU550'!J15</f>
        <v>17210413.701044738</v>
      </c>
      <c r="K49" s="175">
        <f>'04 Prevádzkové príjmy EMU550'!K15</f>
        <v>17382517.838055186</v>
      </c>
      <c r="L49" s="175">
        <f>'04 Prevádzkové príjmy EMU550'!L15</f>
        <v>17556343.016435739</v>
      </c>
      <c r="M49" s="175">
        <f>'04 Prevádzkové príjmy EMU550'!M15</f>
        <v>17731906.446600094</v>
      </c>
      <c r="N49" s="175">
        <f>'04 Prevádzkové príjmy EMU550'!N15</f>
        <v>17909225.511066094</v>
      </c>
      <c r="O49" s="175">
        <f>'04 Prevádzkové príjmy EMU550'!O15</f>
        <v>18088317.766176756</v>
      </c>
      <c r="P49" s="175">
        <f>'04 Prevádzkové príjmy EMU550'!P15</f>
        <v>18269200.943838526</v>
      </c>
      <c r="Q49" s="175">
        <f>'04 Prevádzkové príjmy EMU550'!Q15</f>
        <v>18451892.95327691</v>
      </c>
      <c r="R49" s="175">
        <f>'04 Prevádzkové príjmy EMU550'!R15</f>
        <v>18636411.88280968</v>
      </c>
      <c r="S49" s="175">
        <f>'04 Prevádzkové príjmy EMU550'!S15</f>
        <v>18599139.059044059</v>
      </c>
      <c r="T49" s="175">
        <f>'04 Prevádzkové príjmy EMU550'!T15</f>
        <v>18561940.780925971</v>
      </c>
      <c r="U49" s="175">
        <f>'04 Prevádzkové príjmy EMU550'!U15</f>
        <v>18524816.899364118</v>
      </c>
      <c r="V49" s="175">
        <f>'04 Prevádzkové príjmy EMU550'!V15</f>
        <v>18487767.265565388</v>
      </c>
      <c r="W49" s="175">
        <f>'04 Prevádzkové príjmy EMU550'!W15</f>
        <v>18450791.73103426</v>
      </c>
      <c r="X49" s="175">
        <f>'04 Prevádzkové príjmy EMU550'!X15</f>
        <v>18413890.147572193</v>
      </c>
      <c r="Y49" s="175">
        <f>'04 Prevádzkové príjmy EMU550'!Y15</f>
        <v>18377062.367277049</v>
      </c>
      <c r="Z49" s="175">
        <f>'04 Prevádzkové príjmy EMU550'!Z15</f>
        <v>18340308.24254249</v>
      </c>
      <c r="AA49" s="175">
        <f>'04 Prevádzkové príjmy EMU550'!AA15</f>
        <v>18303627.626057405</v>
      </c>
      <c r="AB49" s="175">
        <f>'04 Prevádzkové príjmy EMU550'!AB15</f>
        <v>18267020.370805293</v>
      </c>
      <c r="AC49" s="175">
        <f>'04 Prevádzkové príjmy EMU550'!AC15</f>
        <v>18230486.330063682</v>
      </c>
      <c r="AD49" s="175">
        <f>'04 Prevádzkové príjmy EMU550'!AD15</f>
        <v>18194025.35740355</v>
      </c>
      <c r="AE49" s="175">
        <f>'04 Prevádzkové príjmy EMU550'!AE15</f>
        <v>18157637.306688741</v>
      </c>
      <c r="AF49" s="175">
        <f>'04 Prevádzkové príjmy EMU550'!AF15</f>
        <v>18121322.032075368</v>
      </c>
      <c r="AG49" s="175">
        <f>'04 Prevádzkové príjmy EMU550'!AG15</f>
        <v>18085079.388011217</v>
      </c>
      <c r="AH49" s="175">
        <f>'04 Prevádzkové príjmy EMU550'!AH15</f>
        <v>18048909.229235195</v>
      </c>
      <c r="AI49" s="175">
        <f>'04 Prevádzkové príjmy EMU550'!AI15</f>
        <v>18012811.410776723</v>
      </c>
      <c r="AJ49" s="175">
        <f>'04 Prevádzkové príjmy EMU550'!AJ15</f>
        <v>17976785.787955169</v>
      </c>
      <c r="AK49" s="175">
        <f>'04 Prevádzkové príjmy EMU550'!AK15</f>
        <v>17940832.216379259</v>
      </c>
      <c r="AL49" s="175">
        <f>'04 Prevádzkové príjmy EMU550'!AL15</f>
        <v>17904950.551946498</v>
      </c>
      <c r="AM49" s="175">
        <f>'04 Prevádzkové príjmy EMU550'!AM15</f>
        <v>17869140.650842611</v>
      </c>
      <c r="AN49" s="175">
        <f>'04 Prevádzkové príjmy EMU550'!AN15</f>
        <v>17833402.369540922</v>
      </c>
      <c r="AO49" s="175">
        <f>'04 Prevádzkové príjmy EMU550'!AO15</f>
        <v>17797735.564801846</v>
      </c>
      <c r="AP49" s="175">
        <f>'04 Prevádzkové príjmy EMU550'!AP15</f>
        <v>17762140.093672238</v>
      </c>
    </row>
    <row r="50" spans="2:42" x14ac:dyDescent="0.2">
      <c r="B50" s="4" t="s">
        <v>11</v>
      </c>
      <c r="C50" s="176">
        <f t="shared" si="18"/>
        <v>933161400.5610677</v>
      </c>
      <c r="D50" s="176">
        <f>SUM(D48:D49)</f>
        <v>16212988.223822912</v>
      </c>
      <c r="E50" s="176">
        <f t="shared" ref="E50:AP50" si="19">SUM(E48:E49)</f>
        <v>16375118.106061142</v>
      </c>
      <c r="F50" s="176">
        <f t="shared" si="19"/>
        <v>16538869.287121752</v>
      </c>
      <c r="G50" s="176">
        <f t="shared" si="19"/>
        <v>151516257.97999299</v>
      </c>
      <c r="H50" s="176">
        <f t="shared" si="19"/>
        <v>117980300.55979291</v>
      </c>
      <c r="I50" s="176">
        <f t="shared" si="19"/>
        <v>17040013.565390829</v>
      </c>
      <c r="J50" s="176">
        <f t="shared" si="19"/>
        <v>17210413.701044738</v>
      </c>
      <c r="K50" s="176">
        <f t="shared" si="19"/>
        <v>17382517.838055186</v>
      </c>
      <c r="L50" s="176">
        <f t="shared" si="19"/>
        <v>17556343.016435739</v>
      </c>
      <c r="M50" s="176">
        <f t="shared" si="19"/>
        <v>17731906.446600094</v>
      </c>
      <c r="N50" s="176">
        <f t="shared" si="19"/>
        <v>17909225.511066094</v>
      </c>
      <c r="O50" s="176">
        <f t="shared" si="19"/>
        <v>18088317.766176756</v>
      </c>
      <c r="P50" s="176">
        <f t="shared" si="19"/>
        <v>18269200.943838526</v>
      </c>
      <c r="Q50" s="176">
        <f t="shared" si="19"/>
        <v>18451892.95327691</v>
      </c>
      <c r="R50" s="176">
        <f t="shared" si="19"/>
        <v>18636411.88280968</v>
      </c>
      <c r="S50" s="176">
        <f t="shared" si="19"/>
        <v>18599139.059044059</v>
      </c>
      <c r="T50" s="176">
        <f t="shared" si="19"/>
        <v>18561940.780925971</v>
      </c>
      <c r="U50" s="176">
        <f t="shared" si="19"/>
        <v>18524816.899364118</v>
      </c>
      <c r="V50" s="176">
        <f t="shared" si="19"/>
        <v>18487767.265565388</v>
      </c>
      <c r="W50" s="176">
        <f t="shared" si="19"/>
        <v>18450791.73103426</v>
      </c>
      <c r="X50" s="176">
        <f t="shared" si="19"/>
        <v>18413890.147572193</v>
      </c>
      <c r="Y50" s="176">
        <f t="shared" si="19"/>
        <v>18377062.367277049</v>
      </c>
      <c r="Z50" s="176">
        <f t="shared" si="19"/>
        <v>18340308.24254249</v>
      </c>
      <c r="AA50" s="176">
        <f t="shared" si="19"/>
        <v>18303627.626057405</v>
      </c>
      <c r="AB50" s="176">
        <f t="shared" si="19"/>
        <v>18267020.370805293</v>
      </c>
      <c r="AC50" s="176">
        <f t="shared" si="19"/>
        <v>18230486.330063682</v>
      </c>
      <c r="AD50" s="176">
        <f t="shared" si="19"/>
        <v>18194025.35740355</v>
      </c>
      <c r="AE50" s="176">
        <f t="shared" si="19"/>
        <v>18157637.306688741</v>
      </c>
      <c r="AF50" s="176">
        <f t="shared" si="19"/>
        <v>18121322.032075368</v>
      </c>
      <c r="AG50" s="176">
        <f t="shared" si="19"/>
        <v>18085079.388011217</v>
      </c>
      <c r="AH50" s="176">
        <f t="shared" si="19"/>
        <v>18048909.229235195</v>
      </c>
      <c r="AI50" s="176">
        <f t="shared" si="19"/>
        <v>18012811.410776723</v>
      </c>
      <c r="AJ50" s="176">
        <f t="shared" si="19"/>
        <v>17976785.787955169</v>
      </c>
      <c r="AK50" s="176">
        <f t="shared" si="19"/>
        <v>17940832.216379259</v>
      </c>
      <c r="AL50" s="176">
        <f t="shared" si="19"/>
        <v>17904950.551946498</v>
      </c>
      <c r="AM50" s="176">
        <f t="shared" si="19"/>
        <v>17869140.650842611</v>
      </c>
      <c r="AN50" s="176">
        <f t="shared" si="19"/>
        <v>17833402.369540922</v>
      </c>
      <c r="AO50" s="176">
        <f t="shared" si="19"/>
        <v>17797735.564801846</v>
      </c>
      <c r="AP50" s="176">
        <f t="shared" si="19"/>
        <v>17762140.093672238</v>
      </c>
    </row>
    <row r="51" spans="2:42" x14ac:dyDescent="0.2">
      <c r="B51" s="3" t="s">
        <v>58</v>
      </c>
      <c r="C51" s="116">
        <f t="shared" si="18"/>
        <v>235921000</v>
      </c>
      <c r="D51" s="116">
        <f>D5</f>
        <v>0</v>
      </c>
      <c r="E51" s="116">
        <f t="shared" ref="E51:I51" si="20">E5</f>
        <v>0</v>
      </c>
      <c r="F51" s="116">
        <f t="shared" si="20"/>
        <v>0</v>
      </c>
      <c r="G51" s="116">
        <f t="shared" si="20"/>
        <v>134812000</v>
      </c>
      <c r="H51" s="116">
        <f t="shared" si="20"/>
        <v>101109000</v>
      </c>
      <c r="I51" s="116">
        <f t="shared" si="20"/>
        <v>0</v>
      </c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</row>
    <row r="52" spans="2:42" x14ac:dyDescent="0.2">
      <c r="B52" s="115" t="s">
        <v>192</v>
      </c>
      <c r="C52" s="175">
        <f t="shared" si="18"/>
        <v>1153303116.0883999</v>
      </c>
      <c r="D52" s="175">
        <f>'03 Prev. výdavky EMU550'!D21</f>
        <v>31746055.746000003</v>
      </c>
      <c r="E52" s="175">
        <f>'03 Prev. výdavky EMU550'!E21</f>
        <v>31746055.746000003</v>
      </c>
      <c r="F52" s="175">
        <f>'03 Prev. výdavky EMU550'!F21</f>
        <v>31746055.746000003</v>
      </c>
      <c r="G52" s="175">
        <f>'03 Prev. výdavky EMU550'!G21</f>
        <v>31746055.746000003</v>
      </c>
      <c r="H52" s="175">
        <f>'03 Prev. výdavky EMU550'!H21</f>
        <v>32241018.247600004</v>
      </c>
      <c r="I52" s="175">
        <f>'03 Prev. výdavky EMU550'!I21</f>
        <v>32612240.123799998</v>
      </c>
      <c r="J52" s="175">
        <f>'03 Prev. výdavky EMU550'!J21</f>
        <v>32612240.123799998</v>
      </c>
      <c r="K52" s="175">
        <f>'03 Prev. výdavky EMU550'!K21</f>
        <v>32612240.123799998</v>
      </c>
      <c r="L52" s="175">
        <f>'03 Prev. výdavky EMU550'!L21</f>
        <v>32612240.123799998</v>
      </c>
      <c r="M52" s="175">
        <f>'03 Prev. výdavky EMU550'!M21</f>
        <v>32612240.123799998</v>
      </c>
      <c r="N52" s="175">
        <f>'03 Prev. výdavky EMU550'!N21</f>
        <v>32612240.123799998</v>
      </c>
      <c r="O52" s="175">
        <f>'03 Prev. výdavky EMU550'!O21</f>
        <v>32612240.123799998</v>
      </c>
      <c r="P52" s="175">
        <f>'03 Prev. výdavky EMU550'!P21</f>
        <v>32612240.123799998</v>
      </c>
      <c r="Q52" s="175">
        <f>'03 Prev. výdavky EMU550'!Q21</f>
        <v>32553674.647599999</v>
      </c>
      <c r="R52" s="175">
        <f>'03 Prev. výdavky EMU550'!R21</f>
        <v>32553674.647599999</v>
      </c>
      <c r="S52" s="175">
        <f>'03 Prev. výdavky EMU550'!S21</f>
        <v>24887346.023800001</v>
      </c>
      <c r="T52" s="175">
        <f>'03 Prev. výdavky EMU550'!T21</f>
        <v>24887346.023800001</v>
      </c>
      <c r="U52" s="175">
        <f>'03 Prev. výdavky EMU550'!U21</f>
        <v>24887346.023800001</v>
      </c>
      <c r="V52" s="175">
        <f>'03 Prev. výdavky EMU550'!V21</f>
        <v>24887346.023800001</v>
      </c>
      <c r="W52" s="175">
        <f>'03 Prev. výdavky EMU550'!W21</f>
        <v>24887346.023800001</v>
      </c>
      <c r="X52" s="175">
        <f>'03 Prev. výdavky EMU550'!X21</f>
        <v>24887346.023800001</v>
      </c>
      <c r="Y52" s="175">
        <f>'03 Prev. výdavky EMU550'!Y21</f>
        <v>24887346.023800001</v>
      </c>
      <c r="Z52" s="175">
        <f>'03 Prev. výdavky EMU550'!Z21</f>
        <v>24887346.023800001</v>
      </c>
      <c r="AA52" s="175">
        <f>'03 Prev. výdavky EMU550'!AA21</f>
        <v>24887346.023800001</v>
      </c>
      <c r="AB52" s="175">
        <f>'03 Prev. výdavky EMU550'!AB21</f>
        <v>24887346.023800001</v>
      </c>
      <c r="AC52" s="175">
        <f>'03 Prev. výdavky EMU550'!AC21</f>
        <v>48479446.023800001</v>
      </c>
      <c r="AD52" s="175">
        <f>'03 Prev. výdavky EMU550'!AD21</f>
        <v>24887346.023800001</v>
      </c>
      <c r="AE52" s="175">
        <f>'03 Prev. výdavky EMU550'!AE21</f>
        <v>24887346.023800001</v>
      </c>
      <c r="AF52" s="175">
        <f>'03 Prev. výdavky EMU550'!AF21</f>
        <v>24887346.023800001</v>
      </c>
      <c r="AG52" s="175">
        <f>'03 Prev. výdavky EMU550'!AG21</f>
        <v>24887346.023800001</v>
      </c>
      <c r="AH52" s="175">
        <f>'03 Prev. výdavky EMU550'!AH21</f>
        <v>24887346.023800001</v>
      </c>
      <c r="AI52" s="175">
        <f>'03 Prev. výdavky EMU550'!AI21</f>
        <v>24887346.023800001</v>
      </c>
      <c r="AJ52" s="175">
        <f>'03 Prev. výdavky EMU550'!AJ21</f>
        <v>24887346.023800001</v>
      </c>
      <c r="AK52" s="175">
        <f>'03 Prev. výdavky EMU550'!AK21</f>
        <v>24887346.023800001</v>
      </c>
      <c r="AL52" s="175">
        <f>'03 Prev. výdavky EMU550'!AL21</f>
        <v>24887346.023800001</v>
      </c>
      <c r="AM52" s="175">
        <f>'03 Prev. výdavky EMU550'!AM21</f>
        <v>72071546.023800001</v>
      </c>
      <c r="AN52" s="175">
        <f>'03 Prev. výdavky EMU550'!AN21</f>
        <v>24887346.023800001</v>
      </c>
      <c r="AO52" s="175">
        <f>'03 Prev. výdavky EMU550'!AO21</f>
        <v>24887346.023800001</v>
      </c>
      <c r="AP52" s="175">
        <f>'03 Prev. výdavky EMU550'!AP21</f>
        <v>24887346.023800001</v>
      </c>
    </row>
    <row r="53" spans="2:42" x14ac:dyDescent="0.2">
      <c r="B53" s="3" t="s">
        <v>182</v>
      </c>
      <c r="C53" s="116">
        <f t="shared" si="18"/>
        <v>0</v>
      </c>
      <c r="D53" s="116">
        <f>D20</f>
        <v>0</v>
      </c>
      <c r="E53" s="116">
        <f t="shared" ref="E53:AP53" si="21">E20</f>
        <v>0</v>
      </c>
      <c r="F53" s="116">
        <f t="shared" si="21"/>
        <v>0</v>
      </c>
      <c r="G53" s="116">
        <f t="shared" si="21"/>
        <v>0</v>
      </c>
      <c r="H53" s="116">
        <f t="shared" si="21"/>
        <v>0</v>
      </c>
      <c r="I53" s="116">
        <f t="shared" si="21"/>
        <v>0</v>
      </c>
      <c r="J53" s="116">
        <f t="shared" si="21"/>
        <v>0</v>
      </c>
      <c r="K53" s="116">
        <f t="shared" si="21"/>
        <v>0</v>
      </c>
      <c r="L53" s="116">
        <f t="shared" si="21"/>
        <v>0</v>
      </c>
      <c r="M53" s="116">
        <f t="shared" si="21"/>
        <v>0</v>
      </c>
      <c r="N53" s="116">
        <f t="shared" si="21"/>
        <v>0</v>
      </c>
      <c r="O53" s="116">
        <f t="shared" si="21"/>
        <v>0</v>
      </c>
      <c r="P53" s="116">
        <f t="shared" si="21"/>
        <v>0</v>
      </c>
      <c r="Q53" s="116">
        <f t="shared" si="21"/>
        <v>0</v>
      </c>
      <c r="R53" s="116">
        <f t="shared" si="21"/>
        <v>0</v>
      </c>
      <c r="S53" s="116">
        <f t="shared" si="21"/>
        <v>0</v>
      </c>
      <c r="T53" s="116">
        <f t="shared" si="21"/>
        <v>0</v>
      </c>
      <c r="U53" s="116">
        <f t="shared" si="21"/>
        <v>0</v>
      </c>
      <c r="V53" s="116">
        <f t="shared" si="21"/>
        <v>0</v>
      </c>
      <c r="W53" s="116">
        <f t="shared" si="21"/>
        <v>0</v>
      </c>
      <c r="X53" s="116">
        <f t="shared" si="21"/>
        <v>0</v>
      </c>
      <c r="Y53" s="116">
        <f t="shared" si="21"/>
        <v>0</v>
      </c>
      <c r="Z53" s="116">
        <f t="shared" si="21"/>
        <v>0</v>
      </c>
      <c r="AA53" s="116">
        <f t="shared" si="21"/>
        <v>0</v>
      </c>
      <c r="AB53" s="116">
        <f t="shared" si="21"/>
        <v>0</v>
      </c>
      <c r="AC53" s="116">
        <f t="shared" si="21"/>
        <v>0</v>
      </c>
      <c r="AD53" s="116">
        <f t="shared" si="21"/>
        <v>0</v>
      </c>
      <c r="AE53" s="116">
        <f t="shared" si="21"/>
        <v>0</v>
      </c>
      <c r="AF53" s="116">
        <f t="shared" si="21"/>
        <v>0</v>
      </c>
      <c r="AG53" s="116">
        <f t="shared" si="21"/>
        <v>0</v>
      </c>
      <c r="AH53" s="116">
        <f t="shared" si="21"/>
        <v>0</v>
      </c>
      <c r="AI53" s="116">
        <f t="shared" si="21"/>
        <v>0</v>
      </c>
      <c r="AJ53" s="116">
        <f t="shared" si="21"/>
        <v>0</v>
      </c>
      <c r="AK53" s="116">
        <f t="shared" si="21"/>
        <v>0</v>
      </c>
      <c r="AL53" s="116">
        <f t="shared" si="21"/>
        <v>0</v>
      </c>
      <c r="AM53" s="116">
        <f t="shared" si="21"/>
        <v>0</v>
      </c>
      <c r="AN53" s="116">
        <f t="shared" si="21"/>
        <v>0</v>
      </c>
      <c r="AO53" s="116">
        <f t="shared" si="21"/>
        <v>0</v>
      </c>
      <c r="AP53" s="116">
        <f t="shared" si="21"/>
        <v>0</v>
      </c>
    </row>
    <row r="54" spans="2:42" x14ac:dyDescent="0.2">
      <c r="B54" s="4" t="s">
        <v>26</v>
      </c>
      <c r="C54" s="176">
        <f t="shared" si="18"/>
        <v>1389224116.0883992</v>
      </c>
      <c r="D54" s="176">
        <f>SUM(D51:D53)</f>
        <v>31746055.746000003</v>
      </c>
      <c r="E54" s="176">
        <f t="shared" ref="E54:AP54" si="22">SUM(E51:E53)</f>
        <v>31746055.746000003</v>
      </c>
      <c r="F54" s="176">
        <f t="shared" si="22"/>
        <v>31746055.746000003</v>
      </c>
      <c r="G54" s="176">
        <f t="shared" si="22"/>
        <v>166558055.74599999</v>
      </c>
      <c r="H54" s="176">
        <f t="shared" si="22"/>
        <v>133350018.2476</v>
      </c>
      <c r="I54" s="176">
        <f t="shared" si="22"/>
        <v>32612240.123799998</v>
      </c>
      <c r="J54" s="176">
        <f t="shared" si="22"/>
        <v>32612240.123799998</v>
      </c>
      <c r="K54" s="176">
        <f t="shared" si="22"/>
        <v>32612240.123799998</v>
      </c>
      <c r="L54" s="176">
        <f t="shared" si="22"/>
        <v>32612240.123799998</v>
      </c>
      <c r="M54" s="176">
        <f t="shared" si="22"/>
        <v>32612240.123799998</v>
      </c>
      <c r="N54" s="176">
        <f t="shared" si="22"/>
        <v>32612240.123799998</v>
      </c>
      <c r="O54" s="176">
        <f t="shared" si="22"/>
        <v>32612240.123799998</v>
      </c>
      <c r="P54" s="176">
        <f t="shared" si="22"/>
        <v>32612240.123799998</v>
      </c>
      <c r="Q54" s="176">
        <f t="shared" si="22"/>
        <v>32553674.647599999</v>
      </c>
      <c r="R54" s="176">
        <f t="shared" si="22"/>
        <v>32553674.647599999</v>
      </c>
      <c r="S54" s="176">
        <f t="shared" si="22"/>
        <v>24887346.023800001</v>
      </c>
      <c r="T54" s="176">
        <f t="shared" si="22"/>
        <v>24887346.023800001</v>
      </c>
      <c r="U54" s="176">
        <f t="shared" si="22"/>
        <v>24887346.023800001</v>
      </c>
      <c r="V54" s="176">
        <f t="shared" si="22"/>
        <v>24887346.023800001</v>
      </c>
      <c r="W54" s="176">
        <f t="shared" si="22"/>
        <v>24887346.023800001</v>
      </c>
      <c r="X54" s="176">
        <f t="shared" si="22"/>
        <v>24887346.023800001</v>
      </c>
      <c r="Y54" s="176">
        <f t="shared" si="22"/>
        <v>24887346.023800001</v>
      </c>
      <c r="Z54" s="176">
        <f t="shared" si="22"/>
        <v>24887346.023800001</v>
      </c>
      <c r="AA54" s="176">
        <f t="shared" si="22"/>
        <v>24887346.023800001</v>
      </c>
      <c r="AB54" s="176">
        <f t="shared" si="22"/>
        <v>24887346.023800001</v>
      </c>
      <c r="AC54" s="176">
        <f t="shared" si="22"/>
        <v>48479446.023800001</v>
      </c>
      <c r="AD54" s="176">
        <f t="shared" si="22"/>
        <v>24887346.023800001</v>
      </c>
      <c r="AE54" s="176">
        <f t="shared" si="22"/>
        <v>24887346.023800001</v>
      </c>
      <c r="AF54" s="176">
        <f t="shared" si="22"/>
        <v>24887346.023800001</v>
      </c>
      <c r="AG54" s="176">
        <f t="shared" si="22"/>
        <v>24887346.023800001</v>
      </c>
      <c r="AH54" s="176">
        <f t="shared" si="22"/>
        <v>24887346.023800001</v>
      </c>
      <c r="AI54" s="176">
        <f t="shared" si="22"/>
        <v>24887346.023800001</v>
      </c>
      <c r="AJ54" s="176">
        <f t="shared" si="22"/>
        <v>24887346.023800001</v>
      </c>
      <c r="AK54" s="176">
        <f t="shared" si="22"/>
        <v>24887346.023800001</v>
      </c>
      <c r="AL54" s="176">
        <f t="shared" si="22"/>
        <v>24887346.023800001</v>
      </c>
      <c r="AM54" s="176">
        <f t="shared" si="22"/>
        <v>72071546.023800001</v>
      </c>
      <c r="AN54" s="176">
        <f t="shared" si="22"/>
        <v>24887346.023800001</v>
      </c>
      <c r="AO54" s="176">
        <f t="shared" si="22"/>
        <v>24887346.023800001</v>
      </c>
      <c r="AP54" s="176">
        <f t="shared" si="22"/>
        <v>24887346.023800001</v>
      </c>
    </row>
    <row r="55" spans="2:42" x14ac:dyDescent="0.2">
      <c r="B55" s="114" t="s">
        <v>47</v>
      </c>
      <c r="C55" s="177">
        <f t="shared" si="18"/>
        <v>-456062715.52733237</v>
      </c>
      <c r="D55" s="177">
        <f>D50-D54</f>
        <v>-15533067.522177091</v>
      </c>
      <c r="E55" s="177">
        <f t="shared" ref="E55:AP55" si="23">E50-E54</f>
        <v>-15370937.639938861</v>
      </c>
      <c r="F55" s="177">
        <f t="shared" si="23"/>
        <v>-15207186.458878251</v>
      </c>
      <c r="G55" s="177">
        <f t="shared" si="23"/>
        <v>-15041797.766007006</v>
      </c>
      <c r="H55" s="177">
        <f t="shared" si="23"/>
        <v>-15369717.687807098</v>
      </c>
      <c r="I55" s="177">
        <f t="shared" si="23"/>
        <v>-15572226.558409169</v>
      </c>
      <c r="J55" s="177">
        <f t="shared" si="23"/>
        <v>-15401826.42275526</v>
      </c>
      <c r="K55" s="177">
        <f t="shared" si="23"/>
        <v>-15229722.285744812</v>
      </c>
      <c r="L55" s="177">
        <f t="shared" si="23"/>
        <v>-15055897.10736426</v>
      </c>
      <c r="M55" s="177">
        <f t="shared" si="23"/>
        <v>-14880333.677199904</v>
      </c>
      <c r="N55" s="177">
        <f t="shared" si="23"/>
        <v>-14703014.612733904</v>
      </c>
      <c r="O55" s="177">
        <f t="shared" si="23"/>
        <v>-14523922.357623242</v>
      </c>
      <c r="P55" s="177">
        <f t="shared" si="23"/>
        <v>-14343039.179961473</v>
      </c>
      <c r="Q55" s="177">
        <f t="shared" si="23"/>
        <v>-14101781.694323089</v>
      </c>
      <c r="R55" s="177">
        <f t="shared" si="23"/>
        <v>-13917262.764790319</v>
      </c>
      <c r="S55" s="177">
        <f t="shared" si="23"/>
        <v>-6288206.9647559412</v>
      </c>
      <c r="T55" s="177">
        <f t="shared" si="23"/>
        <v>-6325405.24287403</v>
      </c>
      <c r="U55" s="177">
        <f t="shared" si="23"/>
        <v>-6362529.124435883</v>
      </c>
      <c r="V55" s="177">
        <f t="shared" si="23"/>
        <v>-6399578.7582346126</v>
      </c>
      <c r="W55" s="177">
        <f t="shared" si="23"/>
        <v>-6436554.2927657403</v>
      </c>
      <c r="X55" s="177">
        <f t="shared" si="23"/>
        <v>-6473455.8762278073</v>
      </c>
      <c r="Y55" s="177">
        <f t="shared" si="23"/>
        <v>-6510283.656522952</v>
      </c>
      <c r="Z55" s="177">
        <f t="shared" si="23"/>
        <v>-6547037.7812575102</v>
      </c>
      <c r="AA55" s="177">
        <f t="shared" si="23"/>
        <v>-6583718.3977425955</v>
      </c>
      <c r="AB55" s="177">
        <f t="shared" si="23"/>
        <v>-6620325.6529947072</v>
      </c>
      <c r="AC55" s="177">
        <f t="shared" si="23"/>
        <v>-30248959.693736318</v>
      </c>
      <c r="AD55" s="177">
        <f t="shared" si="23"/>
        <v>-6693320.6663964503</v>
      </c>
      <c r="AE55" s="177">
        <f t="shared" si="23"/>
        <v>-6729708.7171112597</v>
      </c>
      <c r="AF55" s="177">
        <f t="shared" si="23"/>
        <v>-6766023.9917246327</v>
      </c>
      <c r="AG55" s="177">
        <f t="shared" si="23"/>
        <v>-6802266.6357887834</v>
      </c>
      <c r="AH55" s="177">
        <f t="shared" si="23"/>
        <v>-6838436.7945648059</v>
      </c>
      <c r="AI55" s="177">
        <f t="shared" si="23"/>
        <v>-6874534.6130232774</v>
      </c>
      <c r="AJ55" s="177">
        <f t="shared" si="23"/>
        <v>-6910560.2358448319</v>
      </c>
      <c r="AK55" s="177">
        <f t="shared" si="23"/>
        <v>-6946513.8074207418</v>
      </c>
      <c r="AL55" s="177">
        <f t="shared" si="23"/>
        <v>-6982395.4718535021</v>
      </c>
      <c r="AM55" s="177">
        <f t="shared" si="23"/>
        <v>-54202405.372957394</v>
      </c>
      <c r="AN55" s="177">
        <f t="shared" si="23"/>
        <v>-7053943.6542590782</v>
      </c>
      <c r="AO55" s="177">
        <f t="shared" si="23"/>
        <v>-7089610.4589981548</v>
      </c>
      <c r="AP55" s="177">
        <f t="shared" si="23"/>
        <v>-7125205.9301277623</v>
      </c>
    </row>
    <row r="56" spans="2:42" x14ac:dyDescent="0.2">
      <c r="B56" s="3" t="s">
        <v>27</v>
      </c>
      <c r="C56" s="176"/>
      <c r="D56" s="116">
        <f>D55</f>
        <v>-15533067.522177091</v>
      </c>
      <c r="E56" s="116">
        <f>D56+E55</f>
        <v>-30904005.162115954</v>
      </c>
      <c r="F56" s="116">
        <f t="shared" ref="F56:AP56" si="24">E56+F55</f>
        <v>-46111191.620994203</v>
      </c>
      <c r="G56" s="116">
        <f t="shared" si="24"/>
        <v>-61152989.387001209</v>
      </c>
      <c r="H56" s="116">
        <f t="shared" si="24"/>
        <v>-76522707.0748083</v>
      </c>
      <c r="I56" s="116">
        <f t="shared" si="24"/>
        <v>-92094933.633217469</v>
      </c>
      <c r="J56" s="116">
        <f t="shared" si="24"/>
        <v>-107496760.05597273</v>
      </c>
      <c r="K56" s="116">
        <f t="shared" si="24"/>
        <v>-122726482.34171754</v>
      </c>
      <c r="L56" s="116">
        <f t="shared" si="24"/>
        <v>-137782379.44908181</v>
      </c>
      <c r="M56" s="116">
        <f t="shared" si="24"/>
        <v>-152662713.12628171</v>
      </c>
      <c r="N56" s="116">
        <f t="shared" si="24"/>
        <v>-167365727.73901561</v>
      </c>
      <c r="O56" s="116">
        <f t="shared" si="24"/>
        <v>-181889650.09663886</v>
      </c>
      <c r="P56" s="116">
        <f t="shared" si="24"/>
        <v>-196232689.27660033</v>
      </c>
      <c r="Q56" s="116">
        <f t="shared" si="24"/>
        <v>-210334470.97092342</v>
      </c>
      <c r="R56" s="116">
        <f t="shared" si="24"/>
        <v>-224251733.73571375</v>
      </c>
      <c r="S56" s="116">
        <f t="shared" si="24"/>
        <v>-230539940.7004697</v>
      </c>
      <c r="T56" s="116">
        <f t="shared" si="24"/>
        <v>-236865345.94334373</v>
      </c>
      <c r="U56" s="116">
        <f t="shared" si="24"/>
        <v>-243227875.0677796</v>
      </c>
      <c r="V56" s="116">
        <f t="shared" si="24"/>
        <v>-249627453.82601422</v>
      </c>
      <c r="W56" s="116">
        <f t="shared" si="24"/>
        <v>-256064008.11877996</v>
      </c>
      <c r="X56" s="116">
        <f t="shared" si="24"/>
        <v>-262537463.99500775</v>
      </c>
      <c r="Y56" s="116">
        <f t="shared" si="24"/>
        <v>-269047747.65153068</v>
      </c>
      <c r="Z56" s="116">
        <f t="shared" si="24"/>
        <v>-275594785.43278819</v>
      </c>
      <c r="AA56" s="116">
        <f t="shared" si="24"/>
        <v>-282178503.83053076</v>
      </c>
      <c r="AB56" s="116">
        <f t="shared" si="24"/>
        <v>-288798829.48352545</v>
      </c>
      <c r="AC56" s="116">
        <f t="shared" si="24"/>
        <v>-319047789.17726177</v>
      </c>
      <c r="AD56" s="116">
        <f t="shared" si="24"/>
        <v>-325741109.84365821</v>
      </c>
      <c r="AE56" s="116">
        <f t="shared" si="24"/>
        <v>-332470818.56076944</v>
      </c>
      <c r="AF56" s="116">
        <f t="shared" si="24"/>
        <v>-339236842.55249405</v>
      </c>
      <c r="AG56" s="116">
        <f t="shared" si="24"/>
        <v>-346039109.18828285</v>
      </c>
      <c r="AH56" s="116">
        <f t="shared" si="24"/>
        <v>-352877545.98284763</v>
      </c>
      <c r="AI56" s="116">
        <f t="shared" si="24"/>
        <v>-359752080.59587091</v>
      </c>
      <c r="AJ56" s="116">
        <f t="shared" si="24"/>
        <v>-366662640.83171576</v>
      </c>
      <c r="AK56" s="116">
        <f t="shared" si="24"/>
        <v>-373609154.63913649</v>
      </c>
      <c r="AL56" s="116">
        <f t="shared" si="24"/>
        <v>-380591550.11098999</v>
      </c>
      <c r="AM56" s="116">
        <f t="shared" si="24"/>
        <v>-434793955.4839474</v>
      </c>
      <c r="AN56" s="116">
        <f t="shared" si="24"/>
        <v>-441847899.13820648</v>
      </c>
      <c r="AO56" s="116">
        <f t="shared" si="24"/>
        <v>-448937509.59720463</v>
      </c>
      <c r="AP56" s="116">
        <f t="shared" si="24"/>
        <v>-456062715.52733237</v>
      </c>
    </row>
    <row r="57" spans="2:42" x14ac:dyDescent="0.2">
      <c r="B57" s="3" t="s">
        <v>190</v>
      </c>
      <c r="C57" s="176">
        <f>SUM(D57:AP57)</f>
        <v>0</v>
      </c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</row>
    <row r="58" spans="2:42" x14ac:dyDescent="0.2">
      <c r="B58" s="28" t="s">
        <v>191</v>
      </c>
      <c r="C58" s="178"/>
      <c r="D58" s="178">
        <f>D55+D57</f>
        <v>-15533067.522177091</v>
      </c>
      <c r="E58" s="178">
        <f>D58+E55+E57</f>
        <v>-30904005.162115954</v>
      </c>
      <c r="F58" s="178">
        <f t="shared" ref="F58:AP58" si="25">E58+F55+F57</f>
        <v>-46111191.620994203</v>
      </c>
      <c r="G58" s="178">
        <f t="shared" si="25"/>
        <v>-61152989.387001209</v>
      </c>
      <c r="H58" s="178">
        <f t="shared" si="25"/>
        <v>-76522707.0748083</v>
      </c>
      <c r="I58" s="178">
        <f t="shared" si="25"/>
        <v>-92094933.633217469</v>
      </c>
      <c r="J58" s="178">
        <f t="shared" si="25"/>
        <v>-107496760.05597273</v>
      </c>
      <c r="K58" s="178">
        <f t="shared" si="25"/>
        <v>-122726482.34171754</v>
      </c>
      <c r="L58" s="178">
        <f t="shared" si="25"/>
        <v>-137782379.44908181</v>
      </c>
      <c r="M58" s="178">
        <f t="shared" si="25"/>
        <v>-152662713.12628171</v>
      </c>
      <c r="N58" s="178">
        <f t="shared" si="25"/>
        <v>-167365727.73901561</v>
      </c>
      <c r="O58" s="178">
        <f t="shared" si="25"/>
        <v>-181889650.09663886</v>
      </c>
      <c r="P58" s="178">
        <f t="shared" si="25"/>
        <v>-196232689.27660033</v>
      </c>
      <c r="Q58" s="178">
        <f t="shared" si="25"/>
        <v>-210334470.97092342</v>
      </c>
      <c r="R58" s="178">
        <f t="shared" si="25"/>
        <v>-224251733.73571375</v>
      </c>
      <c r="S58" s="178">
        <f t="shared" si="25"/>
        <v>-230539940.7004697</v>
      </c>
      <c r="T58" s="178">
        <f t="shared" si="25"/>
        <v>-236865345.94334373</v>
      </c>
      <c r="U58" s="178">
        <f t="shared" si="25"/>
        <v>-243227875.0677796</v>
      </c>
      <c r="V58" s="178">
        <f t="shared" si="25"/>
        <v>-249627453.82601422</v>
      </c>
      <c r="W58" s="178">
        <f t="shared" si="25"/>
        <v>-256064008.11877996</v>
      </c>
      <c r="X58" s="178">
        <f t="shared" si="25"/>
        <v>-262537463.99500775</v>
      </c>
      <c r="Y58" s="178">
        <f t="shared" si="25"/>
        <v>-269047747.65153068</v>
      </c>
      <c r="Z58" s="178">
        <f t="shared" si="25"/>
        <v>-275594785.43278819</v>
      </c>
      <c r="AA58" s="178">
        <f t="shared" si="25"/>
        <v>-282178503.83053076</v>
      </c>
      <c r="AB58" s="178">
        <f t="shared" si="25"/>
        <v>-288798829.48352545</v>
      </c>
      <c r="AC58" s="178">
        <f t="shared" si="25"/>
        <v>-319047789.17726177</v>
      </c>
      <c r="AD58" s="178">
        <f t="shared" si="25"/>
        <v>-325741109.84365821</v>
      </c>
      <c r="AE58" s="178">
        <f t="shared" si="25"/>
        <v>-332470818.56076944</v>
      </c>
      <c r="AF58" s="178">
        <f t="shared" si="25"/>
        <v>-339236842.55249405</v>
      </c>
      <c r="AG58" s="178">
        <f t="shared" si="25"/>
        <v>-346039109.18828285</v>
      </c>
      <c r="AH58" s="178">
        <f t="shared" si="25"/>
        <v>-352877545.98284763</v>
      </c>
      <c r="AI58" s="178">
        <f t="shared" si="25"/>
        <v>-359752080.59587091</v>
      </c>
      <c r="AJ58" s="178">
        <f t="shared" si="25"/>
        <v>-366662640.83171576</v>
      </c>
      <c r="AK58" s="178">
        <f t="shared" si="25"/>
        <v>-373609154.63913649</v>
      </c>
      <c r="AL58" s="178">
        <f t="shared" si="25"/>
        <v>-380591550.11098999</v>
      </c>
      <c r="AM58" s="178">
        <f t="shared" si="25"/>
        <v>-434793955.4839474</v>
      </c>
      <c r="AN58" s="178">
        <f t="shared" si="25"/>
        <v>-441847899.13820648</v>
      </c>
      <c r="AO58" s="178">
        <f t="shared" si="25"/>
        <v>-448937509.59720463</v>
      </c>
      <c r="AP58" s="178">
        <f t="shared" si="25"/>
        <v>-456062715.52733237</v>
      </c>
    </row>
    <row r="60" spans="2:42" x14ac:dyDescent="0.2">
      <c r="B60" s="1" t="s">
        <v>223</v>
      </c>
    </row>
  </sheetData>
  <conditionalFormatting sqref="D40:AP40">
    <cfRule type="cellIs" dxfId="3" priority="4" stopIfTrue="1" operator="lessThan">
      <formula>0</formula>
    </cfRule>
  </conditionalFormatting>
  <conditionalFormatting sqref="D42:AP42">
    <cfRule type="cellIs" dxfId="2" priority="3" stopIfTrue="1" operator="lessThan">
      <formula>0</formula>
    </cfRule>
  </conditionalFormatting>
  <conditionalFormatting sqref="D56:AP56">
    <cfRule type="cellIs" dxfId="1" priority="2" stopIfTrue="1" operator="lessThan">
      <formula>0</formula>
    </cfRule>
  </conditionalFormatting>
  <conditionalFormatting sqref="D58:AP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BB9F-ECAF-4B3B-A53D-E38A9C15B6DF}">
  <sheetPr>
    <tabColor rgb="FF92D050"/>
  </sheetPr>
  <dimension ref="B2:AQ50"/>
  <sheetViews>
    <sheetView zoomScale="90" zoomScaleNormal="90" workbookViewId="0"/>
  </sheetViews>
  <sheetFormatPr defaultColWidth="9.140625" defaultRowHeight="11.25" x14ac:dyDescent="0.2"/>
  <cols>
    <col min="1" max="1" width="2.85546875" style="2" customWidth="1"/>
    <col min="2" max="2" width="52.140625" style="2" customWidth="1"/>
    <col min="3" max="3" width="11.140625" style="2" bestFit="1" customWidth="1"/>
    <col min="4" max="14" width="9.140625" style="2" bestFit="1" customWidth="1"/>
    <col min="15" max="43" width="10.42578125" style="2" bestFit="1" customWidth="1"/>
    <col min="44" max="16384" width="9.140625" style="2"/>
  </cols>
  <sheetData>
    <row r="2" spans="2:4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43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  <c r="AH3" s="5">
        <v>31</v>
      </c>
      <c r="AI3" s="5">
        <v>32</v>
      </c>
      <c r="AJ3" s="5">
        <v>33</v>
      </c>
      <c r="AK3" s="5">
        <v>34</v>
      </c>
      <c r="AL3" s="5">
        <v>35</v>
      </c>
      <c r="AM3" s="5">
        <v>36</v>
      </c>
      <c r="AN3" s="5">
        <v>37</v>
      </c>
      <c r="AO3" s="5">
        <v>38</v>
      </c>
      <c r="AP3" s="5">
        <v>39</v>
      </c>
      <c r="AQ3" s="5">
        <v>40</v>
      </c>
    </row>
    <row r="4" spans="2:43" x14ac:dyDescent="0.2">
      <c r="B4" s="6" t="s">
        <v>667</v>
      </c>
      <c r="C4" s="229" t="s">
        <v>9</v>
      </c>
      <c r="D4" s="7">
        <f>'Parametre EMU550'!C13</f>
        <v>2026</v>
      </c>
      <c r="E4" s="7">
        <f>$D$4+D3</f>
        <v>2027</v>
      </c>
      <c r="F4" s="7">
        <f>$D$4+E3</f>
        <v>2028</v>
      </c>
      <c r="G4" s="7">
        <f t="shared" ref="G4:AQ4" si="0">$D$4+F3</f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 t="shared" si="0"/>
        <v>2044</v>
      </c>
      <c r="W4" s="7">
        <f t="shared" si="0"/>
        <v>2045</v>
      </c>
      <c r="X4" s="7">
        <f t="shared" si="0"/>
        <v>2046</v>
      </c>
      <c r="Y4" s="7">
        <f t="shared" si="0"/>
        <v>2047</v>
      </c>
      <c r="Z4" s="7">
        <f t="shared" si="0"/>
        <v>2048</v>
      </c>
      <c r="AA4" s="7">
        <f t="shared" si="0"/>
        <v>2049</v>
      </c>
      <c r="AB4" s="7">
        <f t="shared" si="0"/>
        <v>2050</v>
      </c>
      <c r="AC4" s="7">
        <f t="shared" si="0"/>
        <v>2051</v>
      </c>
      <c r="AD4" s="7">
        <f t="shared" si="0"/>
        <v>2052</v>
      </c>
      <c r="AE4" s="7">
        <f t="shared" si="0"/>
        <v>2053</v>
      </c>
      <c r="AF4" s="7">
        <f t="shared" si="0"/>
        <v>2054</v>
      </c>
      <c r="AG4" s="7">
        <f t="shared" si="0"/>
        <v>2055</v>
      </c>
      <c r="AH4" s="7">
        <f t="shared" si="0"/>
        <v>2056</v>
      </c>
      <c r="AI4" s="7">
        <f t="shared" si="0"/>
        <v>2057</v>
      </c>
      <c r="AJ4" s="7">
        <f t="shared" si="0"/>
        <v>2058</v>
      </c>
      <c r="AK4" s="7">
        <f t="shared" si="0"/>
        <v>2059</v>
      </c>
      <c r="AL4" s="7">
        <f t="shared" si="0"/>
        <v>2060</v>
      </c>
      <c r="AM4" s="7">
        <f t="shared" si="0"/>
        <v>2061</v>
      </c>
      <c r="AN4" s="7">
        <f t="shared" si="0"/>
        <v>2062</v>
      </c>
      <c r="AO4" s="7">
        <f t="shared" si="0"/>
        <v>2063</v>
      </c>
      <c r="AP4" s="7">
        <f t="shared" si="0"/>
        <v>2064</v>
      </c>
      <c r="AQ4" s="7">
        <f t="shared" si="0"/>
        <v>2065</v>
      </c>
    </row>
    <row r="5" spans="2:43" x14ac:dyDescent="0.2">
      <c r="B5" s="3" t="s">
        <v>33</v>
      </c>
      <c r="C5" s="116">
        <f>SUM(D5:AQ5)</f>
        <v>361009747.85821664</v>
      </c>
      <c r="D5" s="120">
        <f>'Vstupy EMU550'!D59</f>
        <v>8186457.0765657369</v>
      </c>
      <c r="E5" s="120">
        <f>'Vstupy EMU550'!E59</f>
        <v>8268321.6473313952</v>
      </c>
      <c r="F5" s="120">
        <f>'Vstupy EMU550'!F59</f>
        <v>8351004.8638047082</v>
      </c>
      <c r="G5" s="120">
        <f>'Vstupy EMU550'!G59</f>
        <v>8434514.9124427568</v>
      </c>
      <c r="H5" s="120">
        <f>'Vstupy EMU550'!H59</f>
        <v>8518860.0615671836</v>
      </c>
      <c r="I5" s="120">
        <f>'Vstupy EMU550'!I59</f>
        <v>8604048.6621828564</v>
      </c>
      <c r="J5" s="120">
        <f>'Vstupy EMU550'!J59</f>
        <v>8690089.1488046832</v>
      </c>
      <c r="K5" s="120">
        <f>'Vstupy EMU550'!K59</f>
        <v>8776990.0402927306</v>
      </c>
      <c r="L5" s="120">
        <f>'Vstupy EMU550'!L59</f>
        <v>8864759.9406956583</v>
      </c>
      <c r="M5" s="120">
        <f>'Vstupy EMU550'!M59</f>
        <v>8953407.5401026141</v>
      </c>
      <c r="N5" s="120">
        <f>'Vstupy EMU550'!N59</f>
        <v>9042941.6155036408</v>
      </c>
      <c r="O5" s="120">
        <f>'Vstupy EMU550'!O59</f>
        <v>9133371.0316586774</v>
      </c>
      <c r="P5" s="120">
        <f>'Vstupy EMU550'!P59</f>
        <v>9224704.7419752646</v>
      </c>
      <c r="Q5" s="120">
        <f>'Vstupy EMU550'!Q59</f>
        <v>9316951.7893950175</v>
      </c>
      <c r="R5" s="120">
        <f>'Vstupy EMU550'!R59</f>
        <v>9410121.3072889689</v>
      </c>
      <c r="S5" s="120">
        <f>'Vstupy EMU550'!S59</f>
        <v>9391301.0646743905</v>
      </c>
      <c r="T5" s="120">
        <f>'Vstupy EMU550'!T59</f>
        <v>9372518.462545041</v>
      </c>
      <c r="U5" s="120">
        <f>'Vstupy EMU550'!U59</f>
        <v>9353773.4256199505</v>
      </c>
      <c r="V5" s="120">
        <f>'Vstupy EMU550'!V59</f>
        <v>9335065.8787687104</v>
      </c>
      <c r="W5" s="120">
        <f>'Vstupy EMU550'!W59</f>
        <v>9316395.7470111735</v>
      </c>
      <c r="X5" s="120">
        <f>'Vstupy EMU550'!X59</f>
        <v>9297762.9555171505</v>
      </c>
      <c r="Y5" s="120">
        <f>'Vstupy EMU550'!Y59</f>
        <v>9279167.4296061154</v>
      </c>
      <c r="Z5" s="120">
        <f>'Vstupy EMU550'!Z59</f>
        <v>9260609.0947469026</v>
      </c>
      <c r="AA5" s="120">
        <f>'Vstupy EMU550'!AA59</f>
        <v>9242087.8765574098</v>
      </c>
      <c r="AB5" s="120">
        <f>'Vstupy EMU550'!AB59</f>
        <v>9223603.7008042932</v>
      </c>
      <c r="AC5" s="120">
        <f>'Vstupy EMU550'!AC59</f>
        <v>9205156.4934026841</v>
      </c>
      <c r="AD5" s="120">
        <f>'Vstupy EMU550'!AD59</f>
        <v>9186746.1804158799</v>
      </c>
      <c r="AE5" s="120">
        <f>'Vstupy EMU550'!AE59</f>
        <v>9168372.6880550459</v>
      </c>
      <c r="AF5" s="120">
        <f>'Vstupy EMU550'!AF59</f>
        <v>9150035.9426789358</v>
      </c>
      <c r="AG5" s="120">
        <f>'Vstupy EMU550'!AG59</f>
        <v>9131735.8707935791</v>
      </c>
      <c r="AH5" s="120">
        <f>'Vstupy EMU550'!AH59</f>
        <v>9113472.3990519922</v>
      </c>
      <c r="AI5" s="120">
        <f>'Vstupy EMU550'!AI59</f>
        <v>9095245.4542538878</v>
      </c>
      <c r="AJ5" s="120">
        <f>'Vstupy EMU550'!AJ59</f>
        <v>9077054.9633453805</v>
      </c>
      <c r="AK5" s="120">
        <f>'Vstupy EMU550'!AK59</f>
        <v>9058900.8534186892</v>
      </c>
      <c r="AL5" s="120">
        <f>'Vstupy EMU550'!AL59</f>
        <v>9040783.0517118517</v>
      </c>
      <c r="AM5" s="120">
        <f>'Vstupy EMU550'!AM59</f>
        <v>9022701.4856084287</v>
      </c>
      <c r="AN5" s="120">
        <f>'Vstupy EMU550'!AN59</f>
        <v>9004656.0826372132</v>
      </c>
      <c r="AO5" s="120">
        <f>'Vstupy EMU550'!AO59</f>
        <v>8986646.770471938</v>
      </c>
      <c r="AP5" s="120">
        <f>'Vstupy EMU550'!AP59</f>
        <v>8968673.4769309945</v>
      </c>
      <c r="AQ5" s="120">
        <f>'Vstupy EMU550'!AQ59</f>
        <v>8950736.1299771313</v>
      </c>
    </row>
    <row r="6" spans="2:43" x14ac:dyDescent="0.2">
      <c r="B6" s="3" t="s">
        <v>34</v>
      </c>
      <c r="C6" s="116">
        <f t="shared" ref="C6:C10" si="1">SUM(D6:AQ6)</f>
        <v>353480109.36861098</v>
      </c>
      <c r="D6" s="120">
        <f>'Vstupy EMU550'!D84</f>
        <v>8186457.0765657369</v>
      </c>
      <c r="E6" s="120">
        <f>'Vstupy EMU550'!E84</f>
        <v>8268321.6473313952</v>
      </c>
      <c r="F6" s="120">
        <f>'Vstupy EMU550'!F84</f>
        <v>8351004.8638047082</v>
      </c>
      <c r="G6" s="120">
        <f>'Vstupy EMU550'!G84</f>
        <v>8434514.9124427568</v>
      </c>
      <c r="H6" s="120">
        <f>'Vstupy EMU550'!H84</f>
        <v>8419722.5808478482</v>
      </c>
      <c r="I6" s="120">
        <f>'Vstupy EMU550'!I84</f>
        <v>8403790.9511297997</v>
      </c>
      <c r="J6" s="120">
        <f>'Vstupy EMU550'!J84</f>
        <v>8487828.8606410976</v>
      </c>
      <c r="K6" s="120">
        <f>'Vstupy EMU550'!K84</f>
        <v>8572707.1492475085</v>
      </c>
      <c r="L6" s="120">
        <f>'Vstupy EMU550'!L84</f>
        <v>8658434.220739983</v>
      </c>
      <c r="M6" s="120">
        <f>'Vstupy EMU550'!M84</f>
        <v>8745018.5629473832</v>
      </c>
      <c r="N6" s="120">
        <f>'Vstupy EMU550'!N84</f>
        <v>8832468.7485768571</v>
      </c>
      <c r="O6" s="120">
        <f>'Vstupy EMU550'!O84</f>
        <v>8920793.4360626265</v>
      </c>
      <c r="P6" s="120">
        <f>'Vstupy EMU550'!P84</f>
        <v>9010001.3704232536</v>
      </c>
      <c r="Q6" s="120">
        <f>'Vstupy EMU550'!Q84</f>
        <v>9100101.3841274865</v>
      </c>
      <c r="R6" s="120">
        <f>'Vstupy EMU550'!R84</f>
        <v>9191102.3979687616</v>
      </c>
      <c r="S6" s="120">
        <f>'Vstupy EMU550'!S84</f>
        <v>9172720.1931728236</v>
      </c>
      <c r="T6" s="120">
        <f>'Vstupy EMU550'!T84</f>
        <v>9154374.7527864762</v>
      </c>
      <c r="U6" s="120">
        <f>'Vstupy EMU550'!U84</f>
        <v>9136066.0032809041</v>
      </c>
      <c r="V6" s="120">
        <f>'Vstupy EMU550'!V84</f>
        <v>9117793.8712743409</v>
      </c>
      <c r="W6" s="120">
        <f>'Vstupy EMU550'!W84</f>
        <v>9099558.2835317925</v>
      </c>
      <c r="X6" s="120">
        <f>'Vstupy EMU550'!X84</f>
        <v>9081359.1669647302</v>
      </c>
      <c r="Y6" s="120">
        <f>'Vstupy EMU550'!Y84</f>
        <v>9063196.4486308005</v>
      </c>
      <c r="Z6" s="120">
        <f>'Vstupy EMU550'!Z84</f>
        <v>9045070.0557335373</v>
      </c>
      <c r="AA6" s="120">
        <f>'Vstupy EMU550'!AA84</f>
        <v>9026979.9156220704</v>
      </c>
      <c r="AB6" s="120">
        <f>'Vstupy EMU550'!AB84</f>
        <v>9008925.9557908271</v>
      </c>
      <c r="AC6" s="120">
        <f>'Vstupy EMU550'!AC84</f>
        <v>8990908.103879245</v>
      </c>
      <c r="AD6" s="120">
        <f>'Vstupy EMU550'!AD84</f>
        <v>8972926.2876714859</v>
      </c>
      <c r="AE6" s="120">
        <f>'Vstupy EMU550'!AE84</f>
        <v>8954980.435096141</v>
      </c>
      <c r="AF6" s="120">
        <f>'Vstupy EMU550'!AF84</f>
        <v>8937070.4742259495</v>
      </c>
      <c r="AG6" s="120">
        <f>'Vstupy EMU550'!AG84</f>
        <v>8919196.3332774974</v>
      </c>
      <c r="AH6" s="120">
        <f>'Vstupy EMU550'!AH84</f>
        <v>8901357.9406109434</v>
      </c>
      <c r="AI6" s="120">
        <f>'Vstupy EMU550'!AI84</f>
        <v>8883555.2247297205</v>
      </c>
      <c r="AJ6" s="120">
        <f>'Vstupy EMU550'!AJ84</f>
        <v>8865788.1142802611</v>
      </c>
      <c r="AK6" s="120">
        <f>'Vstupy EMU550'!AK84</f>
        <v>8848056.5380517002</v>
      </c>
      <c r="AL6" s="120">
        <f>'Vstupy EMU550'!AL84</f>
        <v>8830360.4249755982</v>
      </c>
      <c r="AM6" s="120">
        <f>'Vstupy EMU550'!AM84</f>
        <v>8812699.7041256465</v>
      </c>
      <c r="AN6" s="120">
        <f>'Vstupy EMU550'!AN84</f>
        <v>8795074.3047173955</v>
      </c>
      <c r="AO6" s="120">
        <f>'Vstupy EMU550'!AO84</f>
        <v>8777484.1561079621</v>
      </c>
      <c r="AP6" s="120">
        <f>'Vstupy EMU550'!AP84</f>
        <v>8759929.1877957452</v>
      </c>
      <c r="AQ6" s="120">
        <f>'Vstupy EMU550'!AQ84</f>
        <v>8742409.3294201531</v>
      </c>
    </row>
    <row r="7" spans="2:43" ht="12" thickBot="1" x14ac:dyDescent="0.25">
      <c r="B7" s="27" t="s">
        <v>195</v>
      </c>
      <c r="C7" s="117">
        <f t="shared" si="1"/>
        <v>7529638.4896057118</v>
      </c>
      <c r="D7" s="117">
        <f>D5-D6</f>
        <v>0</v>
      </c>
      <c r="E7" s="117">
        <f t="shared" ref="E7:AQ7" si="2">E5-E6</f>
        <v>0</v>
      </c>
      <c r="F7" s="117">
        <f t="shared" si="2"/>
        <v>0</v>
      </c>
      <c r="G7" s="117">
        <f t="shared" si="2"/>
        <v>0</v>
      </c>
      <c r="H7" s="117">
        <f t="shared" si="2"/>
        <v>99137.480719335377</v>
      </c>
      <c r="I7" s="117">
        <f t="shared" si="2"/>
        <v>200257.71105305664</v>
      </c>
      <c r="J7" s="117">
        <f t="shared" si="2"/>
        <v>202260.28816358559</v>
      </c>
      <c r="K7" s="117">
        <f t="shared" si="2"/>
        <v>204282.89104522206</v>
      </c>
      <c r="L7" s="117">
        <f t="shared" si="2"/>
        <v>206325.7199556753</v>
      </c>
      <c r="M7" s="117">
        <f t="shared" si="2"/>
        <v>208388.97715523094</v>
      </c>
      <c r="N7" s="117">
        <f t="shared" si="2"/>
        <v>210472.8669267837</v>
      </c>
      <c r="O7" s="117">
        <f t="shared" si="2"/>
        <v>212577.59559605084</v>
      </c>
      <c r="P7" s="117">
        <f t="shared" si="2"/>
        <v>214703.371552011</v>
      </c>
      <c r="Q7" s="117">
        <f t="shared" si="2"/>
        <v>216850.40526753105</v>
      </c>
      <c r="R7" s="117">
        <f t="shared" si="2"/>
        <v>219018.90932020731</v>
      </c>
      <c r="S7" s="117">
        <f t="shared" si="2"/>
        <v>218580.87150156684</v>
      </c>
      <c r="T7" s="117">
        <f t="shared" si="2"/>
        <v>218143.70975856483</v>
      </c>
      <c r="U7" s="117">
        <f t="shared" si="2"/>
        <v>217707.42233904637</v>
      </c>
      <c r="V7" s="117">
        <f t="shared" si="2"/>
        <v>217272.00749436952</v>
      </c>
      <c r="W7" s="117">
        <f t="shared" si="2"/>
        <v>216837.46347938105</v>
      </c>
      <c r="X7" s="117">
        <f t="shared" si="2"/>
        <v>216403.78855242021</v>
      </c>
      <c r="Y7" s="117">
        <f t="shared" si="2"/>
        <v>215970.98097531497</v>
      </c>
      <c r="Z7" s="117">
        <f t="shared" si="2"/>
        <v>215539.03901336528</v>
      </c>
      <c r="AA7" s="117">
        <f t="shared" si="2"/>
        <v>215107.96093533933</v>
      </c>
      <c r="AB7" s="117">
        <f t="shared" si="2"/>
        <v>214677.7450134661</v>
      </c>
      <c r="AC7" s="117">
        <f t="shared" si="2"/>
        <v>214248.38952343911</v>
      </c>
      <c r="AD7" s="117">
        <f t="shared" si="2"/>
        <v>213819.89274439402</v>
      </c>
      <c r="AE7" s="117">
        <f t="shared" si="2"/>
        <v>213392.25295890495</v>
      </c>
      <c r="AF7" s="117">
        <f t="shared" si="2"/>
        <v>212965.46845298633</v>
      </c>
      <c r="AG7" s="117">
        <f t="shared" si="2"/>
        <v>212539.53751608171</v>
      </c>
      <c r="AH7" s="117">
        <f t="shared" si="2"/>
        <v>212114.45844104886</v>
      </c>
      <c r="AI7" s="117">
        <f t="shared" si="2"/>
        <v>211690.22952416725</v>
      </c>
      <c r="AJ7" s="117">
        <f t="shared" si="2"/>
        <v>211266.8490651194</v>
      </c>
      <c r="AK7" s="117">
        <f t="shared" si="2"/>
        <v>210844.315366989</v>
      </c>
      <c r="AL7" s="117">
        <f t="shared" si="2"/>
        <v>210422.6267362535</v>
      </c>
      <c r="AM7" s="117">
        <f t="shared" si="2"/>
        <v>210001.78148278221</v>
      </c>
      <c r="AN7" s="117">
        <f t="shared" si="2"/>
        <v>209581.77791981772</v>
      </c>
      <c r="AO7" s="117">
        <f t="shared" si="2"/>
        <v>209162.61436397582</v>
      </c>
      <c r="AP7" s="117">
        <f t="shared" si="2"/>
        <v>208744.28913524933</v>
      </c>
      <c r="AQ7" s="117">
        <f t="shared" si="2"/>
        <v>208326.80055697821</v>
      </c>
    </row>
    <row r="8" spans="2:43" ht="12" thickTop="1" x14ac:dyDescent="0.2">
      <c r="B8" s="29" t="s">
        <v>147</v>
      </c>
      <c r="C8" s="118">
        <f t="shared" si="1"/>
        <v>323774.45505304559</v>
      </c>
      <c r="D8" s="118">
        <f>D7*'Parametre EMU550'!$C$54</f>
        <v>0</v>
      </c>
      <c r="E8" s="118">
        <f>E7*'Parametre EMU550'!$C$54</f>
        <v>0</v>
      </c>
      <c r="F8" s="118">
        <f>F7*'Parametre EMU550'!$C$54</f>
        <v>0</v>
      </c>
      <c r="G8" s="118">
        <f>G7*'Parametre EMU550'!$C$54</f>
        <v>0</v>
      </c>
      <c r="H8" s="118">
        <f>H7*'Parametre EMU550'!$C$54</f>
        <v>4262.9116709314212</v>
      </c>
      <c r="I8" s="118">
        <f>I7*'Parametre EMU550'!$C$54</f>
        <v>8611.0815752814342</v>
      </c>
      <c r="J8" s="118">
        <f>J7*'Parametre EMU550'!$C$54</f>
        <v>8697.1923910341793</v>
      </c>
      <c r="K8" s="118">
        <f>K7*'Parametre EMU550'!$C$54</f>
        <v>8784.1643149445481</v>
      </c>
      <c r="L8" s="118">
        <f>L7*'Parametre EMU550'!$C$54</f>
        <v>8872.0059580940379</v>
      </c>
      <c r="M8" s="118">
        <f>M7*'Parametre EMU550'!$C$54</f>
        <v>8960.7260176749296</v>
      </c>
      <c r="N8" s="118">
        <f>N7*'Parametre EMU550'!$C$54</f>
        <v>9050.3332778516979</v>
      </c>
      <c r="O8" s="118">
        <f>O7*'Parametre EMU550'!$C$54</f>
        <v>9140.8366106301855</v>
      </c>
      <c r="P8" s="118">
        <f>P7*'Parametre EMU550'!$C$54</f>
        <v>9232.2449767364724</v>
      </c>
      <c r="Q8" s="118">
        <f>Q7*'Parametre EMU550'!$C$54</f>
        <v>9324.5674265038342</v>
      </c>
      <c r="R8" s="118">
        <f>R7*'Parametre EMU550'!$C$54</f>
        <v>9417.8131007689135</v>
      </c>
      <c r="S8" s="118">
        <f>S7*'Parametre EMU550'!$C$54</f>
        <v>9398.9774745673731</v>
      </c>
      <c r="T8" s="118">
        <f>T7*'Parametre EMU550'!$C$54</f>
        <v>9380.1795196182866</v>
      </c>
      <c r="U8" s="118">
        <f>U7*'Parametre EMU550'!$C$54</f>
        <v>9361.4191605789929</v>
      </c>
      <c r="V8" s="118">
        <f>V7*'Parametre EMU550'!$C$54</f>
        <v>9342.6963222578888</v>
      </c>
      <c r="W8" s="118">
        <f>W7*'Parametre EMU550'!$C$54</f>
        <v>9324.0109296133851</v>
      </c>
      <c r="X8" s="118">
        <f>X7*'Parametre EMU550'!$C$54</f>
        <v>9305.3629077540681</v>
      </c>
      <c r="Y8" s="118">
        <f>Y7*'Parametre EMU550'!$C$54</f>
        <v>9286.7521819385438</v>
      </c>
      <c r="Z8" s="118">
        <f>Z7*'Parametre EMU550'!$C$54</f>
        <v>9268.1786775747059</v>
      </c>
      <c r="AA8" s="118">
        <f>AA7*'Parametre EMU550'!$C$54</f>
        <v>9249.6423202195911</v>
      </c>
      <c r="AB8" s="118">
        <f>AB7*'Parametre EMU550'!$C$54</f>
        <v>9231.1430355790417</v>
      </c>
      <c r="AC8" s="118">
        <f>AC7*'Parametre EMU550'!$C$54</f>
        <v>9212.680749507881</v>
      </c>
      <c r="AD8" s="118">
        <f>AD7*'Parametre EMU550'!$C$54</f>
        <v>9194.2553880089417</v>
      </c>
      <c r="AE8" s="118">
        <f>AE7*'Parametre EMU550'!$C$54</f>
        <v>9175.8668772329129</v>
      </c>
      <c r="AF8" s="118">
        <f>AF7*'Parametre EMU550'!$C$54</f>
        <v>9157.5151434784111</v>
      </c>
      <c r="AG8" s="118">
        <f>AG7*'Parametre EMU550'!$C$54</f>
        <v>9139.2001131915131</v>
      </c>
      <c r="AH8" s="118">
        <f>AH7*'Parametre EMU550'!$C$54</f>
        <v>9120.9217129651006</v>
      </c>
      <c r="AI8" s="118">
        <f>AI7*'Parametre EMU550'!$C$54</f>
        <v>9102.6798695391917</v>
      </c>
      <c r="AJ8" s="118">
        <f>AJ7*'Parametre EMU550'!$C$54</f>
        <v>9084.4745098001331</v>
      </c>
      <c r="AK8" s="118">
        <f>AK7*'Parametre EMU550'!$C$54</f>
        <v>9066.3055607805272</v>
      </c>
      <c r="AL8" s="118">
        <f>AL7*'Parametre EMU550'!$C$54</f>
        <v>9048.1729496588996</v>
      </c>
      <c r="AM8" s="118">
        <f>AM7*'Parametre EMU550'!$C$54</f>
        <v>9030.076603759635</v>
      </c>
      <c r="AN8" s="118">
        <f>AN7*'Parametre EMU550'!$C$54</f>
        <v>9012.0164505521607</v>
      </c>
      <c r="AO8" s="118">
        <f>AO7*'Parametre EMU550'!$C$54</f>
        <v>8993.9924176509594</v>
      </c>
      <c r="AP8" s="118">
        <f>AP7*'Parametre EMU550'!$C$54</f>
        <v>8976.0044328157201</v>
      </c>
      <c r="AQ8" s="118">
        <f>AQ7*'Parametre EMU550'!$C$54</f>
        <v>8958.0524239500628</v>
      </c>
    </row>
    <row r="9" spans="2:43" x14ac:dyDescent="0.2">
      <c r="B9" s="3" t="s">
        <v>103</v>
      </c>
      <c r="C9" s="116">
        <f t="shared" si="1"/>
        <v>1927587.4533390619</v>
      </c>
      <c r="D9" s="116">
        <f>D7*'Parametre EMU550'!$D$54</f>
        <v>0</v>
      </c>
      <c r="E9" s="116">
        <f>E7*'Parametre EMU550'!$D$54</f>
        <v>0</v>
      </c>
      <c r="F9" s="116">
        <f>F7*'Parametre EMU550'!$D$54</f>
        <v>0</v>
      </c>
      <c r="G9" s="116">
        <f>G7*'Parametre EMU550'!$D$54</f>
        <v>0</v>
      </c>
      <c r="H9" s="116">
        <f>H7*'Parametre EMU550'!$D$54</f>
        <v>25379.195064149859</v>
      </c>
      <c r="I9" s="116">
        <f>I7*'Parametre EMU550'!$D$54</f>
        <v>51265.974029582503</v>
      </c>
      <c r="J9" s="116">
        <f>J7*'Parametre EMU550'!$D$54</f>
        <v>51778.63376987791</v>
      </c>
      <c r="K9" s="116">
        <f>K7*'Parametre EMU550'!$D$54</f>
        <v>52296.420107576851</v>
      </c>
      <c r="L9" s="116">
        <f>L7*'Parametre EMU550'!$D$54</f>
        <v>52819.38430865288</v>
      </c>
      <c r="M9" s="116">
        <f>M7*'Parametre EMU550'!$D$54</f>
        <v>53347.578151739122</v>
      </c>
      <c r="N9" s="116">
        <f>N7*'Parametre EMU550'!$D$54</f>
        <v>53881.053933256626</v>
      </c>
      <c r="O9" s="116">
        <f>O7*'Parametre EMU550'!$D$54</f>
        <v>54419.864472589019</v>
      </c>
      <c r="P9" s="116">
        <f>P7*'Parametre EMU550'!$D$54</f>
        <v>54964.063117314814</v>
      </c>
      <c r="Q9" s="116">
        <f>Q7*'Parametre EMU550'!$D$54</f>
        <v>55513.703748487947</v>
      </c>
      <c r="R9" s="116">
        <f>R7*'Parametre EMU550'!$D$54</f>
        <v>56068.840785973072</v>
      </c>
      <c r="S9" s="116">
        <f>S7*'Parametre EMU550'!$D$54</f>
        <v>55956.703104401109</v>
      </c>
      <c r="T9" s="116">
        <f>T7*'Parametre EMU550'!$D$54</f>
        <v>55844.789698192595</v>
      </c>
      <c r="U9" s="116">
        <f>U7*'Parametre EMU550'!$D$54</f>
        <v>55733.100118795875</v>
      </c>
      <c r="V9" s="116">
        <f>V7*'Parametre EMU550'!$D$54</f>
        <v>55621.633918558597</v>
      </c>
      <c r="W9" s="116">
        <f>W7*'Parametre EMU550'!$D$54</f>
        <v>55510.390650721551</v>
      </c>
      <c r="X9" s="116">
        <f>X7*'Parametre EMU550'!$D$54</f>
        <v>55399.369869419577</v>
      </c>
      <c r="Y9" s="116">
        <f>Y7*'Parametre EMU550'!$D$54</f>
        <v>55288.571129680633</v>
      </c>
      <c r="Z9" s="116">
        <f>Z7*'Parametre EMU550'!$D$54</f>
        <v>55177.993987421512</v>
      </c>
      <c r="AA9" s="116">
        <f>AA7*'Parametre EMU550'!$D$54</f>
        <v>55067.637999446873</v>
      </c>
      <c r="AB9" s="116">
        <f>AB7*'Parametre EMU550'!$D$54</f>
        <v>54957.502723447324</v>
      </c>
      <c r="AC9" s="116">
        <f>AC7*'Parametre EMU550'!$D$54</f>
        <v>54847.58771800041</v>
      </c>
      <c r="AD9" s="116">
        <f>AD7*'Parametre EMU550'!$D$54</f>
        <v>54737.89254256487</v>
      </c>
      <c r="AE9" s="116">
        <f>AE7*'Parametre EMU550'!$D$54</f>
        <v>54628.416757479667</v>
      </c>
      <c r="AF9" s="116">
        <f>AF7*'Parametre EMU550'!$D$54</f>
        <v>54519.1599239645</v>
      </c>
      <c r="AG9" s="116">
        <f>AG7*'Parametre EMU550'!$D$54</f>
        <v>54410.121604116917</v>
      </c>
      <c r="AH9" s="116">
        <f>AH7*'Parametre EMU550'!$D$54</f>
        <v>54301.30136090851</v>
      </c>
      <c r="AI9" s="116">
        <f>AI7*'Parametre EMU550'!$D$54</f>
        <v>54192.698758186816</v>
      </c>
      <c r="AJ9" s="116">
        <f>AJ7*'Parametre EMU550'!$D$54</f>
        <v>54084.313360670567</v>
      </c>
      <c r="AK9" s="116">
        <f>AK7*'Parametre EMU550'!$D$54</f>
        <v>53976.144733949186</v>
      </c>
      <c r="AL9" s="116">
        <f>AL7*'Parametre EMU550'!$D$54</f>
        <v>53868.192444480897</v>
      </c>
      <c r="AM9" s="116">
        <f>AM7*'Parametre EMU550'!$D$54</f>
        <v>53760.456059592245</v>
      </c>
      <c r="AN9" s="116">
        <f>AN7*'Parametre EMU550'!$D$54</f>
        <v>53652.935147473334</v>
      </c>
      <c r="AO9" s="116">
        <f>AO7*'Parametre EMU550'!$D$54</f>
        <v>53545.62927717781</v>
      </c>
      <c r="AP9" s="116">
        <f>AP7*'Parametre EMU550'!$D$54</f>
        <v>53438.538018623833</v>
      </c>
      <c r="AQ9" s="116">
        <f>AQ7*'Parametre EMU550'!$D$54</f>
        <v>53331.660942586423</v>
      </c>
    </row>
    <row r="10" spans="2:43" x14ac:dyDescent="0.2">
      <c r="B10" s="3" t="s">
        <v>104</v>
      </c>
      <c r="C10" s="116">
        <f t="shared" si="1"/>
        <v>5278276.5812136047</v>
      </c>
      <c r="D10" s="116">
        <f>D7*'Parametre EMU550'!$E$54</f>
        <v>0</v>
      </c>
      <c r="E10" s="116">
        <f>E7*'Parametre EMU550'!$E$54</f>
        <v>0</v>
      </c>
      <c r="F10" s="116">
        <f>F7*'Parametre EMU550'!$E$54</f>
        <v>0</v>
      </c>
      <c r="G10" s="116">
        <f>G7*'Parametre EMU550'!$E$54</f>
        <v>0</v>
      </c>
      <c r="H10" s="116">
        <f>H7*'Parametre EMU550'!$E$54</f>
        <v>69495.373984254096</v>
      </c>
      <c r="I10" s="116">
        <f>I7*'Parametre EMU550'!$E$54</f>
        <v>140380.6554481927</v>
      </c>
      <c r="J10" s="116">
        <f>J7*'Parametre EMU550'!$E$54</f>
        <v>141784.46200267348</v>
      </c>
      <c r="K10" s="116">
        <f>K7*'Parametre EMU550'!$E$54</f>
        <v>143202.30662270065</v>
      </c>
      <c r="L10" s="116">
        <f>L7*'Parametre EMU550'!$E$54</f>
        <v>144634.32968892838</v>
      </c>
      <c r="M10" s="116">
        <f>M7*'Parametre EMU550'!$E$54</f>
        <v>146080.67298581687</v>
      </c>
      <c r="N10" s="116">
        <f>N7*'Parametre EMU550'!$E$54</f>
        <v>147541.47971567535</v>
      </c>
      <c r="O10" s="116">
        <f>O7*'Parametre EMU550'!$E$54</f>
        <v>149016.89451283164</v>
      </c>
      <c r="P10" s="116">
        <f>P7*'Parametre EMU550'!$E$54</f>
        <v>150507.06345795971</v>
      </c>
      <c r="Q10" s="116">
        <f>Q7*'Parametre EMU550'!$E$54</f>
        <v>152012.13409253926</v>
      </c>
      <c r="R10" s="116">
        <f>R7*'Parametre EMU550'!$E$54</f>
        <v>153532.25543346533</v>
      </c>
      <c r="S10" s="116">
        <f>S7*'Parametre EMU550'!$E$54</f>
        <v>153225.19092259835</v>
      </c>
      <c r="T10" s="116">
        <f>T7*'Parametre EMU550'!$E$54</f>
        <v>152918.74054075393</v>
      </c>
      <c r="U10" s="116">
        <f>U7*'Parametre EMU550'!$E$54</f>
        <v>152612.90305967149</v>
      </c>
      <c r="V10" s="116">
        <f>V7*'Parametre EMU550'!$E$54</f>
        <v>152307.67725355303</v>
      </c>
      <c r="W10" s="116">
        <f>W7*'Parametre EMU550'!$E$54</f>
        <v>152003.06189904612</v>
      </c>
      <c r="X10" s="116">
        <f>X7*'Parametre EMU550'!$E$54</f>
        <v>151699.05577524655</v>
      </c>
      <c r="Y10" s="116">
        <f>Y7*'Parametre EMU550'!$E$54</f>
        <v>151395.65766369578</v>
      </c>
      <c r="Z10" s="116">
        <f>Z7*'Parametre EMU550'!$E$54</f>
        <v>151092.86634836905</v>
      </c>
      <c r="AA10" s="116">
        <f>AA7*'Parametre EMU550'!$E$54</f>
        <v>150790.68061567287</v>
      </c>
      <c r="AB10" s="116">
        <f>AB7*'Parametre EMU550'!$E$54</f>
        <v>150489.09925443973</v>
      </c>
      <c r="AC10" s="116">
        <f>AC7*'Parametre EMU550'!$E$54</f>
        <v>150188.12105593079</v>
      </c>
      <c r="AD10" s="116">
        <f>AD7*'Parametre EMU550'!$E$54</f>
        <v>149887.7448138202</v>
      </c>
      <c r="AE10" s="116">
        <f>AE7*'Parametre EMU550'!$E$54</f>
        <v>149587.96932419235</v>
      </c>
      <c r="AF10" s="116">
        <f>AF7*'Parametre EMU550'!$E$54</f>
        <v>149288.79338554339</v>
      </c>
      <c r="AG10" s="116">
        <f>AG7*'Parametre EMU550'!$E$54</f>
        <v>148990.21579877328</v>
      </c>
      <c r="AH10" s="116">
        <f>AH7*'Parametre EMU550'!$E$54</f>
        <v>148692.23536717525</v>
      </c>
      <c r="AI10" s="116">
        <f>AI7*'Parametre EMU550'!$E$54</f>
        <v>148394.85089644123</v>
      </c>
      <c r="AJ10" s="116">
        <f>AJ7*'Parametre EMU550'!$E$54</f>
        <v>148098.0611946487</v>
      </c>
      <c r="AK10" s="116">
        <f>AK7*'Parametre EMU550'!$E$54</f>
        <v>147801.86507225927</v>
      </c>
      <c r="AL10" s="116">
        <f>AL7*'Parametre EMU550'!$E$54</f>
        <v>147506.26134211369</v>
      </c>
      <c r="AM10" s="116">
        <f>AM7*'Parametre EMU550'!$E$54</f>
        <v>147211.24881943033</v>
      </c>
      <c r="AN10" s="116">
        <f>AN7*'Parametre EMU550'!$E$54</f>
        <v>146916.82632179221</v>
      </c>
      <c r="AO10" s="116">
        <f>AO7*'Parametre EMU550'!$E$54</f>
        <v>146622.99266914703</v>
      </c>
      <c r="AP10" s="116">
        <f>AP7*'Parametre EMU550'!$E$54</f>
        <v>146329.74668380976</v>
      </c>
      <c r="AQ10" s="116">
        <f>AQ7*'Parametre EMU550'!$E$54</f>
        <v>146037.08719044173</v>
      </c>
    </row>
    <row r="11" spans="2:43" x14ac:dyDescent="0.2">
      <c r="C11" s="25"/>
    </row>
    <row r="12" spans="2:43" x14ac:dyDescent="0.2">
      <c r="B12" s="15" t="s">
        <v>196</v>
      </c>
      <c r="C12" s="25"/>
    </row>
    <row r="13" spans="2:43" x14ac:dyDescent="0.2">
      <c r="B13" s="8" t="s">
        <v>147</v>
      </c>
      <c r="C13" s="116">
        <f>SUM(D13:AQ13)</f>
        <v>8942999.4026018977</v>
      </c>
      <c r="D13" s="116">
        <f>D8*'Parametre EMU550'!C58</f>
        <v>0</v>
      </c>
      <c r="E13" s="116">
        <f>E8*'Parametre EMU550'!D58</f>
        <v>0</v>
      </c>
      <c r="F13" s="116">
        <f>F8*'Parametre EMU550'!E58</f>
        <v>0</v>
      </c>
      <c r="G13" s="116">
        <f>G8*'Parametre EMU550'!F58</f>
        <v>0</v>
      </c>
      <c r="H13" s="116">
        <f>H8*'Parametre EMU550'!G58</f>
        <v>95617.10877899178</v>
      </c>
      <c r="I13" s="116">
        <f>I8*'Parametre EMU550'!H58</f>
        <v>195902.10583765263</v>
      </c>
      <c r="J13" s="116">
        <f>J8*'Parametre EMU550'!I58</f>
        <v>200383.31268942749</v>
      </c>
      <c r="K13" s="116">
        <f>K8*'Parametre EMU550'!J58</f>
        <v>204934.55346765628</v>
      </c>
      <c r="L13" s="116">
        <f>L8*'Parametre EMU550'!K58</f>
        <v>209468.06067060021</v>
      </c>
      <c r="M13" s="116">
        <f>M8*'Parametre EMU550'!L58</f>
        <v>214071.74456225408</v>
      </c>
      <c r="N13" s="116">
        <f>N8*'Parametre EMU550'!M58</f>
        <v>218837.05865845404</v>
      </c>
      <c r="O13" s="116">
        <f>O8*'Parametre EMU550'!N58</f>
        <v>223676.27186212063</v>
      </c>
      <c r="P13" s="116">
        <f>P8*'Parametre EMU550'!O58</f>
        <v>228590.38562399507</v>
      </c>
      <c r="Q13" s="116">
        <f>Q8*'Parametre EMU550'!P58</f>
        <v>233673.65970818608</v>
      </c>
      <c r="R13" s="116">
        <f>R8*'Parametre EMU550'!Q58</f>
        <v>238835.74023549963</v>
      </c>
      <c r="S13" s="116">
        <f>S8*'Parametre EMU550'!R58</f>
        <v>241177.7619973988</v>
      </c>
      <c r="T13" s="116">
        <f>T8*'Parametre EMU550'!S58</f>
        <v>243603.26212448688</v>
      </c>
      <c r="U13" s="116">
        <f>U8*'Parametre EMU550'!T58</f>
        <v>246018.09554001596</v>
      </c>
      <c r="V13" s="116">
        <f>V8*'Parametre EMU550'!U58</f>
        <v>248048.58735594695</v>
      </c>
      <c r="W13" s="116">
        <f>W8*'Parametre EMU550'!V58</f>
        <v>250163.21324152712</v>
      </c>
      <c r="X13" s="116">
        <f>X8*'Parametre EMU550'!W58</f>
        <v>252268.38842921279</v>
      </c>
      <c r="Y13" s="116">
        <f>Y8*'Parametre EMU550'!X58</f>
        <v>254364.14226329673</v>
      </c>
      <c r="Z13" s="116">
        <f>Z8*'Parametre EMU550'!Y58</f>
        <v>256450.50400849213</v>
      </c>
      <c r="AA13" s="116">
        <f>AA8*'Parametre EMU550'!Z58</f>
        <v>258619.99927333978</v>
      </c>
      <c r="AB13" s="116">
        <f>AB8*'Parametre EMU550'!AA58</f>
        <v>260779.79075510794</v>
      </c>
      <c r="AC13" s="116">
        <f>AC8*'Parametre EMU550'!AB58</f>
        <v>262929.9085909549</v>
      </c>
      <c r="AD13" s="116">
        <f>AD8*'Parametre EMU550'!AC58</f>
        <v>265162.3253901779</v>
      </c>
      <c r="AE13" s="116">
        <f>AE8*'Parametre EMU550'!AD58</f>
        <v>267384.76080256706</v>
      </c>
      <c r="AF13" s="116">
        <f>AF8*'Parametre EMU550'!AE58</f>
        <v>269414.09552113485</v>
      </c>
      <c r="AG13" s="116">
        <f>AG8*'Parametre EMU550'!AF58</f>
        <v>271434.24336178793</v>
      </c>
      <c r="AH13" s="116">
        <f>AH8*'Parametre EMU550'!AG58</f>
        <v>273536.44217182335</v>
      </c>
      <c r="AI13" s="116">
        <f>AI8*'Parametre EMU550'!AH58</f>
        <v>275629.14644964674</v>
      </c>
      <c r="AJ13" s="116">
        <f>AJ8*'Parametre EMU550'!AI58</f>
        <v>277712.38576459006</v>
      </c>
      <c r="AK13" s="116">
        <f>AK8*'Parametre EMU550'!AJ58</f>
        <v>279786.18960568705</v>
      </c>
      <c r="AL13" s="116">
        <f>AL8*'Parametre EMU550'!AK58</f>
        <v>281941.0691113713</v>
      </c>
      <c r="AM13" s="116">
        <f>AM8*'Parametre EMU550'!AL58</f>
        <v>284086.20995427814</v>
      </c>
      <c r="AN13" s="116">
        <f>AN8*'Parametre EMU550'!AM58</f>
        <v>286221.64246953663</v>
      </c>
      <c r="AO13" s="116">
        <f>AO8*'Parametre EMU550'!AN58</f>
        <v>288347.39690988977</v>
      </c>
      <c r="AP13" s="116">
        <f>AP8*'Parametre EMU550'!AO58</f>
        <v>290732.7835789012</v>
      </c>
      <c r="AQ13" s="116">
        <f>AQ8*'Parametre EMU550'!AP58</f>
        <v>293197.05583588552</v>
      </c>
    </row>
    <row r="14" spans="2:43" x14ac:dyDescent="0.2">
      <c r="B14" s="8" t="s">
        <v>103</v>
      </c>
      <c r="C14" s="116">
        <f t="shared" ref="C14:C16" si="3">SUM(D14:AQ14)</f>
        <v>25113207.805331167</v>
      </c>
      <c r="D14" s="116">
        <f>D9*'Parametre EMU550'!C59</f>
        <v>0</v>
      </c>
      <c r="E14" s="116">
        <f>E9*'Parametre EMU550'!D59</f>
        <v>0</v>
      </c>
      <c r="F14" s="116">
        <f>F9*'Parametre EMU550'!E59</f>
        <v>0</v>
      </c>
      <c r="G14" s="116">
        <f>G9*'Parametre EMU550'!F59</f>
        <v>0</v>
      </c>
      <c r="H14" s="116">
        <f>H9*'Parametre EMU550'!G59</f>
        <v>268258.091828064</v>
      </c>
      <c r="I14" s="116">
        <f>I9*'Parametre EMU550'!H59</f>
        <v>549571.24159712449</v>
      </c>
      <c r="J14" s="116">
        <f>J9*'Parametre EMU550'!I59</f>
        <v>562315.96274087403</v>
      </c>
      <c r="K14" s="116">
        <f>K9*'Parametre EMU550'!J59</f>
        <v>575260.62118334533</v>
      </c>
      <c r="L14" s="116">
        <f>L9*'Parametre EMU550'!K59</f>
        <v>587879.74735530664</v>
      </c>
      <c r="M14" s="116">
        <f>M9*'Parametre EMU550'!L59</f>
        <v>600693.72998858255</v>
      </c>
      <c r="N14" s="116">
        <f>N9*'Parametre EMU550'!M59</f>
        <v>614244.01483912556</v>
      </c>
      <c r="O14" s="116">
        <f>O9*'Parametre EMU550'!N59</f>
        <v>628005.2360136772</v>
      </c>
      <c r="P14" s="116">
        <f>P9*'Parametre EMU550'!O59</f>
        <v>641980.25721023697</v>
      </c>
      <c r="Q14" s="116">
        <f>Q9*'Parametre EMU550'!P59</f>
        <v>656171.9783071276</v>
      </c>
      <c r="R14" s="116">
        <f>R9*'Parametre EMU550'!Q59</f>
        <v>670583.33580023795</v>
      </c>
      <c r="S14" s="116">
        <f>S9*'Parametre EMU550'!R59</f>
        <v>677076.10756325338</v>
      </c>
      <c r="T14" s="116">
        <f>T9*'Parametre EMU550'!S59</f>
        <v>684098.67380285927</v>
      </c>
      <c r="U14" s="116">
        <f>U9*'Parametre EMU550'!T59</f>
        <v>691090.4414730689</v>
      </c>
      <c r="V14" s="116">
        <f>V9*'Parametre EMU550'!U59</f>
        <v>696939.0729995392</v>
      </c>
      <c r="W14" s="116">
        <f>W9*'Parametre EMU550'!V59</f>
        <v>702761.54563813482</v>
      </c>
      <c r="X14" s="116">
        <f>X9*'Parametre EMU550'!W59</f>
        <v>708557.94062987634</v>
      </c>
      <c r="Y14" s="116">
        <f>Y9*'Parametre EMU550'!X59</f>
        <v>714328.33899547381</v>
      </c>
      <c r="Z14" s="116">
        <f>Z9*'Parametre EMU550'!Y59</f>
        <v>720072.82153585076</v>
      </c>
      <c r="AA14" s="116">
        <f>AA9*'Parametre EMU550'!Z59</f>
        <v>726342.1452127042</v>
      </c>
      <c r="AB14" s="116">
        <f>AB9*'Parametre EMU550'!AA59</f>
        <v>732583.51130355278</v>
      </c>
      <c r="AC14" s="116">
        <f>AC9*'Parametre EMU550'!AB59</f>
        <v>738797.00656146556</v>
      </c>
      <c r="AD14" s="116">
        <f>AD9*'Parametre EMU550'!AC59</f>
        <v>744982.71750430786</v>
      </c>
      <c r="AE14" s="116">
        <f>AE9*'Parametre EMU550'!AD59</f>
        <v>751140.7304153454</v>
      </c>
      <c r="AF14" s="116">
        <f>AF9*'Parametre EMU550'!AE59</f>
        <v>756725.93974462734</v>
      </c>
      <c r="AG14" s="116">
        <f>AG9*'Parametre EMU550'!AF59</f>
        <v>762285.80367367796</v>
      </c>
      <c r="AH14" s="116">
        <f>AH9*'Parametre EMU550'!AG59</f>
        <v>767820.40124324639</v>
      </c>
      <c r="AI14" s="116">
        <f>AI9*'Parametre EMU550'!AH59</f>
        <v>773871.73826690775</v>
      </c>
      <c r="AJ14" s="116">
        <f>AJ9*'Parametre EMU550'!AI59</f>
        <v>779895.79866086959</v>
      </c>
      <c r="AK14" s="116">
        <f>AK9*'Parametre EMU550'!AJ59</f>
        <v>785892.66732630017</v>
      </c>
      <c r="AL14" s="116">
        <f>AL9*'Parametre EMU550'!AK59</f>
        <v>791862.42893386912</v>
      </c>
      <c r="AM14" s="116">
        <f>AM9*'Parametre EMU550'!AL59</f>
        <v>797805.16792434896</v>
      </c>
      <c r="AN14" s="116">
        <f>AN9*'Parametre EMU550'!AM59</f>
        <v>803720.96850915055</v>
      </c>
      <c r="AO14" s="116">
        <f>AO9*'Parametre EMU550'!AN59</f>
        <v>809609.9146709285</v>
      </c>
      <c r="AP14" s="116">
        <f>AP9*'Parametre EMU550'!AO59</f>
        <v>816540.8609245721</v>
      </c>
      <c r="AQ14" s="116">
        <f>AQ9*'Parametre EMU550'!AP59</f>
        <v>823440.84495353431</v>
      </c>
    </row>
    <row r="15" spans="2:43" x14ac:dyDescent="0.2">
      <c r="B15" s="8" t="s">
        <v>104</v>
      </c>
      <c r="C15" s="116">
        <f t="shared" si="3"/>
        <v>44975684.201713033</v>
      </c>
      <c r="D15" s="116">
        <f>D10*'Parametre EMU550'!C60</f>
        <v>0</v>
      </c>
      <c r="E15" s="116">
        <f>E10*'Parametre EMU550'!D60</f>
        <v>0</v>
      </c>
      <c r="F15" s="116">
        <f>F10*'Parametre EMU550'!E60</f>
        <v>0</v>
      </c>
      <c r="G15" s="116">
        <f>G10*'Parametre EMU550'!F60</f>
        <v>0</v>
      </c>
      <c r="H15" s="116">
        <f>H10*'Parametre EMU550'!G60</f>
        <v>480213.03423119581</v>
      </c>
      <c r="I15" s="116">
        <f>I10*'Parametre EMU550'!H60</f>
        <v>984068.39469183085</v>
      </c>
      <c r="J15" s="116">
        <f>J10*'Parametre EMU550'!I60</f>
        <v>1006669.6802189817</v>
      </c>
      <c r="K15" s="116">
        <f>K10*'Parametre EMU550'!J60</f>
        <v>1029624.5846172178</v>
      </c>
      <c r="L15" s="116">
        <f>L10*'Parametre EMU550'!K60</f>
        <v>1052937.9201353986</v>
      </c>
      <c r="M15" s="116">
        <f>M10*'Parametre EMU550'!L60</f>
        <v>1076614.5599054703</v>
      </c>
      <c r="N15" s="116">
        <f>N10*'Parametre EMU550'!M60</f>
        <v>1100659.4386789382</v>
      </c>
      <c r="O15" s="116">
        <f>O10*'Parametre EMU550'!N60</f>
        <v>1125077.5535718789</v>
      </c>
      <c r="P15" s="116">
        <f>P10*'Parametre EMU550'!O60</f>
        <v>1149873.9648188122</v>
      </c>
      <c r="Q15" s="116">
        <f>Q10*'Parametre EMU550'!P60</f>
        <v>1175053.7965353285</v>
      </c>
      <c r="R15" s="116">
        <f>R10*'Parametre EMU550'!Q60</f>
        <v>1200622.2374896989</v>
      </c>
      <c r="S15" s="116">
        <f>S10*'Parametre EMU550'!R60</f>
        <v>1212011.2601977531</v>
      </c>
      <c r="T15" s="116">
        <f>T10*'Parametre EMU550'!S60</f>
        <v>1223349.9243260315</v>
      </c>
      <c r="U15" s="116">
        <f>U10*'Parametre EMU550'!T60</f>
        <v>1236164.5147833391</v>
      </c>
      <c r="V15" s="116">
        <f>V10*'Parametre EMU550'!U60</f>
        <v>1245876.7999340638</v>
      </c>
      <c r="W15" s="116">
        <f>W10*'Parametre EMU550'!V60</f>
        <v>1257065.3219051114</v>
      </c>
      <c r="X15" s="116">
        <f>X10*'Parametre EMU550'!W60</f>
        <v>1268204.1062810612</v>
      </c>
      <c r="Y15" s="116">
        <f>Y10*'Parametre EMU550'!X60</f>
        <v>1279293.3072582292</v>
      </c>
      <c r="Z15" s="116">
        <f>Z10*'Parametre EMU550'!Y60</f>
        <v>1290333.0786150715</v>
      </c>
      <c r="AA15" s="116">
        <f>AA10*'Parametre EMU550'!Z60</f>
        <v>1301323.573713257</v>
      </c>
      <c r="AB15" s="116">
        <f>AB10*'Parametre EMU550'!AA60</f>
        <v>1312264.9454987145</v>
      </c>
      <c r="AC15" s="116">
        <f>AC10*'Parametre EMU550'!AB60</f>
        <v>1323157.3465027504</v>
      </c>
      <c r="AD15" s="116">
        <f>AD10*'Parametre EMU550'!AC60</f>
        <v>1334000.9288429997</v>
      </c>
      <c r="AE15" s="116">
        <f>AE10*'Parametre EMU550'!AD60</f>
        <v>1344795.8442244893</v>
      </c>
      <c r="AF15" s="116">
        <f>AF10*'Parametre EMU550'!AE60</f>
        <v>1355542.2439407341</v>
      </c>
      <c r="AG15" s="116">
        <f>AG10*'Parametre EMU550'!AF60</f>
        <v>1366240.2788747509</v>
      </c>
      <c r="AH15" s="116">
        <f>AH10*'Parametre EMU550'!AG60</f>
        <v>1376890.0995000429</v>
      </c>
      <c r="AI15" s="116">
        <f>AI10*'Parametre EMU550'!AH60</f>
        <v>1387491.8558817254</v>
      </c>
      <c r="AJ15" s="116">
        <f>AJ10*'Parametre EMU550'!AI60</f>
        <v>1398045.6976774838</v>
      </c>
      <c r="AK15" s="116">
        <f>AK10*'Parametre EMU550'!AJ60</f>
        <v>1408551.7741386308</v>
      </c>
      <c r="AL15" s="116">
        <f>AL10*'Parametre EMU550'!AK60</f>
        <v>1419010.2341111335</v>
      </c>
      <c r="AM15" s="116">
        <f>AM10*'Parametre EMU550'!AL60</f>
        <v>1429421.2260366685</v>
      </c>
      <c r="AN15" s="116">
        <f>AN10*'Parametre EMU550'!AM60</f>
        <v>1439784.8979535638</v>
      </c>
      <c r="AO15" s="116">
        <f>AO10*'Parametre EMU550'!AN60</f>
        <v>1450101.3974978642</v>
      </c>
      <c r="AP15" s="116">
        <f>AP10*'Parametre EMU550'!AO60</f>
        <v>1461834.1693712596</v>
      </c>
      <c r="AQ15" s="116">
        <f>AQ10*'Parametre EMU550'!AP60</f>
        <v>1473514.2097515571</v>
      </c>
    </row>
    <row r="16" spans="2:43" x14ac:dyDescent="0.2">
      <c r="B16" s="170" t="s">
        <v>283</v>
      </c>
      <c r="C16" s="172">
        <f t="shared" si="3"/>
        <v>79031891.409646094</v>
      </c>
      <c r="D16" s="172">
        <f>SUM(D13:D15)</f>
        <v>0</v>
      </c>
      <c r="E16" s="171">
        <f t="shared" ref="E16:AP16" si="4">SUM(E13:E15)</f>
        <v>0</v>
      </c>
      <c r="F16" s="171">
        <f t="shared" si="4"/>
        <v>0</v>
      </c>
      <c r="G16" s="171">
        <f t="shared" si="4"/>
        <v>0</v>
      </c>
      <c r="H16" s="171">
        <f t="shared" si="4"/>
        <v>844088.23483825161</v>
      </c>
      <c r="I16" s="171">
        <f t="shared" si="4"/>
        <v>1729541.7421266078</v>
      </c>
      <c r="J16" s="171">
        <f t="shared" si="4"/>
        <v>1769368.9556492832</v>
      </c>
      <c r="K16" s="171">
        <f t="shared" si="4"/>
        <v>1809819.7592682193</v>
      </c>
      <c r="L16" s="171">
        <f t="shared" si="4"/>
        <v>1850285.7281613054</v>
      </c>
      <c r="M16" s="171">
        <f t="shared" si="4"/>
        <v>1891380.0344563071</v>
      </c>
      <c r="N16" s="171">
        <f t="shared" si="4"/>
        <v>1933740.5121765179</v>
      </c>
      <c r="O16" s="171">
        <f t="shared" si="4"/>
        <v>1976759.0614476767</v>
      </c>
      <c r="P16" s="171">
        <f t="shared" si="4"/>
        <v>2020444.6076530442</v>
      </c>
      <c r="Q16" s="171">
        <f t="shared" si="4"/>
        <v>2064899.434550642</v>
      </c>
      <c r="R16" s="171">
        <f t="shared" si="4"/>
        <v>2110041.3135254364</v>
      </c>
      <c r="S16" s="171">
        <f t="shared" si="4"/>
        <v>2130265.1297584055</v>
      </c>
      <c r="T16" s="171">
        <f t="shared" si="4"/>
        <v>2151051.8602533778</v>
      </c>
      <c r="U16" s="171">
        <f t="shared" si="4"/>
        <v>2173273.0517964242</v>
      </c>
      <c r="V16" s="171">
        <f t="shared" si="4"/>
        <v>2190864.46028955</v>
      </c>
      <c r="W16" s="171">
        <f t="shared" si="4"/>
        <v>2209990.0807847735</v>
      </c>
      <c r="X16" s="171">
        <f t="shared" si="4"/>
        <v>2229030.4353401503</v>
      </c>
      <c r="Y16" s="171">
        <f t="shared" si="4"/>
        <v>2247985.7885169997</v>
      </c>
      <c r="Z16" s="171">
        <f t="shared" si="4"/>
        <v>2266856.4041594146</v>
      </c>
      <c r="AA16" s="171">
        <f t="shared" si="4"/>
        <v>2286285.718199301</v>
      </c>
      <c r="AB16" s="171">
        <f t="shared" si="4"/>
        <v>2305628.2475573751</v>
      </c>
      <c r="AC16" s="171">
        <f t="shared" si="4"/>
        <v>2324884.2616551709</v>
      </c>
      <c r="AD16" s="171">
        <f t="shared" si="4"/>
        <v>2344145.9717374854</v>
      </c>
      <c r="AE16" s="171">
        <f t="shared" si="4"/>
        <v>2363321.3354424015</v>
      </c>
      <c r="AF16" s="171">
        <f t="shared" si="4"/>
        <v>2381682.2792064962</v>
      </c>
      <c r="AG16" s="171">
        <f t="shared" si="4"/>
        <v>2399960.3259102171</v>
      </c>
      <c r="AH16" s="171">
        <f t="shared" si="4"/>
        <v>2418246.9429151127</v>
      </c>
      <c r="AI16" s="171">
        <f t="shared" si="4"/>
        <v>2436992.74059828</v>
      </c>
      <c r="AJ16" s="171">
        <f t="shared" si="4"/>
        <v>2455653.8821029435</v>
      </c>
      <c r="AK16" s="171">
        <f t="shared" si="4"/>
        <v>2474230.6310706181</v>
      </c>
      <c r="AL16" s="171">
        <f t="shared" si="4"/>
        <v>2492813.732156374</v>
      </c>
      <c r="AM16" s="171">
        <f t="shared" si="4"/>
        <v>2511312.6039152956</v>
      </c>
      <c r="AN16" s="171">
        <f t="shared" si="4"/>
        <v>2529727.508932251</v>
      </c>
      <c r="AO16" s="171">
        <f t="shared" si="4"/>
        <v>2548058.7090786826</v>
      </c>
      <c r="AP16" s="171">
        <f t="shared" si="4"/>
        <v>2569107.8138747327</v>
      </c>
      <c r="AQ16" s="171">
        <f t="shared" ref="AQ16" si="5">SUM(AQ13:AQ15)</f>
        <v>2590152.1105409767</v>
      </c>
    </row>
    <row r="18" spans="2:43" x14ac:dyDescent="0.2">
      <c r="B18" s="1"/>
    </row>
    <row r="19" spans="2:43" x14ac:dyDescent="0.2">
      <c r="B19" s="3"/>
      <c r="C19" s="3"/>
      <c r="D19" s="3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2:43" x14ac:dyDescent="0.2">
      <c r="B20" s="4"/>
      <c r="C20" s="4"/>
      <c r="D20" s="5">
        <v>1</v>
      </c>
      <c r="E20" s="5">
        <v>2</v>
      </c>
      <c r="F20" s="5">
        <v>3</v>
      </c>
      <c r="G20" s="5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  <c r="P20" s="5">
        <v>13</v>
      </c>
      <c r="Q20" s="5">
        <v>14</v>
      </c>
      <c r="R20" s="5">
        <v>15</v>
      </c>
      <c r="S20" s="5">
        <v>16</v>
      </c>
      <c r="T20" s="5">
        <v>17</v>
      </c>
      <c r="U20" s="5">
        <v>18</v>
      </c>
      <c r="V20" s="5">
        <v>19</v>
      </c>
      <c r="W20" s="5">
        <v>20</v>
      </c>
      <c r="X20" s="5">
        <v>21</v>
      </c>
      <c r="Y20" s="5">
        <v>22</v>
      </c>
      <c r="Z20" s="5">
        <v>23</v>
      </c>
      <c r="AA20" s="5">
        <v>24</v>
      </c>
      <c r="AB20" s="5">
        <v>25</v>
      </c>
      <c r="AC20" s="5">
        <v>26</v>
      </c>
      <c r="AD20" s="5">
        <v>27</v>
      </c>
      <c r="AE20" s="5">
        <v>28</v>
      </c>
      <c r="AF20" s="5">
        <v>29</v>
      </c>
      <c r="AG20" s="5">
        <v>30</v>
      </c>
      <c r="AH20" s="5">
        <v>31</v>
      </c>
      <c r="AI20" s="5">
        <v>32</v>
      </c>
      <c r="AJ20" s="5">
        <v>33</v>
      </c>
      <c r="AK20" s="5">
        <v>34</v>
      </c>
      <c r="AL20" s="5">
        <v>35</v>
      </c>
      <c r="AM20" s="5">
        <v>36</v>
      </c>
      <c r="AN20" s="5">
        <v>37</v>
      </c>
      <c r="AO20" s="5">
        <v>38</v>
      </c>
      <c r="AP20" s="5">
        <v>39</v>
      </c>
      <c r="AQ20" s="5">
        <v>40</v>
      </c>
    </row>
    <row r="21" spans="2:43" x14ac:dyDescent="0.2">
      <c r="B21" s="6" t="s">
        <v>668</v>
      </c>
      <c r="C21" s="229" t="s">
        <v>9</v>
      </c>
      <c r="D21" s="7">
        <f>D4</f>
        <v>2026</v>
      </c>
      <c r="E21" s="7">
        <f>$D$4+D20</f>
        <v>2027</v>
      </c>
      <c r="F21" s="7">
        <f>$D$4+E20</f>
        <v>2028</v>
      </c>
      <c r="G21" s="7">
        <f t="shared" ref="G21:AQ21" si="6">$D$4+F20</f>
        <v>2029</v>
      </c>
      <c r="H21" s="7">
        <f t="shared" si="6"/>
        <v>2030</v>
      </c>
      <c r="I21" s="7">
        <f t="shared" si="6"/>
        <v>2031</v>
      </c>
      <c r="J21" s="7">
        <f t="shared" si="6"/>
        <v>2032</v>
      </c>
      <c r="K21" s="7">
        <f t="shared" si="6"/>
        <v>2033</v>
      </c>
      <c r="L21" s="7">
        <f t="shared" si="6"/>
        <v>2034</v>
      </c>
      <c r="M21" s="7">
        <f t="shared" si="6"/>
        <v>2035</v>
      </c>
      <c r="N21" s="7">
        <f t="shared" si="6"/>
        <v>2036</v>
      </c>
      <c r="O21" s="7">
        <f t="shared" si="6"/>
        <v>2037</v>
      </c>
      <c r="P21" s="7">
        <f t="shared" si="6"/>
        <v>2038</v>
      </c>
      <c r="Q21" s="7">
        <f t="shared" si="6"/>
        <v>2039</v>
      </c>
      <c r="R21" s="7">
        <f t="shared" si="6"/>
        <v>2040</v>
      </c>
      <c r="S21" s="7">
        <f t="shared" si="6"/>
        <v>2041</v>
      </c>
      <c r="T21" s="7">
        <f t="shared" si="6"/>
        <v>2042</v>
      </c>
      <c r="U21" s="7">
        <f t="shared" si="6"/>
        <v>2043</v>
      </c>
      <c r="V21" s="7">
        <f t="shared" si="6"/>
        <v>2044</v>
      </c>
      <c r="W21" s="7">
        <f t="shared" si="6"/>
        <v>2045</v>
      </c>
      <c r="X21" s="7">
        <f t="shared" si="6"/>
        <v>2046</v>
      </c>
      <c r="Y21" s="7">
        <f t="shared" si="6"/>
        <v>2047</v>
      </c>
      <c r="Z21" s="7">
        <f t="shared" si="6"/>
        <v>2048</v>
      </c>
      <c r="AA21" s="7">
        <f t="shared" si="6"/>
        <v>2049</v>
      </c>
      <c r="AB21" s="7">
        <f t="shared" si="6"/>
        <v>2050</v>
      </c>
      <c r="AC21" s="7">
        <f t="shared" si="6"/>
        <v>2051</v>
      </c>
      <c r="AD21" s="7">
        <f t="shared" si="6"/>
        <v>2052</v>
      </c>
      <c r="AE21" s="7">
        <f t="shared" si="6"/>
        <v>2053</v>
      </c>
      <c r="AF21" s="7">
        <f t="shared" si="6"/>
        <v>2054</v>
      </c>
      <c r="AG21" s="7">
        <f t="shared" si="6"/>
        <v>2055</v>
      </c>
      <c r="AH21" s="7">
        <f t="shared" si="6"/>
        <v>2056</v>
      </c>
      <c r="AI21" s="7">
        <f t="shared" si="6"/>
        <v>2057</v>
      </c>
      <c r="AJ21" s="7">
        <f t="shared" si="6"/>
        <v>2058</v>
      </c>
      <c r="AK21" s="7">
        <f t="shared" si="6"/>
        <v>2059</v>
      </c>
      <c r="AL21" s="7">
        <f t="shared" si="6"/>
        <v>2060</v>
      </c>
      <c r="AM21" s="7">
        <f t="shared" si="6"/>
        <v>2061</v>
      </c>
      <c r="AN21" s="7">
        <f t="shared" si="6"/>
        <v>2062</v>
      </c>
      <c r="AO21" s="7">
        <f t="shared" si="6"/>
        <v>2063</v>
      </c>
      <c r="AP21" s="7">
        <f t="shared" si="6"/>
        <v>2064</v>
      </c>
      <c r="AQ21" s="7">
        <f t="shared" si="6"/>
        <v>2065</v>
      </c>
    </row>
    <row r="22" spans="2:43" x14ac:dyDescent="0.2">
      <c r="B22" s="3" t="s">
        <v>33</v>
      </c>
      <c r="C22" s="116">
        <f>SUM(D22:AP22)</f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0">
        <v>0</v>
      </c>
      <c r="AL22" s="120">
        <v>0</v>
      </c>
      <c r="AM22" s="120">
        <v>0</v>
      </c>
      <c r="AN22" s="120">
        <v>0</v>
      </c>
      <c r="AO22" s="120">
        <v>0</v>
      </c>
      <c r="AP22" s="120">
        <v>0</v>
      </c>
      <c r="AQ22" s="120">
        <v>0</v>
      </c>
    </row>
    <row r="23" spans="2:43" x14ac:dyDescent="0.2">
      <c r="B23" s="3" t="s">
        <v>34</v>
      </c>
      <c r="C23" s="116">
        <f t="shared" ref="C23:C32" si="7">SUM(D23:AP23)</f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</row>
    <row r="24" spans="2:43" ht="12" thickBot="1" x14ac:dyDescent="0.25">
      <c r="B24" s="27" t="s">
        <v>195</v>
      </c>
      <c r="C24" s="116">
        <f t="shared" si="7"/>
        <v>0</v>
      </c>
      <c r="D24" s="117">
        <f>D22-D23</f>
        <v>0</v>
      </c>
      <c r="E24" s="117">
        <f t="shared" ref="E24:AP24" si="8">E22-E23</f>
        <v>0</v>
      </c>
      <c r="F24" s="117">
        <f t="shared" si="8"/>
        <v>0</v>
      </c>
      <c r="G24" s="117">
        <f t="shared" si="8"/>
        <v>0</v>
      </c>
      <c r="H24" s="117">
        <f t="shared" si="8"/>
        <v>0</v>
      </c>
      <c r="I24" s="117">
        <f t="shared" si="8"/>
        <v>0</v>
      </c>
      <c r="J24" s="117">
        <f t="shared" si="8"/>
        <v>0</v>
      </c>
      <c r="K24" s="117">
        <f t="shared" si="8"/>
        <v>0</v>
      </c>
      <c r="L24" s="117">
        <f t="shared" si="8"/>
        <v>0</v>
      </c>
      <c r="M24" s="117">
        <f t="shared" si="8"/>
        <v>0</v>
      </c>
      <c r="N24" s="117">
        <f t="shared" si="8"/>
        <v>0</v>
      </c>
      <c r="O24" s="117">
        <f t="shared" si="8"/>
        <v>0</v>
      </c>
      <c r="P24" s="117">
        <f t="shared" si="8"/>
        <v>0</v>
      </c>
      <c r="Q24" s="117">
        <f t="shared" si="8"/>
        <v>0</v>
      </c>
      <c r="R24" s="117">
        <f t="shared" si="8"/>
        <v>0</v>
      </c>
      <c r="S24" s="117">
        <f t="shared" si="8"/>
        <v>0</v>
      </c>
      <c r="T24" s="117">
        <f t="shared" si="8"/>
        <v>0</v>
      </c>
      <c r="U24" s="117">
        <f t="shared" si="8"/>
        <v>0</v>
      </c>
      <c r="V24" s="117">
        <f t="shared" si="8"/>
        <v>0</v>
      </c>
      <c r="W24" s="117">
        <f t="shared" si="8"/>
        <v>0</v>
      </c>
      <c r="X24" s="117">
        <f t="shared" si="8"/>
        <v>0</v>
      </c>
      <c r="Y24" s="117">
        <f t="shared" si="8"/>
        <v>0</v>
      </c>
      <c r="Z24" s="117">
        <f t="shared" si="8"/>
        <v>0</v>
      </c>
      <c r="AA24" s="117">
        <f t="shared" si="8"/>
        <v>0</v>
      </c>
      <c r="AB24" s="117">
        <f t="shared" si="8"/>
        <v>0</v>
      </c>
      <c r="AC24" s="117">
        <f t="shared" si="8"/>
        <v>0</v>
      </c>
      <c r="AD24" s="117">
        <f t="shared" si="8"/>
        <v>0</v>
      </c>
      <c r="AE24" s="117">
        <f t="shared" si="8"/>
        <v>0</v>
      </c>
      <c r="AF24" s="117">
        <f t="shared" si="8"/>
        <v>0</v>
      </c>
      <c r="AG24" s="117">
        <f t="shared" si="8"/>
        <v>0</v>
      </c>
      <c r="AH24" s="117">
        <f t="shared" si="8"/>
        <v>0</v>
      </c>
      <c r="AI24" s="117">
        <f t="shared" si="8"/>
        <v>0</v>
      </c>
      <c r="AJ24" s="117">
        <f t="shared" si="8"/>
        <v>0</v>
      </c>
      <c r="AK24" s="117">
        <f t="shared" si="8"/>
        <v>0</v>
      </c>
      <c r="AL24" s="117">
        <f t="shared" si="8"/>
        <v>0</v>
      </c>
      <c r="AM24" s="117">
        <f t="shared" si="8"/>
        <v>0</v>
      </c>
      <c r="AN24" s="117">
        <f t="shared" si="8"/>
        <v>0</v>
      </c>
      <c r="AO24" s="117">
        <f t="shared" si="8"/>
        <v>0</v>
      </c>
      <c r="AP24" s="117">
        <f t="shared" si="8"/>
        <v>0</v>
      </c>
      <c r="AQ24" s="117">
        <f t="shared" ref="AQ24" si="9">AQ22-AQ23</f>
        <v>0</v>
      </c>
    </row>
    <row r="25" spans="2:43" ht="12" thickTop="1" x14ac:dyDescent="0.2">
      <c r="B25" s="29" t="s">
        <v>147</v>
      </c>
      <c r="C25" s="116">
        <f t="shared" si="7"/>
        <v>0</v>
      </c>
      <c r="D25" s="118">
        <f>D24*'Parametre EMU550'!$C$54</f>
        <v>0</v>
      </c>
      <c r="E25" s="118">
        <f>E24*'Parametre EMU550'!$C$54</f>
        <v>0</v>
      </c>
      <c r="F25" s="118">
        <f>F24*'Parametre EMU550'!$C$54</f>
        <v>0</v>
      </c>
      <c r="G25" s="118">
        <f>G24*'Parametre EMU550'!$C$54</f>
        <v>0</v>
      </c>
      <c r="H25" s="118">
        <f>H24*'Parametre EMU550'!$C$54</f>
        <v>0</v>
      </c>
      <c r="I25" s="118">
        <f>I24*'Parametre EMU550'!$C$54</f>
        <v>0</v>
      </c>
      <c r="J25" s="118">
        <f>J24*'Parametre EMU550'!$C$54</f>
        <v>0</v>
      </c>
      <c r="K25" s="118">
        <f>K24*'Parametre EMU550'!$C$54</f>
        <v>0</v>
      </c>
      <c r="L25" s="118">
        <f>L24*'Parametre EMU550'!$C$54</f>
        <v>0</v>
      </c>
      <c r="M25" s="118">
        <f>M24*'Parametre EMU550'!$C$54</f>
        <v>0</v>
      </c>
      <c r="N25" s="118">
        <f>N24*'Parametre EMU550'!$C$54</f>
        <v>0</v>
      </c>
      <c r="O25" s="118">
        <f>O24*'Parametre EMU550'!$C$54</f>
        <v>0</v>
      </c>
      <c r="P25" s="118">
        <f>P24*'Parametre EMU550'!$C$54</f>
        <v>0</v>
      </c>
      <c r="Q25" s="118">
        <f>Q24*'Parametre EMU550'!$C$54</f>
        <v>0</v>
      </c>
      <c r="R25" s="118">
        <f>R24*'Parametre EMU550'!$C$54</f>
        <v>0</v>
      </c>
      <c r="S25" s="118">
        <f>S24*'Parametre EMU550'!$C$54</f>
        <v>0</v>
      </c>
      <c r="T25" s="118">
        <f>T24*'Parametre EMU550'!$C$54</f>
        <v>0</v>
      </c>
      <c r="U25" s="118">
        <f>U24*'Parametre EMU550'!$C$54</f>
        <v>0</v>
      </c>
      <c r="V25" s="118">
        <f>V24*'Parametre EMU550'!$C$54</f>
        <v>0</v>
      </c>
      <c r="W25" s="118">
        <f>W24*'Parametre EMU550'!$C$54</f>
        <v>0</v>
      </c>
      <c r="X25" s="118">
        <f>X24*'Parametre EMU550'!$C$54</f>
        <v>0</v>
      </c>
      <c r="Y25" s="118">
        <f>Y24*'Parametre EMU550'!$C$54</f>
        <v>0</v>
      </c>
      <c r="Z25" s="118">
        <f>Z24*'Parametre EMU550'!$C$54</f>
        <v>0</v>
      </c>
      <c r="AA25" s="118">
        <f>AA24*'Parametre EMU550'!$C$54</f>
        <v>0</v>
      </c>
      <c r="AB25" s="118">
        <f>AB24*'Parametre EMU550'!$C$54</f>
        <v>0</v>
      </c>
      <c r="AC25" s="118">
        <f>AC24*'Parametre EMU550'!$C$54</f>
        <v>0</v>
      </c>
      <c r="AD25" s="118">
        <f>AD24*'Parametre EMU550'!$C$54</f>
        <v>0</v>
      </c>
      <c r="AE25" s="118">
        <f>AE24*'Parametre EMU550'!$C$54</f>
        <v>0</v>
      </c>
      <c r="AF25" s="118">
        <f>AF24*'Parametre EMU550'!$C$54</f>
        <v>0</v>
      </c>
      <c r="AG25" s="118">
        <f>AG24*'Parametre EMU550'!$C$54</f>
        <v>0</v>
      </c>
      <c r="AH25" s="118">
        <f>AH24*'Parametre EMU550'!$C$54</f>
        <v>0</v>
      </c>
      <c r="AI25" s="118">
        <f>AI24*'Parametre EMU550'!$C$54</f>
        <v>0</v>
      </c>
      <c r="AJ25" s="118">
        <f>AJ24*'Parametre EMU550'!$C$54</f>
        <v>0</v>
      </c>
      <c r="AK25" s="118">
        <f>AK24*'Parametre EMU550'!$C$54</f>
        <v>0</v>
      </c>
      <c r="AL25" s="118">
        <f>AL24*'Parametre EMU550'!$C$54</f>
        <v>0</v>
      </c>
      <c r="AM25" s="118">
        <f>AM24*'Parametre EMU550'!$C$54</f>
        <v>0</v>
      </c>
      <c r="AN25" s="118">
        <f>AN24*'Parametre EMU550'!$C$54</f>
        <v>0</v>
      </c>
      <c r="AO25" s="118">
        <f>AO24*'Parametre EMU550'!$C$54</f>
        <v>0</v>
      </c>
      <c r="AP25" s="118">
        <f>AP24*'Parametre EMU550'!$C$54</f>
        <v>0</v>
      </c>
      <c r="AQ25" s="118">
        <f>AQ24*'Parametre EMU550'!$C$54</f>
        <v>0</v>
      </c>
    </row>
    <row r="26" spans="2:43" x14ac:dyDescent="0.2">
      <c r="B26" s="3" t="s">
        <v>103</v>
      </c>
      <c r="C26" s="116">
        <f t="shared" si="7"/>
        <v>0</v>
      </c>
      <c r="D26" s="116">
        <f>D24*'Parametre EMU550'!$D$54</f>
        <v>0</v>
      </c>
      <c r="E26" s="116">
        <f>E24*'Parametre EMU550'!$D$54</f>
        <v>0</v>
      </c>
      <c r="F26" s="116">
        <f>F24*'Parametre EMU550'!$D$54</f>
        <v>0</v>
      </c>
      <c r="G26" s="116">
        <f>G24*'Parametre EMU550'!$D$54</f>
        <v>0</v>
      </c>
      <c r="H26" s="116">
        <f>H24*'Parametre EMU550'!$D$54</f>
        <v>0</v>
      </c>
      <c r="I26" s="116">
        <f>I24*'Parametre EMU550'!$D$54</f>
        <v>0</v>
      </c>
      <c r="J26" s="116">
        <f>J24*'Parametre EMU550'!$D$54</f>
        <v>0</v>
      </c>
      <c r="K26" s="116">
        <f>K24*'Parametre EMU550'!$D$54</f>
        <v>0</v>
      </c>
      <c r="L26" s="116">
        <f>L24*'Parametre EMU550'!$D$54</f>
        <v>0</v>
      </c>
      <c r="M26" s="116">
        <f>M24*'Parametre EMU550'!$D$54</f>
        <v>0</v>
      </c>
      <c r="N26" s="116">
        <f>N24*'Parametre EMU550'!$D$54</f>
        <v>0</v>
      </c>
      <c r="O26" s="116">
        <f>O24*'Parametre EMU550'!$D$54</f>
        <v>0</v>
      </c>
      <c r="P26" s="116">
        <f>P24*'Parametre EMU550'!$D$54</f>
        <v>0</v>
      </c>
      <c r="Q26" s="116">
        <f>Q24*'Parametre EMU550'!$D$54</f>
        <v>0</v>
      </c>
      <c r="R26" s="116">
        <f>R24*'Parametre EMU550'!$D$54</f>
        <v>0</v>
      </c>
      <c r="S26" s="116">
        <f>S24*'Parametre EMU550'!$D$54</f>
        <v>0</v>
      </c>
      <c r="T26" s="116">
        <f>T24*'Parametre EMU550'!$D$54</f>
        <v>0</v>
      </c>
      <c r="U26" s="116">
        <f>U24*'Parametre EMU550'!$D$54</f>
        <v>0</v>
      </c>
      <c r="V26" s="116">
        <f>V24*'Parametre EMU550'!$D$54</f>
        <v>0</v>
      </c>
      <c r="W26" s="116">
        <f>W24*'Parametre EMU550'!$D$54</f>
        <v>0</v>
      </c>
      <c r="X26" s="116">
        <f>X24*'Parametre EMU550'!$D$54</f>
        <v>0</v>
      </c>
      <c r="Y26" s="116">
        <f>Y24*'Parametre EMU550'!$D$54</f>
        <v>0</v>
      </c>
      <c r="Z26" s="116">
        <f>Z24*'Parametre EMU550'!$D$54</f>
        <v>0</v>
      </c>
      <c r="AA26" s="116">
        <f>AA24*'Parametre EMU550'!$D$54</f>
        <v>0</v>
      </c>
      <c r="AB26" s="116">
        <f>AB24*'Parametre EMU550'!$D$54</f>
        <v>0</v>
      </c>
      <c r="AC26" s="116">
        <f>AC24*'Parametre EMU550'!$D$54</f>
        <v>0</v>
      </c>
      <c r="AD26" s="116">
        <f>AD24*'Parametre EMU550'!$D$54</f>
        <v>0</v>
      </c>
      <c r="AE26" s="116">
        <f>AE24*'Parametre EMU550'!$D$54</f>
        <v>0</v>
      </c>
      <c r="AF26" s="116">
        <f>AF24*'Parametre EMU550'!$D$54</f>
        <v>0</v>
      </c>
      <c r="AG26" s="116">
        <f>AG24*'Parametre EMU550'!$D$54</f>
        <v>0</v>
      </c>
      <c r="AH26" s="116">
        <f>AH24*'Parametre EMU550'!$D$54</f>
        <v>0</v>
      </c>
      <c r="AI26" s="116">
        <f>AI24*'Parametre EMU550'!$D$54</f>
        <v>0</v>
      </c>
      <c r="AJ26" s="116">
        <f>AJ24*'Parametre EMU550'!$D$54</f>
        <v>0</v>
      </c>
      <c r="AK26" s="116">
        <f>AK24*'Parametre EMU550'!$D$54</f>
        <v>0</v>
      </c>
      <c r="AL26" s="116">
        <f>AL24*'Parametre EMU550'!$D$54</f>
        <v>0</v>
      </c>
      <c r="AM26" s="116">
        <f>AM24*'Parametre EMU550'!$D$54</f>
        <v>0</v>
      </c>
      <c r="AN26" s="116">
        <f>AN24*'Parametre EMU550'!$D$54</f>
        <v>0</v>
      </c>
      <c r="AO26" s="116">
        <f>AO24*'Parametre EMU550'!$D$54</f>
        <v>0</v>
      </c>
      <c r="AP26" s="116">
        <f>AP24*'Parametre EMU550'!$D$54</f>
        <v>0</v>
      </c>
      <c r="AQ26" s="116">
        <f>AQ24*'Parametre EMU550'!$D$54</f>
        <v>0</v>
      </c>
    </row>
    <row r="27" spans="2:43" x14ac:dyDescent="0.2">
      <c r="B27" s="3" t="s">
        <v>104</v>
      </c>
      <c r="C27" s="116">
        <f t="shared" si="7"/>
        <v>0</v>
      </c>
      <c r="D27" s="116">
        <f>D24*'Parametre EMU550'!$E$54</f>
        <v>0</v>
      </c>
      <c r="E27" s="116">
        <f>E24*'Parametre EMU550'!$E$54</f>
        <v>0</v>
      </c>
      <c r="F27" s="116">
        <f>F24*'Parametre EMU550'!$E$54</f>
        <v>0</v>
      </c>
      <c r="G27" s="116">
        <f>G24*'Parametre EMU550'!$E$54</f>
        <v>0</v>
      </c>
      <c r="H27" s="116">
        <f>H24*'Parametre EMU550'!$E$54</f>
        <v>0</v>
      </c>
      <c r="I27" s="116">
        <f>I24*'Parametre EMU550'!$E$54</f>
        <v>0</v>
      </c>
      <c r="J27" s="116">
        <f>J24*'Parametre EMU550'!$E$54</f>
        <v>0</v>
      </c>
      <c r="K27" s="116">
        <f>K24*'Parametre EMU550'!$E$54</f>
        <v>0</v>
      </c>
      <c r="L27" s="116">
        <f>L24*'Parametre EMU550'!$E$54</f>
        <v>0</v>
      </c>
      <c r="M27" s="116">
        <f>M24*'Parametre EMU550'!$E$54</f>
        <v>0</v>
      </c>
      <c r="N27" s="116">
        <f>N24*'Parametre EMU550'!$E$54</f>
        <v>0</v>
      </c>
      <c r="O27" s="116">
        <f>O24*'Parametre EMU550'!$E$54</f>
        <v>0</v>
      </c>
      <c r="P27" s="116">
        <f>P24*'Parametre EMU550'!$E$54</f>
        <v>0</v>
      </c>
      <c r="Q27" s="116">
        <f>Q24*'Parametre EMU550'!$E$54</f>
        <v>0</v>
      </c>
      <c r="R27" s="116">
        <f>R24*'Parametre EMU550'!$E$54</f>
        <v>0</v>
      </c>
      <c r="S27" s="116">
        <f>S24*'Parametre EMU550'!$E$54</f>
        <v>0</v>
      </c>
      <c r="T27" s="116">
        <f>T24*'Parametre EMU550'!$E$54</f>
        <v>0</v>
      </c>
      <c r="U27" s="116">
        <f>U24*'Parametre EMU550'!$E$54</f>
        <v>0</v>
      </c>
      <c r="V27" s="116">
        <f>V24*'Parametre EMU550'!$E$54</f>
        <v>0</v>
      </c>
      <c r="W27" s="116">
        <f>W24*'Parametre EMU550'!$E$54</f>
        <v>0</v>
      </c>
      <c r="X27" s="116">
        <f>X24*'Parametre EMU550'!$E$54</f>
        <v>0</v>
      </c>
      <c r="Y27" s="116">
        <f>Y24*'Parametre EMU550'!$E$54</f>
        <v>0</v>
      </c>
      <c r="Z27" s="116">
        <f>Z24*'Parametre EMU550'!$E$54</f>
        <v>0</v>
      </c>
      <c r="AA27" s="116">
        <f>AA24*'Parametre EMU550'!$E$54</f>
        <v>0</v>
      </c>
      <c r="AB27" s="116">
        <f>AB24*'Parametre EMU550'!$E$54</f>
        <v>0</v>
      </c>
      <c r="AC27" s="116">
        <f>AC24*'Parametre EMU550'!$E$54</f>
        <v>0</v>
      </c>
      <c r="AD27" s="116">
        <f>AD24*'Parametre EMU550'!$E$54</f>
        <v>0</v>
      </c>
      <c r="AE27" s="116">
        <f>AE24*'Parametre EMU550'!$E$54</f>
        <v>0</v>
      </c>
      <c r="AF27" s="116">
        <f>AF24*'Parametre EMU550'!$E$54</f>
        <v>0</v>
      </c>
      <c r="AG27" s="116">
        <f>AG24*'Parametre EMU550'!$E$54</f>
        <v>0</v>
      </c>
      <c r="AH27" s="116">
        <f>AH24*'Parametre EMU550'!$E$54</f>
        <v>0</v>
      </c>
      <c r="AI27" s="116">
        <f>AI24*'Parametre EMU550'!$E$54</f>
        <v>0</v>
      </c>
      <c r="AJ27" s="116">
        <f>AJ24*'Parametre EMU550'!$E$54</f>
        <v>0</v>
      </c>
      <c r="AK27" s="116">
        <f>AK24*'Parametre EMU550'!$E$54</f>
        <v>0</v>
      </c>
      <c r="AL27" s="116">
        <f>AL24*'Parametre EMU550'!$E$54</f>
        <v>0</v>
      </c>
      <c r="AM27" s="116">
        <f>AM24*'Parametre EMU550'!$E$54</f>
        <v>0</v>
      </c>
      <c r="AN27" s="116">
        <f>AN24*'Parametre EMU550'!$E$54</f>
        <v>0</v>
      </c>
      <c r="AO27" s="116">
        <f>AO24*'Parametre EMU550'!$E$54</f>
        <v>0</v>
      </c>
      <c r="AP27" s="116">
        <f>AP24*'Parametre EMU550'!$E$54</f>
        <v>0</v>
      </c>
      <c r="AQ27" s="116">
        <f>AQ24*'Parametre EMU550'!$E$54</f>
        <v>0</v>
      </c>
    </row>
    <row r="28" spans="2:43" x14ac:dyDescent="0.2">
      <c r="C28" s="116">
        <f t="shared" si="7"/>
        <v>0</v>
      </c>
    </row>
    <row r="29" spans="2:43" x14ac:dyDescent="0.2">
      <c r="B29" s="15" t="s">
        <v>196</v>
      </c>
      <c r="C29" s="116">
        <f t="shared" si="7"/>
        <v>0</v>
      </c>
    </row>
    <row r="30" spans="2:43" x14ac:dyDescent="0.2">
      <c r="B30" s="8" t="s">
        <v>147</v>
      </c>
      <c r="C30" s="116">
        <f t="shared" si="7"/>
        <v>0</v>
      </c>
      <c r="D30" s="116">
        <f>D25*'Parametre EMU550'!C58</f>
        <v>0</v>
      </c>
      <c r="E30" s="116">
        <f>E25*'Parametre EMU550'!D58</f>
        <v>0</v>
      </c>
      <c r="F30" s="116">
        <f>F25*'Parametre EMU550'!E58</f>
        <v>0</v>
      </c>
      <c r="G30" s="116">
        <f>G25*'Parametre EMU550'!F58</f>
        <v>0</v>
      </c>
      <c r="H30" s="116">
        <f>H25*'Parametre EMU550'!G58</f>
        <v>0</v>
      </c>
      <c r="I30" s="116">
        <f>I25*'Parametre EMU550'!H58</f>
        <v>0</v>
      </c>
      <c r="J30" s="116">
        <f>J25*'Parametre EMU550'!I58</f>
        <v>0</v>
      </c>
      <c r="K30" s="116">
        <f>K25*'Parametre EMU550'!J58</f>
        <v>0</v>
      </c>
      <c r="L30" s="116">
        <f>L25*'Parametre EMU550'!K58</f>
        <v>0</v>
      </c>
      <c r="M30" s="116">
        <f>M25*'Parametre EMU550'!L58</f>
        <v>0</v>
      </c>
      <c r="N30" s="116">
        <f>N25*'Parametre EMU550'!M58</f>
        <v>0</v>
      </c>
      <c r="O30" s="116">
        <f>O25*'Parametre EMU550'!N58</f>
        <v>0</v>
      </c>
      <c r="P30" s="116">
        <f>P25*'Parametre EMU550'!O58</f>
        <v>0</v>
      </c>
      <c r="Q30" s="116">
        <f>Q25*'Parametre EMU550'!P58</f>
        <v>0</v>
      </c>
      <c r="R30" s="116">
        <f>R25*'Parametre EMU550'!Q58</f>
        <v>0</v>
      </c>
      <c r="S30" s="116">
        <f>S25*'Parametre EMU550'!R58</f>
        <v>0</v>
      </c>
      <c r="T30" s="116">
        <f>T25*'Parametre EMU550'!S58</f>
        <v>0</v>
      </c>
      <c r="U30" s="116">
        <f>U25*'Parametre EMU550'!T58</f>
        <v>0</v>
      </c>
      <c r="V30" s="116">
        <f>V25*'Parametre EMU550'!U58</f>
        <v>0</v>
      </c>
      <c r="W30" s="116">
        <f>W25*'Parametre EMU550'!V58</f>
        <v>0</v>
      </c>
      <c r="X30" s="116">
        <f>X25*'Parametre EMU550'!W58</f>
        <v>0</v>
      </c>
      <c r="Y30" s="116">
        <f>Y25*'Parametre EMU550'!X58</f>
        <v>0</v>
      </c>
      <c r="Z30" s="116">
        <f>Z25*'Parametre EMU550'!Y58</f>
        <v>0</v>
      </c>
      <c r="AA30" s="116">
        <f>AA25*'Parametre EMU550'!Z58</f>
        <v>0</v>
      </c>
      <c r="AB30" s="116">
        <f>AB25*'Parametre EMU550'!AA58</f>
        <v>0</v>
      </c>
      <c r="AC30" s="116">
        <f>AC25*'Parametre EMU550'!AB58</f>
        <v>0</v>
      </c>
      <c r="AD30" s="116">
        <f>AD25*'Parametre EMU550'!AC58</f>
        <v>0</v>
      </c>
      <c r="AE30" s="116">
        <f>AE25*'Parametre EMU550'!AD58</f>
        <v>0</v>
      </c>
      <c r="AF30" s="116">
        <f>AF25*'Parametre EMU550'!AE58</f>
        <v>0</v>
      </c>
      <c r="AG30" s="116">
        <f>AG25*'Parametre EMU550'!AF58</f>
        <v>0</v>
      </c>
      <c r="AH30" s="116">
        <f>AH25*'Parametre EMU550'!AG58</f>
        <v>0</v>
      </c>
      <c r="AI30" s="116">
        <f>AI25*'Parametre EMU550'!AH58</f>
        <v>0</v>
      </c>
      <c r="AJ30" s="116">
        <f>AJ25*'Parametre EMU550'!AI58</f>
        <v>0</v>
      </c>
      <c r="AK30" s="116">
        <f>AK25*'Parametre EMU550'!AJ58</f>
        <v>0</v>
      </c>
      <c r="AL30" s="116">
        <f>AL25*'Parametre EMU550'!AK58</f>
        <v>0</v>
      </c>
      <c r="AM30" s="116">
        <f>AM25*'Parametre EMU550'!AL58</f>
        <v>0</v>
      </c>
      <c r="AN30" s="116">
        <f>AN25*'Parametre EMU550'!AM58</f>
        <v>0</v>
      </c>
      <c r="AO30" s="116">
        <f>AO25*'Parametre EMU550'!AN58</f>
        <v>0</v>
      </c>
      <c r="AP30" s="116">
        <f>AP25*'Parametre EMU550'!AO58</f>
        <v>0</v>
      </c>
      <c r="AQ30" s="116">
        <f>AQ25*'Parametre EMU550'!AP58</f>
        <v>0</v>
      </c>
    </row>
    <row r="31" spans="2:43" x14ac:dyDescent="0.2">
      <c r="B31" s="8" t="s">
        <v>103</v>
      </c>
      <c r="C31" s="116">
        <f t="shared" si="7"/>
        <v>0</v>
      </c>
      <c r="D31" s="116">
        <f>D26*'Parametre EMU550'!C59</f>
        <v>0</v>
      </c>
      <c r="E31" s="116">
        <f>E26*'Parametre EMU550'!D59</f>
        <v>0</v>
      </c>
      <c r="F31" s="116">
        <f>F26*'Parametre EMU550'!E59</f>
        <v>0</v>
      </c>
      <c r="G31" s="116">
        <f>G26*'Parametre EMU550'!F59</f>
        <v>0</v>
      </c>
      <c r="H31" s="116">
        <f>H26*'Parametre EMU550'!G59</f>
        <v>0</v>
      </c>
      <c r="I31" s="116">
        <f>I26*'Parametre EMU550'!H59</f>
        <v>0</v>
      </c>
      <c r="J31" s="116">
        <f>J26*'Parametre EMU550'!I59</f>
        <v>0</v>
      </c>
      <c r="K31" s="116">
        <f>K26*'Parametre EMU550'!J59</f>
        <v>0</v>
      </c>
      <c r="L31" s="116">
        <f>L26*'Parametre EMU550'!K59</f>
        <v>0</v>
      </c>
      <c r="M31" s="116">
        <f>M26*'Parametre EMU550'!L59</f>
        <v>0</v>
      </c>
      <c r="N31" s="116">
        <f>N26*'Parametre EMU550'!M59</f>
        <v>0</v>
      </c>
      <c r="O31" s="116">
        <f>O26*'Parametre EMU550'!N59</f>
        <v>0</v>
      </c>
      <c r="P31" s="116">
        <f>P26*'Parametre EMU550'!O59</f>
        <v>0</v>
      </c>
      <c r="Q31" s="116">
        <f>Q26*'Parametre EMU550'!P59</f>
        <v>0</v>
      </c>
      <c r="R31" s="116">
        <f>R26*'Parametre EMU550'!Q59</f>
        <v>0</v>
      </c>
      <c r="S31" s="116">
        <f>S26*'Parametre EMU550'!R59</f>
        <v>0</v>
      </c>
      <c r="T31" s="116">
        <f>T26*'Parametre EMU550'!S59</f>
        <v>0</v>
      </c>
      <c r="U31" s="116">
        <f>U26*'Parametre EMU550'!T59</f>
        <v>0</v>
      </c>
      <c r="V31" s="116">
        <f>V26*'Parametre EMU550'!U59</f>
        <v>0</v>
      </c>
      <c r="W31" s="116">
        <f>W26*'Parametre EMU550'!V59</f>
        <v>0</v>
      </c>
      <c r="X31" s="116">
        <f>X26*'Parametre EMU550'!W59</f>
        <v>0</v>
      </c>
      <c r="Y31" s="116">
        <f>Y26*'Parametre EMU550'!X59</f>
        <v>0</v>
      </c>
      <c r="Z31" s="116">
        <f>Z26*'Parametre EMU550'!Y59</f>
        <v>0</v>
      </c>
      <c r="AA31" s="116">
        <f>AA26*'Parametre EMU550'!Z59</f>
        <v>0</v>
      </c>
      <c r="AB31" s="116">
        <f>AB26*'Parametre EMU550'!AA59</f>
        <v>0</v>
      </c>
      <c r="AC31" s="116">
        <f>AC26*'Parametre EMU550'!AB59</f>
        <v>0</v>
      </c>
      <c r="AD31" s="116">
        <f>AD26*'Parametre EMU550'!AC59</f>
        <v>0</v>
      </c>
      <c r="AE31" s="116">
        <f>AE26*'Parametre EMU550'!AD59</f>
        <v>0</v>
      </c>
      <c r="AF31" s="116">
        <f>AF26*'Parametre EMU550'!AE59</f>
        <v>0</v>
      </c>
      <c r="AG31" s="116">
        <f>AG26*'Parametre EMU550'!AF59</f>
        <v>0</v>
      </c>
      <c r="AH31" s="116">
        <f>AH26*'Parametre EMU550'!AG59</f>
        <v>0</v>
      </c>
      <c r="AI31" s="116">
        <f>AI26*'Parametre EMU550'!AH59</f>
        <v>0</v>
      </c>
      <c r="AJ31" s="116">
        <f>AJ26*'Parametre EMU550'!AI59</f>
        <v>0</v>
      </c>
      <c r="AK31" s="116">
        <f>AK26*'Parametre EMU550'!AJ59</f>
        <v>0</v>
      </c>
      <c r="AL31" s="116">
        <f>AL26*'Parametre EMU550'!AK59</f>
        <v>0</v>
      </c>
      <c r="AM31" s="116">
        <f>AM26*'Parametre EMU550'!AL59</f>
        <v>0</v>
      </c>
      <c r="AN31" s="116">
        <f>AN26*'Parametre EMU550'!AM59</f>
        <v>0</v>
      </c>
      <c r="AO31" s="116">
        <f>AO26*'Parametre EMU550'!AN59</f>
        <v>0</v>
      </c>
      <c r="AP31" s="116">
        <f>AP26*'Parametre EMU550'!AO59</f>
        <v>0</v>
      </c>
      <c r="AQ31" s="116">
        <f>AQ26*'Parametre EMU550'!AP59</f>
        <v>0</v>
      </c>
    </row>
    <row r="32" spans="2:43" x14ac:dyDescent="0.2">
      <c r="B32" s="8" t="s">
        <v>104</v>
      </c>
      <c r="C32" s="116">
        <f t="shared" si="7"/>
        <v>0</v>
      </c>
      <c r="D32" s="116">
        <f>D27*'Parametre EMU550'!C60</f>
        <v>0</v>
      </c>
      <c r="E32" s="116">
        <f>E27*'Parametre EMU550'!D60</f>
        <v>0</v>
      </c>
      <c r="F32" s="116">
        <f>F27*'Parametre EMU550'!E60</f>
        <v>0</v>
      </c>
      <c r="G32" s="116">
        <f>G27*'Parametre EMU550'!F60</f>
        <v>0</v>
      </c>
      <c r="H32" s="116">
        <f>H27*'Parametre EMU550'!G60</f>
        <v>0</v>
      </c>
      <c r="I32" s="116">
        <f>I27*'Parametre EMU550'!H60</f>
        <v>0</v>
      </c>
      <c r="J32" s="116">
        <f>J27*'Parametre EMU550'!I60</f>
        <v>0</v>
      </c>
      <c r="K32" s="116">
        <f>K27*'Parametre EMU550'!J60</f>
        <v>0</v>
      </c>
      <c r="L32" s="116">
        <f>L27*'Parametre EMU550'!K60</f>
        <v>0</v>
      </c>
      <c r="M32" s="116">
        <f>M27*'Parametre EMU550'!L60</f>
        <v>0</v>
      </c>
      <c r="N32" s="116">
        <f>N27*'Parametre EMU550'!M60</f>
        <v>0</v>
      </c>
      <c r="O32" s="116">
        <f>O27*'Parametre EMU550'!N60</f>
        <v>0</v>
      </c>
      <c r="P32" s="116">
        <f>P27*'Parametre EMU550'!O60</f>
        <v>0</v>
      </c>
      <c r="Q32" s="116">
        <f>Q27*'Parametre EMU550'!P60</f>
        <v>0</v>
      </c>
      <c r="R32" s="116">
        <f>R27*'Parametre EMU550'!Q60</f>
        <v>0</v>
      </c>
      <c r="S32" s="116">
        <f>S27*'Parametre EMU550'!R60</f>
        <v>0</v>
      </c>
      <c r="T32" s="116">
        <f>T27*'Parametre EMU550'!S60</f>
        <v>0</v>
      </c>
      <c r="U32" s="116">
        <f>U27*'Parametre EMU550'!T60</f>
        <v>0</v>
      </c>
      <c r="V32" s="116">
        <f>V27*'Parametre EMU550'!U60</f>
        <v>0</v>
      </c>
      <c r="W32" s="116">
        <f>W27*'Parametre EMU550'!V60</f>
        <v>0</v>
      </c>
      <c r="X32" s="116">
        <f>X27*'Parametre EMU550'!W60</f>
        <v>0</v>
      </c>
      <c r="Y32" s="116">
        <f>Y27*'Parametre EMU550'!X60</f>
        <v>0</v>
      </c>
      <c r="Z32" s="116">
        <f>Z27*'Parametre EMU550'!Y60</f>
        <v>0</v>
      </c>
      <c r="AA32" s="116">
        <f>AA27*'Parametre EMU550'!Z60</f>
        <v>0</v>
      </c>
      <c r="AB32" s="116">
        <f>AB27*'Parametre EMU550'!AA60</f>
        <v>0</v>
      </c>
      <c r="AC32" s="116">
        <f>AC27*'Parametre EMU550'!AB60</f>
        <v>0</v>
      </c>
      <c r="AD32" s="116">
        <f>AD27*'Parametre EMU550'!AC60</f>
        <v>0</v>
      </c>
      <c r="AE32" s="116">
        <f>AE27*'Parametre EMU550'!AD60</f>
        <v>0</v>
      </c>
      <c r="AF32" s="116">
        <f>AF27*'Parametre EMU550'!AE60</f>
        <v>0</v>
      </c>
      <c r="AG32" s="116">
        <f>AG27*'Parametre EMU550'!AF60</f>
        <v>0</v>
      </c>
      <c r="AH32" s="116">
        <f>AH27*'Parametre EMU550'!AG60</f>
        <v>0</v>
      </c>
      <c r="AI32" s="116">
        <f>AI27*'Parametre EMU550'!AH60</f>
        <v>0</v>
      </c>
      <c r="AJ32" s="116">
        <f>AJ27*'Parametre EMU550'!AI60</f>
        <v>0</v>
      </c>
      <c r="AK32" s="116">
        <f>AK27*'Parametre EMU550'!AJ60</f>
        <v>0</v>
      </c>
      <c r="AL32" s="116">
        <f>AL27*'Parametre EMU550'!AK60</f>
        <v>0</v>
      </c>
      <c r="AM32" s="116">
        <f>AM27*'Parametre EMU550'!AL60</f>
        <v>0</v>
      </c>
      <c r="AN32" s="116">
        <f>AN27*'Parametre EMU550'!AM60</f>
        <v>0</v>
      </c>
      <c r="AO32" s="116">
        <f>AO27*'Parametre EMU550'!AN60</f>
        <v>0</v>
      </c>
      <c r="AP32" s="116">
        <f>AP27*'Parametre EMU550'!AO60</f>
        <v>0</v>
      </c>
      <c r="AQ32" s="116">
        <f>AQ27*'Parametre EMU550'!AP60</f>
        <v>0</v>
      </c>
    </row>
    <row r="33" spans="2:43" x14ac:dyDescent="0.2">
      <c r="B33" s="226" t="s">
        <v>283</v>
      </c>
      <c r="C33" s="227">
        <f>SUM(D33:AP33)</f>
        <v>0</v>
      </c>
      <c r="D33" s="228">
        <f>SUM(D30:D32)</f>
        <v>0</v>
      </c>
      <c r="E33" s="227">
        <f t="shared" ref="E33:AP33" si="10">SUM(E30:E32)</f>
        <v>0</v>
      </c>
      <c r="F33" s="227">
        <f t="shared" si="10"/>
        <v>0</v>
      </c>
      <c r="G33" s="227">
        <f t="shared" si="10"/>
        <v>0</v>
      </c>
      <c r="H33" s="227">
        <f t="shared" si="10"/>
        <v>0</v>
      </c>
      <c r="I33" s="227">
        <f t="shared" si="10"/>
        <v>0</v>
      </c>
      <c r="J33" s="227">
        <f t="shared" si="10"/>
        <v>0</v>
      </c>
      <c r="K33" s="227">
        <f t="shared" si="10"/>
        <v>0</v>
      </c>
      <c r="L33" s="227">
        <f t="shared" si="10"/>
        <v>0</v>
      </c>
      <c r="M33" s="227">
        <f t="shared" si="10"/>
        <v>0</v>
      </c>
      <c r="N33" s="227">
        <f t="shared" si="10"/>
        <v>0</v>
      </c>
      <c r="O33" s="227">
        <f t="shared" si="10"/>
        <v>0</v>
      </c>
      <c r="P33" s="227">
        <f t="shared" si="10"/>
        <v>0</v>
      </c>
      <c r="Q33" s="227">
        <f t="shared" si="10"/>
        <v>0</v>
      </c>
      <c r="R33" s="227">
        <f t="shared" si="10"/>
        <v>0</v>
      </c>
      <c r="S33" s="227">
        <f t="shared" si="10"/>
        <v>0</v>
      </c>
      <c r="T33" s="227">
        <f t="shared" si="10"/>
        <v>0</v>
      </c>
      <c r="U33" s="227">
        <f t="shared" si="10"/>
        <v>0</v>
      </c>
      <c r="V33" s="227">
        <f t="shared" si="10"/>
        <v>0</v>
      </c>
      <c r="W33" s="227">
        <f t="shared" si="10"/>
        <v>0</v>
      </c>
      <c r="X33" s="227">
        <f t="shared" si="10"/>
        <v>0</v>
      </c>
      <c r="Y33" s="227">
        <f t="shared" si="10"/>
        <v>0</v>
      </c>
      <c r="Z33" s="227">
        <f t="shared" si="10"/>
        <v>0</v>
      </c>
      <c r="AA33" s="227">
        <f t="shared" si="10"/>
        <v>0</v>
      </c>
      <c r="AB33" s="227">
        <f t="shared" si="10"/>
        <v>0</v>
      </c>
      <c r="AC33" s="227">
        <f t="shared" si="10"/>
        <v>0</v>
      </c>
      <c r="AD33" s="227">
        <f t="shared" si="10"/>
        <v>0</v>
      </c>
      <c r="AE33" s="227">
        <f t="shared" si="10"/>
        <v>0</v>
      </c>
      <c r="AF33" s="227">
        <f t="shared" si="10"/>
        <v>0</v>
      </c>
      <c r="AG33" s="227">
        <f t="shared" si="10"/>
        <v>0</v>
      </c>
      <c r="AH33" s="227">
        <f t="shared" si="10"/>
        <v>0</v>
      </c>
      <c r="AI33" s="227">
        <f t="shared" si="10"/>
        <v>0</v>
      </c>
      <c r="AJ33" s="227">
        <f t="shared" si="10"/>
        <v>0</v>
      </c>
      <c r="AK33" s="227">
        <f t="shared" si="10"/>
        <v>0</v>
      </c>
      <c r="AL33" s="227">
        <f t="shared" si="10"/>
        <v>0</v>
      </c>
      <c r="AM33" s="227">
        <f t="shared" si="10"/>
        <v>0</v>
      </c>
      <c r="AN33" s="227">
        <f t="shared" si="10"/>
        <v>0</v>
      </c>
      <c r="AO33" s="227">
        <f t="shared" si="10"/>
        <v>0</v>
      </c>
      <c r="AP33" s="227">
        <f t="shared" si="10"/>
        <v>0</v>
      </c>
      <c r="AQ33" s="227">
        <f t="shared" ref="AQ33" si="11">SUM(AQ30:AQ32)</f>
        <v>0</v>
      </c>
    </row>
    <row r="34" spans="2:43" x14ac:dyDescent="0.2">
      <c r="B34" s="1" t="s">
        <v>387</v>
      </c>
    </row>
    <row r="36" spans="2:43" x14ac:dyDescent="0.2">
      <c r="B36" s="3"/>
      <c r="C36" s="3"/>
      <c r="D36" s="3" t="s">
        <v>10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2:43" x14ac:dyDescent="0.2">
      <c r="B37" s="4"/>
      <c r="C37" s="4"/>
      <c r="D37" s="5">
        <v>1</v>
      </c>
      <c r="E37" s="5">
        <v>2</v>
      </c>
      <c r="F37" s="5">
        <v>3</v>
      </c>
      <c r="G37" s="5">
        <v>4</v>
      </c>
      <c r="H37" s="5">
        <v>5</v>
      </c>
      <c r="I37" s="5">
        <v>6</v>
      </c>
      <c r="J37" s="5">
        <v>7</v>
      </c>
      <c r="K37" s="5">
        <v>8</v>
      </c>
      <c r="L37" s="5">
        <v>9</v>
      </c>
      <c r="M37" s="5">
        <v>10</v>
      </c>
      <c r="N37" s="5">
        <v>11</v>
      </c>
      <c r="O37" s="5">
        <v>12</v>
      </c>
      <c r="P37" s="5">
        <v>13</v>
      </c>
      <c r="Q37" s="5">
        <v>14</v>
      </c>
      <c r="R37" s="5">
        <v>15</v>
      </c>
      <c r="S37" s="5">
        <v>16</v>
      </c>
      <c r="T37" s="5">
        <v>17</v>
      </c>
      <c r="U37" s="5">
        <v>18</v>
      </c>
      <c r="V37" s="5">
        <v>19</v>
      </c>
      <c r="W37" s="5">
        <v>20</v>
      </c>
      <c r="X37" s="5">
        <v>21</v>
      </c>
      <c r="Y37" s="5">
        <v>22</v>
      </c>
      <c r="Z37" s="5">
        <v>23</v>
      </c>
      <c r="AA37" s="5">
        <v>24</v>
      </c>
      <c r="AB37" s="5">
        <v>25</v>
      </c>
      <c r="AC37" s="5">
        <v>26</v>
      </c>
      <c r="AD37" s="5">
        <v>27</v>
      </c>
      <c r="AE37" s="5">
        <v>28</v>
      </c>
      <c r="AF37" s="5">
        <v>29</v>
      </c>
      <c r="AG37" s="5">
        <v>30</v>
      </c>
      <c r="AH37" s="5">
        <v>31</v>
      </c>
      <c r="AI37" s="5">
        <v>32</v>
      </c>
      <c r="AJ37" s="5">
        <v>33</v>
      </c>
      <c r="AK37" s="5">
        <v>34</v>
      </c>
      <c r="AL37" s="5">
        <v>35</v>
      </c>
      <c r="AM37" s="5">
        <v>36</v>
      </c>
      <c r="AN37" s="5">
        <v>37</v>
      </c>
      <c r="AO37" s="5">
        <v>38</v>
      </c>
      <c r="AP37" s="5">
        <v>39</v>
      </c>
      <c r="AQ37" s="5">
        <v>40</v>
      </c>
    </row>
    <row r="38" spans="2:43" x14ac:dyDescent="0.2">
      <c r="B38" s="6" t="s">
        <v>669</v>
      </c>
      <c r="C38" s="229" t="s">
        <v>9</v>
      </c>
      <c r="D38" s="7">
        <f>D4</f>
        <v>2026</v>
      </c>
      <c r="E38" s="7">
        <f>$D$4+D37</f>
        <v>2027</v>
      </c>
      <c r="F38" s="7">
        <f>$D$4+E37</f>
        <v>2028</v>
      </c>
      <c r="G38" s="7">
        <f t="shared" ref="G38:AQ38" si="12">$D$4+F37</f>
        <v>2029</v>
      </c>
      <c r="H38" s="7">
        <f t="shared" si="12"/>
        <v>2030</v>
      </c>
      <c r="I38" s="7">
        <f t="shared" si="12"/>
        <v>2031</v>
      </c>
      <c r="J38" s="7">
        <f t="shared" si="12"/>
        <v>2032</v>
      </c>
      <c r="K38" s="7">
        <f t="shared" si="12"/>
        <v>2033</v>
      </c>
      <c r="L38" s="7">
        <f t="shared" si="12"/>
        <v>2034</v>
      </c>
      <c r="M38" s="7">
        <f t="shared" si="12"/>
        <v>2035</v>
      </c>
      <c r="N38" s="7">
        <f t="shared" si="12"/>
        <v>2036</v>
      </c>
      <c r="O38" s="7">
        <f t="shared" si="12"/>
        <v>2037</v>
      </c>
      <c r="P38" s="7">
        <f t="shared" si="12"/>
        <v>2038</v>
      </c>
      <c r="Q38" s="7">
        <f t="shared" si="12"/>
        <v>2039</v>
      </c>
      <c r="R38" s="7">
        <f t="shared" si="12"/>
        <v>2040</v>
      </c>
      <c r="S38" s="7">
        <f t="shared" si="12"/>
        <v>2041</v>
      </c>
      <c r="T38" s="7">
        <f t="shared" si="12"/>
        <v>2042</v>
      </c>
      <c r="U38" s="7">
        <f t="shared" si="12"/>
        <v>2043</v>
      </c>
      <c r="V38" s="7">
        <f t="shared" si="12"/>
        <v>2044</v>
      </c>
      <c r="W38" s="7">
        <f t="shared" si="12"/>
        <v>2045</v>
      </c>
      <c r="X38" s="7">
        <f t="shared" si="12"/>
        <v>2046</v>
      </c>
      <c r="Y38" s="7">
        <f t="shared" si="12"/>
        <v>2047</v>
      </c>
      <c r="Z38" s="7">
        <f t="shared" si="12"/>
        <v>2048</v>
      </c>
      <c r="AA38" s="7">
        <f t="shared" si="12"/>
        <v>2049</v>
      </c>
      <c r="AB38" s="7">
        <f t="shared" si="12"/>
        <v>2050</v>
      </c>
      <c r="AC38" s="7">
        <f t="shared" si="12"/>
        <v>2051</v>
      </c>
      <c r="AD38" s="7">
        <f t="shared" si="12"/>
        <v>2052</v>
      </c>
      <c r="AE38" s="7">
        <f t="shared" si="12"/>
        <v>2053</v>
      </c>
      <c r="AF38" s="7">
        <f t="shared" si="12"/>
        <v>2054</v>
      </c>
      <c r="AG38" s="7">
        <f t="shared" si="12"/>
        <v>2055</v>
      </c>
      <c r="AH38" s="7">
        <f t="shared" si="12"/>
        <v>2056</v>
      </c>
      <c r="AI38" s="7">
        <f t="shared" si="12"/>
        <v>2057</v>
      </c>
      <c r="AJ38" s="7">
        <f t="shared" si="12"/>
        <v>2058</v>
      </c>
      <c r="AK38" s="7">
        <f t="shared" si="12"/>
        <v>2059</v>
      </c>
      <c r="AL38" s="7">
        <f t="shared" si="12"/>
        <v>2060</v>
      </c>
      <c r="AM38" s="7">
        <f t="shared" si="12"/>
        <v>2061</v>
      </c>
      <c r="AN38" s="7">
        <f t="shared" si="12"/>
        <v>2062</v>
      </c>
      <c r="AO38" s="7">
        <f t="shared" si="12"/>
        <v>2063</v>
      </c>
      <c r="AP38" s="7">
        <f t="shared" si="12"/>
        <v>2064</v>
      </c>
      <c r="AQ38" s="7">
        <f t="shared" si="12"/>
        <v>2065</v>
      </c>
    </row>
    <row r="39" spans="2:43" x14ac:dyDescent="0.2">
      <c r="B39" s="3" t="s">
        <v>33</v>
      </c>
      <c r="C39" s="116">
        <f>SUM(D39:AP39)</f>
        <v>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</row>
    <row r="40" spans="2:43" x14ac:dyDescent="0.2">
      <c r="B40" s="3" t="s">
        <v>34</v>
      </c>
      <c r="C40" s="116">
        <f t="shared" ref="C40:C49" si="13">SUM(D40:AP40)</f>
        <v>0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2:43" ht="12" thickBot="1" x14ac:dyDescent="0.25">
      <c r="B41" s="27" t="s">
        <v>195</v>
      </c>
      <c r="C41" s="116">
        <f t="shared" si="13"/>
        <v>0</v>
      </c>
      <c r="D41" s="117">
        <f>D39-D40</f>
        <v>0</v>
      </c>
      <c r="E41" s="117">
        <f t="shared" ref="E41:AP41" si="14">E39-E40</f>
        <v>0</v>
      </c>
      <c r="F41" s="117">
        <f t="shared" si="14"/>
        <v>0</v>
      </c>
      <c r="G41" s="117">
        <f t="shared" si="14"/>
        <v>0</v>
      </c>
      <c r="H41" s="117">
        <f t="shared" si="14"/>
        <v>0</v>
      </c>
      <c r="I41" s="117">
        <f t="shared" si="14"/>
        <v>0</v>
      </c>
      <c r="J41" s="117">
        <f t="shared" si="14"/>
        <v>0</v>
      </c>
      <c r="K41" s="117">
        <f t="shared" si="14"/>
        <v>0</v>
      </c>
      <c r="L41" s="117">
        <f t="shared" si="14"/>
        <v>0</v>
      </c>
      <c r="M41" s="117">
        <f t="shared" si="14"/>
        <v>0</v>
      </c>
      <c r="N41" s="117">
        <f t="shared" si="14"/>
        <v>0</v>
      </c>
      <c r="O41" s="117">
        <f t="shared" si="14"/>
        <v>0</v>
      </c>
      <c r="P41" s="117">
        <f t="shared" si="14"/>
        <v>0</v>
      </c>
      <c r="Q41" s="117">
        <f t="shared" si="14"/>
        <v>0</v>
      </c>
      <c r="R41" s="117">
        <f t="shared" si="14"/>
        <v>0</v>
      </c>
      <c r="S41" s="117">
        <f t="shared" si="14"/>
        <v>0</v>
      </c>
      <c r="T41" s="117">
        <f t="shared" si="14"/>
        <v>0</v>
      </c>
      <c r="U41" s="117">
        <f t="shared" si="14"/>
        <v>0</v>
      </c>
      <c r="V41" s="117">
        <f t="shared" si="14"/>
        <v>0</v>
      </c>
      <c r="W41" s="117">
        <f t="shared" si="14"/>
        <v>0</v>
      </c>
      <c r="X41" s="117">
        <f t="shared" si="14"/>
        <v>0</v>
      </c>
      <c r="Y41" s="117">
        <f t="shared" si="14"/>
        <v>0</v>
      </c>
      <c r="Z41" s="117">
        <f t="shared" si="14"/>
        <v>0</v>
      </c>
      <c r="AA41" s="117">
        <f t="shared" si="14"/>
        <v>0</v>
      </c>
      <c r="AB41" s="117">
        <f t="shared" si="14"/>
        <v>0</v>
      </c>
      <c r="AC41" s="117">
        <f t="shared" si="14"/>
        <v>0</v>
      </c>
      <c r="AD41" s="117">
        <f t="shared" si="14"/>
        <v>0</v>
      </c>
      <c r="AE41" s="117">
        <f t="shared" si="14"/>
        <v>0</v>
      </c>
      <c r="AF41" s="117">
        <f t="shared" si="14"/>
        <v>0</v>
      </c>
      <c r="AG41" s="117">
        <f t="shared" si="14"/>
        <v>0</v>
      </c>
      <c r="AH41" s="117">
        <f t="shared" si="14"/>
        <v>0</v>
      </c>
      <c r="AI41" s="117">
        <f t="shared" si="14"/>
        <v>0</v>
      </c>
      <c r="AJ41" s="117">
        <f t="shared" si="14"/>
        <v>0</v>
      </c>
      <c r="AK41" s="117">
        <f t="shared" si="14"/>
        <v>0</v>
      </c>
      <c r="AL41" s="117">
        <f t="shared" si="14"/>
        <v>0</v>
      </c>
      <c r="AM41" s="117">
        <f t="shared" si="14"/>
        <v>0</v>
      </c>
      <c r="AN41" s="117">
        <f t="shared" si="14"/>
        <v>0</v>
      </c>
      <c r="AO41" s="117">
        <f t="shared" si="14"/>
        <v>0</v>
      </c>
      <c r="AP41" s="117">
        <f t="shared" si="14"/>
        <v>0</v>
      </c>
      <c r="AQ41" s="117">
        <f t="shared" ref="AQ41" si="15">AQ39-AQ40</f>
        <v>0</v>
      </c>
    </row>
    <row r="42" spans="2:43" ht="12" thickTop="1" x14ac:dyDescent="0.2">
      <c r="B42" s="29" t="s">
        <v>147</v>
      </c>
      <c r="C42" s="116">
        <f t="shared" si="13"/>
        <v>0</v>
      </c>
      <c r="D42" s="118">
        <f>D41*'Parametre EMU550'!$C$54</f>
        <v>0</v>
      </c>
      <c r="E42" s="118">
        <f>E41*'Parametre EMU550'!$C$54</f>
        <v>0</v>
      </c>
      <c r="F42" s="118">
        <f>F41*'Parametre EMU550'!$C$54</f>
        <v>0</v>
      </c>
      <c r="G42" s="118">
        <f>G41*'Parametre EMU550'!$C$54</f>
        <v>0</v>
      </c>
      <c r="H42" s="118">
        <f>H41*'Parametre EMU550'!$C$54</f>
        <v>0</v>
      </c>
      <c r="I42" s="118">
        <f>I41*'Parametre EMU550'!$C$54</f>
        <v>0</v>
      </c>
      <c r="J42" s="118">
        <f>J41*'Parametre EMU550'!$C$54</f>
        <v>0</v>
      </c>
      <c r="K42" s="118">
        <f>K41*'Parametre EMU550'!$C$54</f>
        <v>0</v>
      </c>
      <c r="L42" s="118">
        <f>L41*'Parametre EMU550'!$C$54</f>
        <v>0</v>
      </c>
      <c r="M42" s="118">
        <f>M41*'Parametre EMU550'!$C$54</f>
        <v>0</v>
      </c>
      <c r="N42" s="118">
        <f>N41*'Parametre EMU550'!$C$54</f>
        <v>0</v>
      </c>
      <c r="O42" s="118">
        <f>O41*'Parametre EMU550'!$C$54</f>
        <v>0</v>
      </c>
      <c r="P42" s="118">
        <f>P41*'Parametre EMU550'!$C$54</f>
        <v>0</v>
      </c>
      <c r="Q42" s="118">
        <f>Q41*'Parametre EMU550'!$C$54</f>
        <v>0</v>
      </c>
      <c r="R42" s="118">
        <f>R41*'Parametre EMU550'!$C$54</f>
        <v>0</v>
      </c>
      <c r="S42" s="118">
        <f>S41*'Parametre EMU550'!$C$54</f>
        <v>0</v>
      </c>
      <c r="T42" s="118">
        <f>T41*'Parametre EMU550'!$C$54</f>
        <v>0</v>
      </c>
      <c r="U42" s="118">
        <f>U41*'Parametre EMU550'!$C$54</f>
        <v>0</v>
      </c>
      <c r="V42" s="118">
        <f>V41*'Parametre EMU550'!$C$54</f>
        <v>0</v>
      </c>
      <c r="W42" s="118">
        <f>W41*'Parametre EMU550'!$C$54</f>
        <v>0</v>
      </c>
      <c r="X42" s="118">
        <f>X41*'Parametre EMU550'!$C$54</f>
        <v>0</v>
      </c>
      <c r="Y42" s="118">
        <f>Y41*'Parametre EMU550'!$C$54</f>
        <v>0</v>
      </c>
      <c r="Z42" s="118">
        <f>Z41*'Parametre EMU550'!$C$54</f>
        <v>0</v>
      </c>
      <c r="AA42" s="118">
        <f>AA41*'Parametre EMU550'!$C$54</f>
        <v>0</v>
      </c>
      <c r="AB42" s="118">
        <f>AB41*'Parametre EMU550'!$C$54</f>
        <v>0</v>
      </c>
      <c r="AC42" s="118">
        <f>AC41*'Parametre EMU550'!$C$54</f>
        <v>0</v>
      </c>
      <c r="AD42" s="118">
        <f>AD41*'Parametre EMU550'!$C$54</f>
        <v>0</v>
      </c>
      <c r="AE42" s="118">
        <f>AE41*'Parametre EMU550'!$C$54</f>
        <v>0</v>
      </c>
      <c r="AF42" s="118">
        <f>AF41*'Parametre EMU550'!$C$54</f>
        <v>0</v>
      </c>
      <c r="AG42" s="118">
        <f>AG41*'Parametre EMU550'!$C$54</f>
        <v>0</v>
      </c>
      <c r="AH42" s="118">
        <f>AH41*'Parametre EMU550'!$C$54</f>
        <v>0</v>
      </c>
      <c r="AI42" s="118">
        <f>AI41*'Parametre EMU550'!$C$54</f>
        <v>0</v>
      </c>
      <c r="AJ42" s="118">
        <f>AJ41*'Parametre EMU550'!$C$54</f>
        <v>0</v>
      </c>
      <c r="AK42" s="118">
        <f>AK41*'Parametre EMU550'!$C$54</f>
        <v>0</v>
      </c>
      <c r="AL42" s="118">
        <f>AL41*'Parametre EMU550'!$C$54</f>
        <v>0</v>
      </c>
      <c r="AM42" s="118">
        <f>AM41*'Parametre EMU550'!$C$54</f>
        <v>0</v>
      </c>
      <c r="AN42" s="118">
        <f>AN41*'Parametre EMU550'!$C$54</f>
        <v>0</v>
      </c>
      <c r="AO42" s="118">
        <f>AO41*'Parametre EMU550'!$C$54</f>
        <v>0</v>
      </c>
      <c r="AP42" s="118">
        <f>AP41*'Parametre EMU550'!$C$54</f>
        <v>0</v>
      </c>
      <c r="AQ42" s="118">
        <f>AQ41*'Parametre EMU550'!$C$54</f>
        <v>0</v>
      </c>
    </row>
    <row r="43" spans="2:43" x14ac:dyDescent="0.2">
      <c r="B43" s="3" t="s">
        <v>103</v>
      </c>
      <c r="C43" s="116">
        <f t="shared" si="13"/>
        <v>0</v>
      </c>
      <c r="D43" s="116">
        <f>D41*'Parametre EMU550'!$D$54</f>
        <v>0</v>
      </c>
      <c r="E43" s="116">
        <f>E41*'Parametre EMU550'!$D$54</f>
        <v>0</v>
      </c>
      <c r="F43" s="116">
        <f>F41*'Parametre EMU550'!$D$54</f>
        <v>0</v>
      </c>
      <c r="G43" s="116">
        <f>G41*'Parametre EMU550'!$D$54</f>
        <v>0</v>
      </c>
      <c r="H43" s="116">
        <f>H41*'Parametre EMU550'!$D$54</f>
        <v>0</v>
      </c>
      <c r="I43" s="116">
        <f>I41*'Parametre EMU550'!$D$54</f>
        <v>0</v>
      </c>
      <c r="J43" s="116">
        <f>J41*'Parametre EMU550'!$D$54</f>
        <v>0</v>
      </c>
      <c r="K43" s="116">
        <f>K41*'Parametre EMU550'!$D$54</f>
        <v>0</v>
      </c>
      <c r="L43" s="116">
        <f>L41*'Parametre EMU550'!$D$54</f>
        <v>0</v>
      </c>
      <c r="M43" s="116">
        <f>M41*'Parametre EMU550'!$D$54</f>
        <v>0</v>
      </c>
      <c r="N43" s="116">
        <f>N41*'Parametre EMU550'!$D$54</f>
        <v>0</v>
      </c>
      <c r="O43" s="116">
        <f>O41*'Parametre EMU550'!$D$54</f>
        <v>0</v>
      </c>
      <c r="P43" s="116">
        <f>P41*'Parametre EMU550'!$D$54</f>
        <v>0</v>
      </c>
      <c r="Q43" s="116">
        <f>Q41*'Parametre EMU550'!$D$54</f>
        <v>0</v>
      </c>
      <c r="R43" s="116">
        <f>R41*'Parametre EMU550'!$D$54</f>
        <v>0</v>
      </c>
      <c r="S43" s="116">
        <f>S41*'Parametre EMU550'!$D$54</f>
        <v>0</v>
      </c>
      <c r="T43" s="116">
        <f>T41*'Parametre EMU550'!$D$54</f>
        <v>0</v>
      </c>
      <c r="U43" s="116">
        <f>U41*'Parametre EMU550'!$D$54</f>
        <v>0</v>
      </c>
      <c r="V43" s="116">
        <f>V41*'Parametre EMU550'!$D$54</f>
        <v>0</v>
      </c>
      <c r="W43" s="116">
        <f>W41*'Parametre EMU550'!$D$54</f>
        <v>0</v>
      </c>
      <c r="X43" s="116">
        <f>X41*'Parametre EMU550'!$D$54</f>
        <v>0</v>
      </c>
      <c r="Y43" s="116">
        <f>Y41*'Parametre EMU550'!$D$54</f>
        <v>0</v>
      </c>
      <c r="Z43" s="116">
        <f>Z41*'Parametre EMU550'!$D$54</f>
        <v>0</v>
      </c>
      <c r="AA43" s="116">
        <f>AA41*'Parametre EMU550'!$D$54</f>
        <v>0</v>
      </c>
      <c r="AB43" s="116">
        <f>AB41*'Parametre EMU550'!$D$54</f>
        <v>0</v>
      </c>
      <c r="AC43" s="116">
        <f>AC41*'Parametre EMU550'!$D$54</f>
        <v>0</v>
      </c>
      <c r="AD43" s="116">
        <f>AD41*'Parametre EMU550'!$D$54</f>
        <v>0</v>
      </c>
      <c r="AE43" s="116">
        <f>AE41*'Parametre EMU550'!$D$54</f>
        <v>0</v>
      </c>
      <c r="AF43" s="116">
        <f>AF41*'Parametre EMU550'!$D$54</f>
        <v>0</v>
      </c>
      <c r="AG43" s="116">
        <f>AG41*'Parametre EMU550'!$D$54</f>
        <v>0</v>
      </c>
      <c r="AH43" s="116">
        <f>AH41*'Parametre EMU550'!$D$54</f>
        <v>0</v>
      </c>
      <c r="AI43" s="116">
        <f>AI41*'Parametre EMU550'!$D$54</f>
        <v>0</v>
      </c>
      <c r="AJ43" s="116">
        <f>AJ41*'Parametre EMU550'!$D$54</f>
        <v>0</v>
      </c>
      <c r="AK43" s="116">
        <f>AK41*'Parametre EMU550'!$D$54</f>
        <v>0</v>
      </c>
      <c r="AL43" s="116">
        <f>AL41*'Parametre EMU550'!$D$54</f>
        <v>0</v>
      </c>
      <c r="AM43" s="116">
        <f>AM41*'Parametre EMU550'!$D$54</f>
        <v>0</v>
      </c>
      <c r="AN43" s="116">
        <f>AN41*'Parametre EMU550'!$D$54</f>
        <v>0</v>
      </c>
      <c r="AO43" s="116">
        <f>AO41*'Parametre EMU550'!$D$54</f>
        <v>0</v>
      </c>
      <c r="AP43" s="116">
        <f>AP41*'Parametre EMU550'!$D$54</f>
        <v>0</v>
      </c>
      <c r="AQ43" s="116">
        <f>AQ41*'Parametre EMU550'!$D$54</f>
        <v>0</v>
      </c>
    </row>
    <row r="44" spans="2:43" x14ac:dyDescent="0.2">
      <c r="B44" s="3" t="s">
        <v>104</v>
      </c>
      <c r="C44" s="116">
        <f t="shared" si="13"/>
        <v>0</v>
      </c>
      <c r="D44" s="116">
        <f>D41*'Parametre EMU550'!$E$54</f>
        <v>0</v>
      </c>
      <c r="E44" s="116">
        <f>E41*'Parametre EMU550'!$E$54</f>
        <v>0</v>
      </c>
      <c r="F44" s="116">
        <f>F41*'Parametre EMU550'!$E$54</f>
        <v>0</v>
      </c>
      <c r="G44" s="116">
        <f>G41*'Parametre EMU550'!$E$54</f>
        <v>0</v>
      </c>
      <c r="H44" s="116">
        <f>H41*'Parametre EMU550'!$E$54</f>
        <v>0</v>
      </c>
      <c r="I44" s="116">
        <f>I41*'Parametre EMU550'!$E$54</f>
        <v>0</v>
      </c>
      <c r="J44" s="116">
        <f>J41*'Parametre EMU550'!$E$54</f>
        <v>0</v>
      </c>
      <c r="K44" s="116">
        <f>K41*'Parametre EMU550'!$E$54</f>
        <v>0</v>
      </c>
      <c r="L44" s="116">
        <f>L41*'Parametre EMU550'!$E$54</f>
        <v>0</v>
      </c>
      <c r="M44" s="116">
        <f>M41*'Parametre EMU550'!$E$54</f>
        <v>0</v>
      </c>
      <c r="N44" s="116">
        <f>N41*'Parametre EMU550'!$E$54</f>
        <v>0</v>
      </c>
      <c r="O44" s="116">
        <f>O41*'Parametre EMU550'!$E$54</f>
        <v>0</v>
      </c>
      <c r="P44" s="116">
        <f>P41*'Parametre EMU550'!$E$54</f>
        <v>0</v>
      </c>
      <c r="Q44" s="116">
        <f>Q41*'Parametre EMU550'!$E$54</f>
        <v>0</v>
      </c>
      <c r="R44" s="116">
        <f>R41*'Parametre EMU550'!$E$54</f>
        <v>0</v>
      </c>
      <c r="S44" s="116">
        <f>S41*'Parametre EMU550'!$E$54</f>
        <v>0</v>
      </c>
      <c r="T44" s="116">
        <f>T41*'Parametre EMU550'!$E$54</f>
        <v>0</v>
      </c>
      <c r="U44" s="116">
        <f>U41*'Parametre EMU550'!$E$54</f>
        <v>0</v>
      </c>
      <c r="V44" s="116">
        <f>V41*'Parametre EMU550'!$E$54</f>
        <v>0</v>
      </c>
      <c r="W44" s="116">
        <f>W41*'Parametre EMU550'!$E$54</f>
        <v>0</v>
      </c>
      <c r="X44" s="116">
        <f>X41*'Parametre EMU550'!$E$54</f>
        <v>0</v>
      </c>
      <c r="Y44" s="116">
        <f>Y41*'Parametre EMU550'!$E$54</f>
        <v>0</v>
      </c>
      <c r="Z44" s="116">
        <f>Z41*'Parametre EMU550'!$E$54</f>
        <v>0</v>
      </c>
      <c r="AA44" s="116">
        <f>AA41*'Parametre EMU550'!$E$54</f>
        <v>0</v>
      </c>
      <c r="AB44" s="116">
        <f>AB41*'Parametre EMU550'!$E$54</f>
        <v>0</v>
      </c>
      <c r="AC44" s="116">
        <f>AC41*'Parametre EMU550'!$E$54</f>
        <v>0</v>
      </c>
      <c r="AD44" s="116">
        <f>AD41*'Parametre EMU550'!$E$54</f>
        <v>0</v>
      </c>
      <c r="AE44" s="116">
        <f>AE41*'Parametre EMU550'!$E$54</f>
        <v>0</v>
      </c>
      <c r="AF44" s="116">
        <f>AF41*'Parametre EMU550'!$E$54</f>
        <v>0</v>
      </c>
      <c r="AG44" s="116">
        <f>AG41*'Parametre EMU550'!$E$54</f>
        <v>0</v>
      </c>
      <c r="AH44" s="116">
        <f>AH41*'Parametre EMU550'!$E$54</f>
        <v>0</v>
      </c>
      <c r="AI44" s="116">
        <f>AI41*'Parametre EMU550'!$E$54</f>
        <v>0</v>
      </c>
      <c r="AJ44" s="116">
        <f>AJ41*'Parametre EMU550'!$E$54</f>
        <v>0</v>
      </c>
      <c r="AK44" s="116">
        <f>AK41*'Parametre EMU550'!$E$54</f>
        <v>0</v>
      </c>
      <c r="AL44" s="116">
        <f>AL41*'Parametre EMU550'!$E$54</f>
        <v>0</v>
      </c>
      <c r="AM44" s="116">
        <f>AM41*'Parametre EMU550'!$E$54</f>
        <v>0</v>
      </c>
      <c r="AN44" s="116">
        <f>AN41*'Parametre EMU550'!$E$54</f>
        <v>0</v>
      </c>
      <c r="AO44" s="116">
        <f>AO41*'Parametre EMU550'!$E$54</f>
        <v>0</v>
      </c>
      <c r="AP44" s="116">
        <f>AP41*'Parametre EMU550'!$E$54</f>
        <v>0</v>
      </c>
      <c r="AQ44" s="116">
        <f>AQ41*'Parametre EMU550'!$E$54</f>
        <v>0</v>
      </c>
    </row>
    <row r="45" spans="2:43" x14ac:dyDescent="0.2">
      <c r="C45" s="116">
        <f t="shared" si="13"/>
        <v>0</v>
      </c>
    </row>
    <row r="46" spans="2:43" x14ac:dyDescent="0.2">
      <c r="B46" s="15" t="s">
        <v>196</v>
      </c>
      <c r="C46" s="116">
        <f t="shared" si="13"/>
        <v>0</v>
      </c>
    </row>
    <row r="47" spans="2:43" x14ac:dyDescent="0.2">
      <c r="B47" s="8" t="s">
        <v>147</v>
      </c>
      <c r="C47" s="116">
        <f t="shared" si="13"/>
        <v>0</v>
      </c>
      <c r="D47" s="116">
        <f>D42*'Parametre EMU550'!C92</f>
        <v>0</v>
      </c>
      <c r="E47" s="116">
        <f>E42*'Parametre EMU550'!D92</f>
        <v>0</v>
      </c>
      <c r="F47" s="116">
        <f>F42*'Parametre EMU550'!E92</f>
        <v>0</v>
      </c>
      <c r="G47" s="116">
        <f>G42*'Parametre EMU550'!F92</f>
        <v>0</v>
      </c>
      <c r="H47" s="116">
        <f>H42*'Parametre EMU550'!G92</f>
        <v>0</v>
      </c>
      <c r="I47" s="116">
        <f>I42*'Parametre EMU550'!H92</f>
        <v>0</v>
      </c>
      <c r="J47" s="116">
        <f>J42*'Parametre EMU550'!I92</f>
        <v>0</v>
      </c>
      <c r="K47" s="116">
        <f>K42*'Parametre EMU550'!J92</f>
        <v>0</v>
      </c>
      <c r="L47" s="116">
        <f>L42*'Parametre EMU550'!K92</f>
        <v>0</v>
      </c>
      <c r="M47" s="116">
        <f>M42*'Parametre EMU550'!L92</f>
        <v>0</v>
      </c>
      <c r="N47" s="116">
        <f>N42*'Parametre EMU550'!M92</f>
        <v>0</v>
      </c>
      <c r="O47" s="116">
        <f>O42*'Parametre EMU550'!N92</f>
        <v>0</v>
      </c>
      <c r="P47" s="116">
        <f>P42*'Parametre EMU550'!O92</f>
        <v>0</v>
      </c>
      <c r="Q47" s="116">
        <f>Q42*'Parametre EMU550'!P92</f>
        <v>0</v>
      </c>
      <c r="R47" s="116">
        <f>R42*'Parametre EMU550'!Q92</f>
        <v>0</v>
      </c>
      <c r="S47" s="116">
        <f>S42*'Parametre EMU550'!R92</f>
        <v>0</v>
      </c>
      <c r="T47" s="116">
        <f>T42*'Parametre EMU550'!S92</f>
        <v>0</v>
      </c>
      <c r="U47" s="116">
        <f>U42*'Parametre EMU550'!T92</f>
        <v>0</v>
      </c>
      <c r="V47" s="116">
        <f>V42*'Parametre EMU550'!U92</f>
        <v>0</v>
      </c>
      <c r="W47" s="116">
        <f>W42*'Parametre EMU550'!V92</f>
        <v>0</v>
      </c>
      <c r="X47" s="116">
        <f>X42*'Parametre EMU550'!W92</f>
        <v>0</v>
      </c>
      <c r="Y47" s="116">
        <f>Y42*'Parametre EMU550'!X92</f>
        <v>0</v>
      </c>
      <c r="Z47" s="116">
        <f>Z42*'Parametre EMU550'!Y92</f>
        <v>0</v>
      </c>
      <c r="AA47" s="116">
        <f>AA42*'Parametre EMU550'!Z92</f>
        <v>0</v>
      </c>
      <c r="AB47" s="116">
        <f>AB42*'Parametre EMU550'!AA92</f>
        <v>0</v>
      </c>
      <c r="AC47" s="116">
        <f>AC42*'Parametre EMU550'!AB92</f>
        <v>0</v>
      </c>
      <c r="AD47" s="116">
        <f>AD42*'Parametre EMU550'!AC92</f>
        <v>0</v>
      </c>
      <c r="AE47" s="116">
        <f>AE42*'Parametre EMU550'!AD92</f>
        <v>0</v>
      </c>
      <c r="AF47" s="116">
        <f>AF42*'Parametre EMU550'!AE92</f>
        <v>0</v>
      </c>
      <c r="AG47" s="116">
        <f>AG42*'Parametre EMU550'!AF92</f>
        <v>0</v>
      </c>
      <c r="AH47" s="116">
        <f>AH42*'Parametre EMU550'!AG92</f>
        <v>0</v>
      </c>
      <c r="AI47" s="116">
        <f>AI42*'Parametre EMU550'!AH92</f>
        <v>0</v>
      </c>
      <c r="AJ47" s="116">
        <f>AJ42*'Parametre EMU550'!AI92</f>
        <v>0</v>
      </c>
      <c r="AK47" s="116">
        <f>AK42*'Parametre EMU550'!AJ92</f>
        <v>0</v>
      </c>
      <c r="AL47" s="116">
        <f>AL42*'Parametre EMU550'!AK92</f>
        <v>0</v>
      </c>
      <c r="AM47" s="116">
        <f>AM42*'Parametre EMU550'!AL92</f>
        <v>0</v>
      </c>
      <c r="AN47" s="116">
        <f>AN42*'Parametre EMU550'!AM92</f>
        <v>0</v>
      </c>
      <c r="AO47" s="116">
        <f>AO42*'Parametre EMU550'!AN92</f>
        <v>0</v>
      </c>
      <c r="AP47" s="116">
        <f>AP42*'Parametre EMU550'!AO92</f>
        <v>0</v>
      </c>
      <c r="AQ47" s="116">
        <f>AQ42*'Parametre EMU550'!AP92</f>
        <v>0</v>
      </c>
    </row>
    <row r="48" spans="2:43" x14ac:dyDescent="0.2">
      <c r="B48" s="8" t="s">
        <v>103</v>
      </c>
      <c r="C48" s="116">
        <f t="shared" si="13"/>
        <v>0</v>
      </c>
      <c r="D48" s="116">
        <f>D43*'Parametre EMU550'!C93</f>
        <v>0</v>
      </c>
      <c r="E48" s="116">
        <f>E43*'Parametre EMU550'!D93</f>
        <v>0</v>
      </c>
      <c r="F48" s="116">
        <f>F43*'Parametre EMU550'!E93</f>
        <v>0</v>
      </c>
      <c r="G48" s="116">
        <f>G43*'Parametre EMU550'!F93</f>
        <v>0</v>
      </c>
      <c r="H48" s="116">
        <f>H43*'Parametre EMU550'!G93</f>
        <v>0</v>
      </c>
      <c r="I48" s="116">
        <f>I43*'Parametre EMU550'!H93</f>
        <v>0</v>
      </c>
      <c r="J48" s="116">
        <f>J43*'Parametre EMU550'!I93</f>
        <v>0</v>
      </c>
      <c r="K48" s="116">
        <f>K43*'Parametre EMU550'!J93</f>
        <v>0</v>
      </c>
      <c r="L48" s="116">
        <f>L43*'Parametre EMU550'!K93</f>
        <v>0</v>
      </c>
      <c r="M48" s="116">
        <f>M43*'Parametre EMU550'!L93</f>
        <v>0</v>
      </c>
      <c r="N48" s="116">
        <f>N43*'Parametre EMU550'!M93</f>
        <v>0</v>
      </c>
      <c r="O48" s="116">
        <f>O43*'Parametre EMU550'!N93</f>
        <v>0</v>
      </c>
      <c r="P48" s="116">
        <f>P43*'Parametre EMU550'!O93</f>
        <v>0</v>
      </c>
      <c r="Q48" s="116">
        <f>Q43*'Parametre EMU550'!P93</f>
        <v>0</v>
      </c>
      <c r="R48" s="116">
        <f>R43*'Parametre EMU550'!Q93</f>
        <v>0</v>
      </c>
      <c r="S48" s="116">
        <f>S43*'Parametre EMU550'!R93</f>
        <v>0</v>
      </c>
      <c r="T48" s="116">
        <f>T43*'Parametre EMU550'!S93</f>
        <v>0</v>
      </c>
      <c r="U48" s="116">
        <f>U43*'Parametre EMU550'!T93</f>
        <v>0</v>
      </c>
      <c r="V48" s="116">
        <f>V43*'Parametre EMU550'!U93</f>
        <v>0</v>
      </c>
      <c r="W48" s="116">
        <f>W43*'Parametre EMU550'!V93</f>
        <v>0</v>
      </c>
      <c r="X48" s="116">
        <f>X43*'Parametre EMU550'!W93</f>
        <v>0</v>
      </c>
      <c r="Y48" s="116">
        <f>Y43*'Parametre EMU550'!X93</f>
        <v>0</v>
      </c>
      <c r="Z48" s="116">
        <f>Z43*'Parametre EMU550'!Y93</f>
        <v>0</v>
      </c>
      <c r="AA48" s="116">
        <f>AA43*'Parametre EMU550'!Z93</f>
        <v>0</v>
      </c>
      <c r="AB48" s="116">
        <f>AB43*'Parametre EMU550'!AA93</f>
        <v>0</v>
      </c>
      <c r="AC48" s="116">
        <f>AC43*'Parametre EMU550'!AB93</f>
        <v>0</v>
      </c>
      <c r="AD48" s="116">
        <f>AD43*'Parametre EMU550'!AC93</f>
        <v>0</v>
      </c>
      <c r="AE48" s="116">
        <f>AE43*'Parametre EMU550'!AD93</f>
        <v>0</v>
      </c>
      <c r="AF48" s="116">
        <f>AF43*'Parametre EMU550'!AE93</f>
        <v>0</v>
      </c>
      <c r="AG48" s="116">
        <f>AG43*'Parametre EMU550'!AF93</f>
        <v>0</v>
      </c>
      <c r="AH48" s="116">
        <f>AH43*'Parametre EMU550'!AG93</f>
        <v>0</v>
      </c>
      <c r="AI48" s="116">
        <f>AI43*'Parametre EMU550'!AH93</f>
        <v>0</v>
      </c>
      <c r="AJ48" s="116">
        <f>AJ43*'Parametre EMU550'!AI93</f>
        <v>0</v>
      </c>
      <c r="AK48" s="116">
        <f>AK43*'Parametre EMU550'!AJ93</f>
        <v>0</v>
      </c>
      <c r="AL48" s="116">
        <f>AL43*'Parametre EMU550'!AK93</f>
        <v>0</v>
      </c>
      <c r="AM48" s="116">
        <f>AM43*'Parametre EMU550'!AL93</f>
        <v>0</v>
      </c>
      <c r="AN48" s="116">
        <f>AN43*'Parametre EMU550'!AM93</f>
        <v>0</v>
      </c>
      <c r="AO48" s="116">
        <f>AO43*'Parametre EMU550'!AN93</f>
        <v>0</v>
      </c>
      <c r="AP48" s="116">
        <f>AP43*'Parametre EMU550'!AO93</f>
        <v>0</v>
      </c>
      <c r="AQ48" s="116">
        <f>AQ43*'Parametre EMU550'!AP93</f>
        <v>0</v>
      </c>
    </row>
    <row r="49" spans="2:43" x14ac:dyDescent="0.2">
      <c r="B49" s="8" t="s">
        <v>104</v>
      </c>
      <c r="C49" s="116">
        <f t="shared" si="13"/>
        <v>0</v>
      </c>
      <c r="D49" s="116">
        <f>D44*'Parametre EMU550'!C94</f>
        <v>0</v>
      </c>
      <c r="E49" s="116">
        <f>E44*'Parametre EMU550'!D94</f>
        <v>0</v>
      </c>
      <c r="F49" s="116">
        <f>F44*'Parametre EMU550'!E94</f>
        <v>0</v>
      </c>
      <c r="G49" s="116">
        <f>G44*'Parametre EMU550'!F94</f>
        <v>0</v>
      </c>
      <c r="H49" s="116">
        <f>H44*'Parametre EMU550'!G94</f>
        <v>0</v>
      </c>
      <c r="I49" s="116">
        <f>I44*'Parametre EMU550'!H94</f>
        <v>0</v>
      </c>
      <c r="J49" s="116">
        <f>J44*'Parametre EMU550'!I94</f>
        <v>0</v>
      </c>
      <c r="K49" s="116">
        <f>K44*'Parametre EMU550'!J94</f>
        <v>0</v>
      </c>
      <c r="L49" s="116">
        <f>L44*'Parametre EMU550'!K94</f>
        <v>0</v>
      </c>
      <c r="M49" s="116">
        <f>M44*'Parametre EMU550'!L94</f>
        <v>0</v>
      </c>
      <c r="N49" s="116">
        <f>N44*'Parametre EMU550'!M94</f>
        <v>0</v>
      </c>
      <c r="O49" s="116">
        <f>O44*'Parametre EMU550'!N94</f>
        <v>0</v>
      </c>
      <c r="P49" s="116">
        <f>P44*'Parametre EMU550'!O94</f>
        <v>0</v>
      </c>
      <c r="Q49" s="116">
        <f>Q44*'Parametre EMU550'!P94</f>
        <v>0</v>
      </c>
      <c r="R49" s="116">
        <f>R44*'Parametre EMU550'!Q94</f>
        <v>0</v>
      </c>
      <c r="S49" s="116">
        <f>S44*'Parametre EMU550'!R94</f>
        <v>0</v>
      </c>
      <c r="T49" s="116">
        <f>T44*'Parametre EMU550'!S94</f>
        <v>0</v>
      </c>
      <c r="U49" s="116">
        <f>U44*'Parametre EMU550'!T94</f>
        <v>0</v>
      </c>
      <c r="V49" s="116">
        <f>V44*'Parametre EMU550'!U94</f>
        <v>0</v>
      </c>
      <c r="W49" s="116">
        <f>W44*'Parametre EMU550'!V94</f>
        <v>0</v>
      </c>
      <c r="X49" s="116">
        <f>X44*'Parametre EMU550'!W94</f>
        <v>0</v>
      </c>
      <c r="Y49" s="116">
        <f>Y44*'Parametre EMU550'!X94</f>
        <v>0</v>
      </c>
      <c r="Z49" s="116">
        <f>Z44*'Parametre EMU550'!Y94</f>
        <v>0</v>
      </c>
      <c r="AA49" s="116">
        <f>AA44*'Parametre EMU550'!Z94</f>
        <v>0</v>
      </c>
      <c r="AB49" s="116">
        <f>AB44*'Parametre EMU550'!AA94</f>
        <v>0</v>
      </c>
      <c r="AC49" s="116">
        <f>AC44*'Parametre EMU550'!AB94</f>
        <v>0</v>
      </c>
      <c r="AD49" s="116">
        <f>AD44*'Parametre EMU550'!AC94</f>
        <v>0</v>
      </c>
      <c r="AE49" s="116">
        <f>AE44*'Parametre EMU550'!AD94</f>
        <v>0</v>
      </c>
      <c r="AF49" s="116">
        <f>AF44*'Parametre EMU550'!AE94</f>
        <v>0</v>
      </c>
      <c r="AG49" s="116">
        <f>AG44*'Parametre EMU550'!AF94</f>
        <v>0</v>
      </c>
      <c r="AH49" s="116">
        <f>AH44*'Parametre EMU550'!AG94</f>
        <v>0</v>
      </c>
      <c r="AI49" s="116">
        <f>AI44*'Parametre EMU550'!AH94</f>
        <v>0</v>
      </c>
      <c r="AJ49" s="116">
        <f>AJ44*'Parametre EMU550'!AI94</f>
        <v>0</v>
      </c>
      <c r="AK49" s="116">
        <f>AK44*'Parametre EMU550'!AJ94</f>
        <v>0</v>
      </c>
      <c r="AL49" s="116">
        <f>AL44*'Parametre EMU550'!AK94</f>
        <v>0</v>
      </c>
      <c r="AM49" s="116">
        <f>AM44*'Parametre EMU550'!AL94</f>
        <v>0</v>
      </c>
      <c r="AN49" s="116">
        <f>AN44*'Parametre EMU550'!AM94</f>
        <v>0</v>
      </c>
      <c r="AO49" s="116">
        <f>AO44*'Parametre EMU550'!AN94</f>
        <v>0</v>
      </c>
      <c r="AP49" s="116">
        <f>AP44*'Parametre EMU550'!AO94</f>
        <v>0</v>
      </c>
      <c r="AQ49" s="116">
        <f>AQ44*'Parametre EMU550'!AP94</f>
        <v>0</v>
      </c>
    </row>
    <row r="50" spans="2:43" x14ac:dyDescent="0.2">
      <c r="B50" s="226" t="s">
        <v>283</v>
      </c>
      <c r="C50" s="227">
        <f>SUM(D50:AP50)</f>
        <v>0</v>
      </c>
      <c r="D50" s="228">
        <f>SUM(D47:D49)</f>
        <v>0</v>
      </c>
      <c r="E50" s="227">
        <f t="shared" ref="E50:AP50" si="16">SUM(E47:E49)</f>
        <v>0</v>
      </c>
      <c r="F50" s="227">
        <f t="shared" si="16"/>
        <v>0</v>
      </c>
      <c r="G50" s="227">
        <f t="shared" si="16"/>
        <v>0</v>
      </c>
      <c r="H50" s="227">
        <f t="shared" si="16"/>
        <v>0</v>
      </c>
      <c r="I50" s="227">
        <f t="shared" si="16"/>
        <v>0</v>
      </c>
      <c r="J50" s="227">
        <f t="shared" si="16"/>
        <v>0</v>
      </c>
      <c r="K50" s="227">
        <f t="shared" si="16"/>
        <v>0</v>
      </c>
      <c r="L50" s="227">
        <f t="shared" si="16"/>
        <v>0</v>
      </c>
      <c r="M50" s="227">
        <f t="shared" si="16"/>
        <v>0</v>
      </c>
      <c r="N50" s="227">
        <f t="shared" si="16"/>
        <v>0</v>
      </c>
      <c r="O50" s="227">
        <f t="shared" si="16"/>
        <v>0</v>
      </c>
      <c r="P50" s="227">
        <f t="shared" si="16"/>
        <v>0</v>
      </c>
      <c r="Q50" s="227">
        <f t="shared" si="16"/>
        <v>0</v>
      </c>
      <c r="R50" s="227">
        <f t="shared" si="16"/>
        <v>0</v>
      </c>
      <c r="S50" s="227">
        <f t="shared" si="16"/>
        <v>0</v>
      </c>
      <c r="T50" s="227">
        <f t="shared" si="16"/>
        <v>0</v>
      </c>
      <c r="U50" s="227">
        <f t="shared" si="16"/>
        <v>0</v>
      </c>
      <c r="V50" s="227">
        <f t="shared" si="16"/>
        <v>0</v>
      </c>
      <c r="W50" s="227">
        <f t="shared" si="16"/>
        <v>0</v>
      </c>
      <c r="X50" s="227">
        <f t="shared" si="16"/>
        <v>0</v>
      </c>
      <c r="Y50" s="227">
        <f t="shared" si="16"/>
        <v>0</v>
      </c>
      <c r="Z50" s="227">
        <f t="shared" si="16"/>
        <v>0</v>
      </c>
      <c r="AA50" s="227">
        <f t="shared" si="16"/>
        <v>0</v>
      </c>
      <c r="AB50" s="227">
        <f t="shared" si="16"/>
        <v>0</v>
      </c>
      <c r="AC50" s="227">
        <f t="shared" si="16"/>
        <v>0</v>
      </c>
      <c r="AD50" s="227">
        <f t="shared" si="16"/>
        <v>0</v>
      </c>
      <c r="AE50" s="227">
        <f t="shared" si="16"/>
        <v>0</v>
      </c>
      <c r="AF50" s="227">
        <f t="shared" si="16"/>
        <v>0</v>
      </c>
      <c r="AG50" s="227">
        <f t="shared" si="16"/>
        <v>0</v>
      </c>
      <c r="AH50" s="227">
        <f t="shared" si="16"/>
        <v>0</v>
      </c>
      <c r="AI50" s="227">
        <f t="shared" si="16"/>
        <v>0</v>
      </c>
      <c r="AJ50" s="227">
        <f t="shared" si="16"/>
        <v>0</v>
      </c>
      <c r="AK50" s="227">
        <f t="shared" si="16"/>
        <v>0</v>
      </c>
      <c r="AL50" s="227">
        <f t="shared" si="16"/>
        <v>0</v>
      </c>
      <c r="AM50" s="227">
        <f t="shared" si="16"/>
        <v>0</v>
      </c>
      <c r="AN50" s="227">
        <f t="shared" si="16"/>
        <v>0</v>
      </c>
      <c r="AO50" s="227">
        <f t="shared" si="16"/>
        <v>0</v>
      </c>
      <c r="AP50" s="227">
        <f t="shared" si="16"/>
        <v>0</v>
      </c>
      <c r="AQ50" s="227">
        <f t="shared" ref="AQ50" si="17">SUM(AQ47:AQ49)</f>
        <v>0</v>
      </c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2D7A-8E0F-4A75-BA28-B9E5099C0A40}">
  <sheetPr>
    <tabColor rgb="FFCCFF99"/>
  </sheetPr>
  <dimension ref="B2:AP91"/>
  <sheetViews>
    <sheetView showWhiteSpace="0" zoomScale="90" zoomScaleNormal="90" workbookViewId="0"/>
  </sheetViews>
  <sheetFormatPr defaultColWidth="9.140625" defaultRowHeight="11.25" x14ac:dyDescent="0.2"/>
  <cols>
    <col min="1" max="1" width="2.85546875" style="231" customWidth="1"/>
    <col min="2" max="2" width="56" style="231" bestFit="1" customWidth="1"/>
    <col min="3" max="3" width="7.140625" style="231" bestFit="1" customWidth="1"/>
    <col min="4" max="42" width="5.5703125" style="231" bestFit="1" customWidth="1"/>
    <col min="43" max="16384" width="9.140625" style="231"/>
  </cols>
  <sheetData>
    <row r="2" spans="2:42" x14ac:dyDescent="0.2">
      <c r="B2" s="230"/>
      <c r="C2" s="230"/>
      <c r="D2" s="230" t="s">
        <v>10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</row>
    <row r="3" spans="2:42" x14ac:dyDescent="0.2">
      <c r="B3" s="232" t="s">
        <v>432</v>
      </c>
      <c r="C3" s="232"/>
      <c r="D3" s="237">
        <v>1</v>
      </c>
      <c r="E3" s="237">
        <v>2</v>
      </c>
      <c r="F3" s="237">
        <v>3</v>
      </c>
      <c r="G3" s="237">
        <v>4</v>
      </c>
      <c r="H3" s="237">
        <v>5</v>
      </c>
      <c r="I3" s="237">
        <v>6</v>
      </c>
      <c r="J3" s="237">
        <v>7</v>
      </c>
      <c r="K3" s="237">
        <v>8</v>
      </c>
      <c r="L3" s="237">
        <v>9</v>
      </c>
      <c r="M3" s="237">
        <v>10</v>
      </c>
      <c r="N3" s="237">
        <v>11</v>
      </c>
      <c r="O3" s="237">
        <v>12</v>
      </c>
      <c r="P3" s="237">
        <v>13</v>
      </c>
      <c r="Q3" s="237">
        <v>14</v>
      </c>
      <c r="R3" s="237">
        <v>15</v>
      </c>
      <c r="S3" s="237">
        <v>16</v>
      </c>
      <c r="T3" s="237">
        <v>17</v>
      </c>
      <c r="U3" s="237">
        <v>18</v>
      </c>
      <c r="V3" s="237">
        <v>19</v>
      </c>
      <c r="W3" s="237">
        <v>20</v>
      </c>
      <c r="X3" s="237">
        <v>21</v>
      </c>
      <c r="Y3" s="237">
        <v>22</v>
      </c>
      <c r="Z3" s="237">
        <v>23</v>
      </c>
      <c r="AA3" s="237">
        <v>24</v>
      </c>
      <c r="AB3" s="237">
        <v>25</v>
      </c>
      <c r="AC3" s="237">
        <v>26</v>
      </c>
      <c r="AD3" s="237">
        <v>27</v>
      </c>
      <c r="AE3" s="237">
        <v>28</v>
      </c>
      <c r="AF3" s="237">
        <v>29</v>
      </c>
      <c r="AG3" s="237">
        <v>30</v>
      </c>
      <c r="AH3" s="237">
        <v>31</v>
      </c>
      <c r="AI3" s="237">
        <v>32</v>
      </c>
      <c r="AJ3" s="237">
        <v>33</v>
      </c>
      <c r="AK3" s="237">
        <v>34</v>
      </c>
      <c r="AL3" s="237">
        <v>35</v>
      </c>
      <c r="AM3" s="237">
        <v>36</v>
      </c>
      <c r="AN3" s="237">
        <v>37</v>
      </c>
      <c r="AO3" s="237">
        <v>38</v>
      </c>
      <c r="AP3" s="237">
        <v>39</v>
      </c>
    </row>
    <row r="4" spans="2:42" x14ac:dyDescent="0.2">
      <c r="B4" s="233" t="s">
        <v>33</v>
      </c>
      <c r="C4" s="234" t="s">
        <v>9</v>
      </c>
      <c r="D4" s="238">
        <v>2026</v>
      </c>
      <c r="E4" s="238">
        <f>$D$4+D3</f>
        <v>2027</v>
      </c>
      <c r="F4" s="238">
        <f>$D$4+E3</f>
        <v>2028</v>
      </c>
      <c r="G4" s="238">
        <f t="shared" ref="G4:AP4" si="0">$D$4+F3</f>
        <v>2029</v>
      </c>
      <c r="H4" s="238">
        <f t="shared" si="0"/>
        <v>2030</v>
      </c>
      <c r="I4" s="238">
        <f t="shared" si="0"/>
        <v>2031</v>
      </c>
      <c r="J4" s="238">
        <f t="shared" si="0"/>
        <v>2032</v>
      </c>
      <c r="K4" s="238">
        <f t="shared" si="0"/>
        <v>2033</v>
      </c>
      <c r="L4" s="238">
        <f t="shared" si="0"/>
        <v>2034</v>
      </c>
      <c r="M4" s="238">
        <f t="shared" si="0"/>
        <v>2035</v>
      </c>
      <c r="N4" s="238">
        <f t="shared" si="0"/>
        <v>2036</v>
      </c>
      <c r="O4" s="238">
        <f t="shared" si="0"/>
        <v>2037</v>
      </c>
      <c r="P4" s="238">
        <f t="shared" si="0"/>
        <v>2038</v>
      </c>
      <c r="Q4" s="238">
        <f t="shared" si="0"/>
        <v>2039</v>
      </c>
      <c r="R4" s="238">
        <f t="shared" si="0"/>
        <v>2040</v>
      </c>
      <c r="S4" s="238">
        <f t="shared" si="0"/>
        <v>2041</v>
      </c>
      <c r="T4" s="238">
        <f t="shared" si="0"/>
        <v>2042</v>
      </c>
      <c r="U4" s="238">
        <f t="shared" si="0"/>
        <v>2043</v>
      </c>
      <c r="V4" s="238">
        <f t="shared" si="0"/>
        <v>2044</v>
      </c>
      <c r="W4" s="238">
        <f t="shared" si="0"/>
        <v>2045</v>
      </c>
      <c r="X4" s="238">
        <f t="shared" si="0"/>
        <v>2046</v>
      </c>
      <c r="Y4" s="238">
        <f t="shared" si="0"/>
        <v>2047</v>
      </c>
      <c r="Z4" s="238">
        <f t="shared" si="0"/>
        <v>2048</v>
      </c>
      <c r="AA4" s="238">
        <f t="shared" si="0"/>
        <v>2049</v>
      </c>
      <c r="AB4" s="238">
        <f t="shared" si="0"/>
        <v>2050</v>
      </c>
      <c r="AC4" s="238">
        <f t="shared" si="0"/>
        <v>2051</v>
      </c>
      <c r="AD4" s="238">
        <f t="shared" si="0"/>
        <v>2052</v>
      </c>
      <c r="AE4" s="238">
        <f t="shared" si="0"/>
        <v>2053</v>
      </c>
      <c r="AF4" s="238">
        <f t="shared" si="0"/>
        <v>2054</v>
      </c>
      <c r="AG4" s="238">
        <f t="shared" si="0"/>
        <v>2055</v>
      </c>
      <c r="AH4" s="238">
        <f t="shared" si="0"/>
        <v>2056</v>
      </c>
      <c r="AI4" s="238">
        <f t="shared" si="0"/>
        <v>2057</v>
      </c>
      <c r="AJ4" s="238">
        <f t="shared" si="0"/>
        <v>2058</v>
      </c>
      <c r="AK4" s="238">
        <f t="shared" si="0"/>
        <v>2059</v>
      </c>
      <c r="AL4" s="238">
        <f t="shared" si="0"/>
        <v>2060</v>
      </c>
      <c r="AM4" s="238">
        <f t="shared" si="0"/>
        <v>2061</v>
      </c>
      <c r="AN4" s="238">
        <f t="shared" si="0"/>
        <v>2062</v>
      </c>
      <c r="AO4" s="238">
        <f t="shared" si="0"/>
        <v>2063</v>
      </c>
      <c r="AP4" s="238">
        <f t="shared" si="0"/>
        <v>2064</v>
      </c>
    </row>
    <row r="5" spans="2:42" x14ac:dyDescent="0.2">
      <c r="B5" s="230" t="s">
        <v>390</v>
      </c>
      <c r="C5" s="235">
        <f>SUM(D5:AP5)</f>
        <v>0</v>
      </c>
      <c r="D5" s="236">
        <v>0</v>
      </c>
      <c r="E5" s="236">
        <v>0</v>
      </c>
      <c r="F5" s="236">
        <v>0</v>
      </c>
      <c r="G5" s="236">
        <v>0</v>
      </c>
      <c r="H5" s="236">
        <v>0</v>
      </c>
      <c r="I5" s="236">
        <v>0</v>
      </c>
      <c r="J5" s="236">
        <v>0</v>
      </c>
      <c r="K5" s="236">
        <v>0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0</v>
      </c>
      <c r="AN5" s="236">
        <v>0</v>
      </c>
      <c r="AO5" s="236">
        <v>0</v>
      </c>
      <c r="AP5" s="236">
        <v>0</v>
      </c>
    </row>
    <row r="6" spans="2:42" x14ac:dyDescent="0.2">
      <c r="B6" s="230" t="s">
        <v>391</v>
      </c>
      <c r="C6" s="235">
        <f t="shared" ref="C6:C8" si="1">SUM(D6:AP6)</f>
        <v>0</v>
      </c>
      <c r="D6" s="236">
        <v>0</v>
      </c>
      <c r="E6" s="236">
        <v>0</v>
      </c>
      <c r="F6" s="236">
        <v>0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0</v>
      </c>
      <c r="AN6" s="236">
        <v>0</v>
      </c>
      <c r="AO6" s="236">
        <v>0</v>
      </c>
      <c r="AP6" s="236">
        <v>0</v>
      </c>
    </row>
    <row r="7" spans="2:42" x14ac:dyDescent="0.2">
      <c r="B7" s="230" t="s">
        <v>392</v>
      </c>
      <c r="C7" s="235">
        <f t="shared" si="1"/>
        <v>0</v>
      </c>
      <c r="D7" s="236">
        <v>0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0</v>
      </c>
      <c r="AN7" s="236">
        <v>0</v>
      </c>
      <c r="AO7" s="236">
        <v>0</v>
      </c>
      <c r="AP7" s="236">
        <v>0</v>
      </c>
    </row>
    <row r="8" spans="2:42" x14ac:dyDescent="0.2">
      <c r="B8" s="230" t="s">
        <v>138</v>
      </c>
      <c r="C8" s="235">
        <f t="shared" si="1"/>
        <v>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</row>
    <row r="9" spans="2:42" x14ac:dyDescent="0.2">
      <c r="H9" s="244"/>
      <c r="I9" s="244"/>
      <c r="J9" s="244"/>
      <c r="K9" s="244"/>
    </row>
    <row r="11" spans="2:42" x14ac:dyDescent="0.2">
      <c r="B11" s="230"/>
      <c r="C11" s="230"/>
      <c r="D11" s="230" t="s">
        <v>10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</row>
    <row r="12" spans="2:42" x14ac:dyDescent="0.2">
      <c r="B12" s="232" t="s">
        <v>433</v>
      </c>
      <c r="C12" s="232"/>
      <c r="D12" s="237">
        <v>1</v>
      </c>
      <c r="E12" s="237">
        <v>2</v>
      </c>
      <c r="F12" s="237">
        <v>3</v>
      </c>
      <c r="G12" s="237">
        <v>4</v>
      </c>
      <c r="H12" s="237">
        <v>5</v>
      </c>
      <c r="I12" s="237">
        <v>6</v>
      </c>
      <c r="J12" s="237">
        <v>7</v>
      </c>
      <c r="K12" s="237">
        <v>8</v>
      </c>
      <c r="L12" s="237">
        <v>9</v>
      </c>
      <c r="M12" s="237">
        <v>10</v>
      </c>
      <c r="N12" s="237">
        <v>11</v>
      </c>
      <c r="O12" s="237">
        <v>12</v>
      </c>
      <c r="P12" s="237">
        <v>13</v>
      </c>
      <c r="Q12" s="237">
        <v>14</v>
      </c>
      <c r="R12" s="237">
        <v>15</v>
      </c>
      <c r="S12" s="237">
        <v>16</v>
      </c>
      <c r="T12" s="237">
        <v>17</v>
      </c>
      <c r="U12" s="237">
        <v>18</v>
      </c>
      <c r="V12" s="237">
        <v>19</v>
      </c>
      <c r="W12" s="237">
        <v>20</v>
      </c>
      <c r="X12" s="237">
        <v>21</v>
      </c>
      <c r="Y12" s="237">
        <v>22</v>
      </c>
      <c r="Z12" s="237">
        <v>23</v>
      </c>
      <c r="AA12" s="237">
        <v>24</v>
      </c>
      <c r="AB12" s="237">
        <v>25</v>
      </c>
      <c r="AC12" s="237">
        <v>26</v>
      </c>
      <c r="AD12" s="237">
        <v>27</v>
      </c>
      <c r="AE12" s="237">
        <v>28</v>
      </c>
      <c r="AF12" s="237">
        <v>29</v>
      </c>
      <c r="AG12" s="237">
        <v>30</v>
      </c>
      <c r="AH12" s="237">
        <v>31</v>
      </c>
      <c r="AI12" s="237">
        <v>32</v>
      </c>
      <c r="AJ12" s="237">
        <v>33</v>
      </c>
      <c r="AK12" s="237">
        <v>34</v>
      </c>
      <c r="AL12" s="237">
        <v>35</v>
      </c>
      <c r="AM12" s="237">
        <v>36</v>
      </c>
      <c r="AN12" s="237">
        <v>37</v>
      </c>
      <c r="AO12" s="237">
        <v>38</v>
      </c>
      <c r="AP12" s="237">
        <v>39</v>
      </c>
    </row>
    <row r="13" spans="2:42" x14ac:dyDescent="0.2">
      <c r="B13" s="233" t="s">
        <v>34</v>
      </c>
      <c r="C13" s="234" t="s">
        <v>9</v>
      </c>
      <c r="D13" s="238">
        <f t="shared" ref="D13:AP13" si="2">D4</f>
        <v>2026</v>
      </c>
      <c r="E13" s="238">
        <f t="shared" si="2"/>
        <v>2027</v>
      </c>
      <c r="F13" s="238">
        <f t="shared" si="2"/>
        <v>2028</v>
      </c>
      <c r="G13" s="238">
        <f t="shared" si="2"/>
        <v>2029</v>
      </c>
      <c r="H13" s="238">
        <f t="shared" si="2"/>
        <v>2030</v>
      </c>
      <c r="I13" s="238">
        <f t="shared" si="2"/>
        <v>2031</v>
      </c>
      <c r="J13" s="238">
        <f t="shared" si="2"/>
        <v>2032</v>
      </c>
      <c r="K13" s="238">
        <f t="shared" si="2"/>
        <v>2033</v>
      </c>
      <c r="L13" s="238">
        <f t="shared" si="2"/>
        <v>2034</v>
      </c>
      <c r="M13" s="238">
        <f t="shared" si="2"/>
        <v>2035</v>
      </c>
      <c r="N13" s="238">
        <f t="shared" si="2"/>
        <v>2036</v>
      </c>
      <c r="O13" s="238">
        <f t="shared" si="2"/>
        <v>2037</v>
      </c>
      <c r="P13" s="238">
        <f t="shared" si="2"/>
        <v>2038</v>
      </c>
      <c r="Q13" s="238">
        <f t="shared" si="2"/>
        <v>2039</v>
      </c>
      <c r="R13" s="238">
        <f t="shared" si="2"/>
        <v>2040</v>
      </c>
      <c r="S13" s="238">
        <f t="shared" si="2"/>
        <v>2041</v>
      </c>
      <c r="T13" s="238">
        <f t="shared" si="2"/>
        <v>2042</v>
      </c>
      <c r="U13" s="238">
        <f t="shared" si="2"/>
        <v>2043</v>
      </c>
      <c r="V13" s="238">
        <f t="shared" si="2"/>
        <v>2044</v>
      </c>
      <c r="W13" s="238">
        <f t="shared" si="2"/>
        <v>2045</v>
      </c>
      <c r="X13" s="238">
        <f t="shared" si="2"/>
        <v>2046</v>
      </c>
      <c r="Y13" s="238">
        <f t="shared" si="2"/>
        <v>2047</v>
      </c>
      <c r="Z13" s="238">
        <f t="shared" si="2"/>
        <v>2048</v>
      </c>
      <c r="AA13" s="238">
        <f t="shared" si="2"/>
        <v>2049</v>
      </c>
      <c r="AB13" s="238">
        <f t="shared" si="2"/>
        <v>2050</v>
      </c>
      <c r="AC13" s="238">
        <f t="shared" si="2"/>
        <v>2051</v>
      </c>
      <c r="AD13" s="238">
        <f t="shared" si="2"/>
        <v>2052</v>
      </c>
      <c r="AE13" s="238">
        <f t="shared" si="2"/>
        <v>2053</v>
      </c>
      <c r="AF13" s="238">
        <f t="shared" si="2"/>
        <v>2054</v>
      </c>
      <c r="AG13" s="238">
        <f t="shared" si="2"/>
        <v>2055</v>
      </c>
      <c r="AH13" s="238">
        <f t="shared" si="2"/>
        <v>2056</v>
      </c>
      <c r="AI13" s="238">
        <f t="shared" si="2"/>
        <v>2057</v>
      </c>
      <c r="AJ13" s="238">
        <f t="shared" si="2"/>
        <v>2058</v>
      </c>
      <c r="AK13" s="238">
        <f t="shared" si="2"/>
        <v>2059</v>
      </c>
      <c r="AL13" s="238">
        <f t="shared" si="2"/>
        <v>2060</v>
      </c>
      <c r="AM13" s="238">
        <f t="shared" si="2"/>
        <v>2061</v>
      </c>
      <c r="AN13" s="238">
        <f t="shared" si="2"/>
        <v>2062</v>
      </c>
      <c r="AO13" s="238">
        <f t="shared" si="2"/>
        <v>2063</v>
      </c>
      <c r="AP13" s="238">
        <f t="shared" si="2"/>
        <v>2064</v>
      </c>
    </row>
    <row r="14" spans="2:42" x14ac:dyDescent="0.2">
      <c r="B14" s="230" t="s">
        <v>390</v>
      </c>
      <c r="C14" s="235">
        <f>SUM(D14:AP14)</f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0</v>
      </c>
      <c r="AO14" s="236">
        <v>0</v>
      </c>
      <c r="AP14" s="236">
        <v>0</v>
      </c>
    </row>
    <row r="15" spans="2:42" x14ac:dyDescent="0.2">
      <c r="B15" s="230" t="s">
        <v>391</v>
      </c>
      <c r="C15" s="235">
        <f t="shared" ref="C15:C17" si="3">SUM(D15:AP15)</f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  <c r="AO15" s="236">
        <v>0</v>
      </c>
      <c r="AP15" s="236">
        <v>0</v>
      </c>
    </row>
    <row r="16" spans="2:42" x14ac:dyDescent="0.2">
      <c r="B16" s="230" t="s">
        <v>392</v>
      </c>
      <c r="C16" s="235">
        <f t="shared" si="3"/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  <c r="AP16" s="236">
        <v>0</v>
      </c>
    </row>
    <row r="17" spans="2:42" x14ac:dyDescent="0.2">
      <c r="B17" s="230" t="s">
        <v>138</v>
      </c>
      <c r="C17" s="235">
        <f t="shared" si="3"/>
        <v>0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</row>
    <row r="20" spans="2:42" x14ac:dyDescent="0.2">
      <c r="B20" s="230"/>
      <c r="C20" s="230"/>
      <c r="D20" s="230" t="s">
        <v>10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</row>
    <row r="21" spans="2:42" x14ac:dyDescent="0.2">
      <c r="B21" s="232" t="s">
        <v>434</v>
      </c>
      <c r="C21" s="232"/>
      <c r="D21" s="237">
        <v>1</v>
      </c>
      <c r="E21" s="237">
        <v>2</v>
      </c>
      <c r="F21" s="237">
        <v>3</v>
      </c>
      <c r="G21" s="237">
        <v>4</v>
      </c>
      <c r="H21" s="237">
        <v>5</v>
      </c>
      <c r="I21" s="237">
        <v>6</v>
      </c>
      <c r="J21" s="237">
        <v>7</v>
      </c>
      <c r="K21" s="237">
        <v>8</v>
      </c>
      <c r="L21" s="237">
        <v>9</v>
      </c>
      <c r="M21" s="237">
        <v>10</v>
      </c>
      <c r="N21" s="237">
        <v>11</v>
      </c>
      <c r="O21" s="237">
        <v>12</v>
      </c>
      <c r="P21" s="237">
        <v>13</v>
      </c>
      <c r="Q21" s="237">
        <v>14</v>
      </c>
      <c r="R21" s="237">
        <v>15</v>
      </c>
      <c r="S21" s="237">
        <v>16</v>
      </c>
      <c r="T21" s="237">
        <v>17</v>
      </c>
      <c r="U21" s="237">
        <v>18</v>
      </c>
      <c r="V21" s="237">
        <v>19</v>
      </c>
      <c r="W21" s="237">
        <v>20</v>
      </c>
      <c r="X21" s="237">
        <v>21</v>
      </c>
      <c r="Y21" s="237">
        <v>22</v>
      </c>
      <c r="Z21" s="237">
        <v>23</v>
      </c>
      <c r="AA21" s="237">
        <v>24</v>
      </c>
      <c r="AB21" s="237">
        <v>25</v>
      </c>
      <c r="AC21" s="237">
        <v>26</v>
      </c>
      <c r="AD21" s="237">
        <v>27</v>
      </c>
      <c r="AE21" s="237">
        <v>28</v>
      </c>
      <c r="AF21" s="237">
        <v>29</v>
      </c>
      <c r="AG21" s="237">
        <v>30</v>
      </c>
      <c r="AH21" s="237">
        <v>31</v>
      </c>
      <c r="AI21" s="237">
        <v>32</v>
      </c>
      <c r="AJ21" s="237">
        <v>33</v>
      </c>
      <c r="AK21" s="237">
        <v>34</v>
      </c>
      <c r="AL21" s="237">
        <v>35</v>
      </c>
      <c r="AM21" s="237">
        <v>36</v>
      </c>
      <c r="AN21" s="237">
        <v>37</v>
      </c>
      <c r="AO21" s="237">
        <v>38</v>
      </c>
      <c r="AP21" s="237">
        <v>39</v>
      </c>
    </row>
    <row r="22" spans="2:42" x14ac:dyDescent="0.2">
      <c r="B22" s="233" t="s">
        <v>63</v>
      </c>
      <c r="C22" s="234" t="s">
        <v>9</v>
      </c>
      <c r="D22" s="238">
        <f t="shared" ref="D22:AP22" si="4">D4</f>
        <v>2026</v>
      </c>
      <c r="E22" s="238">
        <f t="shared" si="4"/>
        <v>2027</v>
      </c>
      <c r="F22" s="238">
        <f t="shared" si="4"/>
        <v>2028</v>
      </c>
      <c r="G22" s="238">
        <f t="shared" si="4"/>
        <v>2029</v>
      </c>
      <c r="H22" s="238">
        <f t="shared" si="4"/>
        <v>2030</v>
      </c>
      <c r="I22" s="238">
        <f t="shared" si="4"/>
        <v>2031</v>
      </c>
      <c r="J22" s="238">
        <f t="shared" si="4"/>
        <v>2032</v>
      </c>
      <c r="K22" s="238">
        <f t="shared" si="4"/>
        <v>2033</v>
      </c>
      <c r="L22" s="238">
        <f t="shared" si="4"/>
        <v>2034</v>
      </c>
      <c r="M22" s="238">
        <f t="shared" si="4"/>
        <v>2035</v>
      </c>
      <c r="N22" s="238">
        <f t="shared" si="4"/>
        <v>2036</v>
      </c>
      <c r="O22" s="238">
        <f t="shared" si="4"/>
        <v>2037</v>
      </c>
      <c r="P22" s="238">
        <f t="shared" si="4"/>
        <v>2038</v>
      </c>
      <c r="Q22" s="238">
        <f t="shared" si="4"/>
        <v>2039</v>
      </c>
      <c r="R22" s="238">
        <f t="shared" si="4"/>
        <v>2040</v>
      </c>
      <c r="S22" s="238">
        <f t="shared" si="4"/>
        <v>2041</v>
      </c>
      <c r="T22" s="238">
        <f t="shared" si="4"/>
        <v>2042</v>
      </c>
      <c r="U22" s="238">
        <f t="shared" si="4"/>
        <v>2043</v>
      </c>
      <c r="V22" s="238">
        <f t="shared" si="4"/>
        <v>2044</v>
      </c>
      <c r="W22" s="238">
        <f t="shared" si="4"/>
        <v>2045</v>
      </c>
      <c r="X22" s="238">
        <f t="shared" si="4"/>
        <v>2046</v>
      </c>
      <c r="Y22" s="238">
        <f t="shared" si="4"/>
        <v>2047</v>
      </c>
      <c r="Z22" s="238">
        <f t="shared" si="4"/>
        <v>2048</v>
      </c>
      <c r="AA22" s="238">
        <f t="shared" si="4"/>
        <v>2049</v>
      </c>
      <c r="AB22" s="238">
        <f t="shared" si="4"/>
        <v>2050</v>
      </c>
      <c r="AC22" s="238">
        <f t="shared" si="4"/>
        <v>2051</v>
      </c>
      <c r="AD22" s="238">
        <f t="shared" si="4"/>
        <v>2052</v>
      </c>
      <c r="AE22" s="238">
        <f t="shared" si="4"/>
        <v>2053</v>
      </c>
      <c r="AF22" s="238">
        <f t="shared" si="4"/>
        <v>2054</v>
      </c>
      <c r="AG22" s="238">
        <f t="shared" si="4"/>
        <v>2055</v>
      </c>
      <c r="AH22" s="238">
        <f t="shared" si="4"/>
        <v>2056</v>
      </c>
      <c r="AI22" s="238">
        <f t="shared" si="4"/>
        <v>2057</v>
      </c>
      <c r="AJ22" s="238">
        <f t="shared" si="4"/>
        <v>2058</v>
      </c>
      <c r="AK22" s="238">
        <f t="shared" si="4"/>
        <v>2059</v>
      </c>
      <c r="AL22" s="238">
        <f t="shared" si="4"/>
        <v>2060</v>
      </c>
      <c r="AM22" s="238">
        <f t="shared" si="4"/>
        <v>2061</v>
      </c>
      <c r="AN22" s="238">
        <f t="shared" si="4"/>
        <v>2062</v>
      </c>
      <c r="AO22" s="238">
        <f t="shared" si="4"/>
        <v>2063</v>
      </c>
      <c r="AP22" s="238">
        <f t="shared" si="4"/>
        <v>2064</v>
      </c>
    </row>
    <row r="23" spans="2:42" x14ac:dyDescent="0.2">
      <c r="B23" s="230" t="s">
        <v>390</v>
      </c>
      <c r="C23" s="235">
        <f>SUM(D23:AP23)</f>
        <v>0</v>
      </c>
      <c r="D23" s="235">
        <f t="shared" ref="D23:AP26" si="5">D5-D14</f>
        <v>0</v>
      </c>
      <c r="E23" s="235">
        <f t="shared" si="5"/>
        <v>0</v>
      </c>
      <c r="F23" s="235">
        <f t="shared" si="5"/>
        <v>0</v>
      </c>
      <c r="G23" s="235">
        <f t="shared" si="5"/>
        <v>0</v>
      </c>
      <c r="H23" s="235">
        <f t="shared" si="5"/>
        <v>0</v>
      </c>
      <c r="I23" s="235">
        <f t="shared" si="5"/>
        <v>0</v>
      </c>
      <c r="J23" s="235">
        <f t="shared" si="5"/>
        <v>0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0</v>
      </c>
      <c r="V23" s="235">
        <f t="shared" si="5"/>
        <v>0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0</v>
      </c>
      <c r="AD23" s="235">
        <f t="shared" si="5"/>
        <v>0</v>
      </c>
      <c r="AE23" s="235">
        <f t="shared" si="5"/>
        <v>0</v>
      </c>
      <c r="AF23" s="235">
        <f t="shared" si="5"/>
        <v>0</v>
      </c>
      <c r="AG23" s="235">
        <f t="shared" si="5"/>
        <v>0</v>
      </c>
      <c r="AH23" s="235">
        <f t="shared" si="5"/>
        <v>0</v>
      </c>
      <c r="AI23" s="235">
        <f t="shared" si="5"/>
        <v>0</v>
      </c>
      <c r="AJ23" s="235">
        <f t="shared" si="5"/>
        <v>0</v>
      </c>
      <c r="AK23" s="235">
        <f t="shared" si="5"/>
        <v>0</v>
      </c>
      <c r="AL23" s="235">
        <f t="shared" si="5"/>
        <v>0</v>
      </c>
      <c r="AM23" s="235">
        <f t="shared" si="5"/>
        <v>0</v>
      </c>
      <c r="AN23" s="235">
        <f t="shared" si="5"/>
        <v>0</v>
      </c>
      <c r="AO23" s="235">
        <f t="shared" si="5"/>
        <v>0</v>
      </c>
      <c r="AP23" s="235">
        <f t="shared" si="5"/>
        <v>0</v>
      </c>
    </row>
    <row r="24" spans="2:42" x14ac:dyDescent="0.2">
      <c r="B24" s="230" t="s">
        <v>391</v>
      </c>
      <c r="C24" s="235">
        <f t="shared" ref="C24:C29" si="6">SUM(D24:AP24)</f>
        <v>0</v>
      </c>
      <c r="D24" s="235">
        <f t="shared" si="5"/>
        <v>0</v>
      </c>
      <c r="E24" s="235">
        <f t="shared" si="5"/>
        <v>0</v>
      </c>
      <c r="F24" s="235">
        <f t="shared" si="5"/>
        <v>0</v>
      </c>
      <c r="G24" s="235">
        <f t="shared" si="5"/>
        <v>0</v>
      </c>
      <c r="H24" s="235">
        <f t="shared" si="5"/>
        <v>0</v>
      </c>
      <c r="I24" s="235">
        <f t="shared" si="5"/>
        <v>0</v>
      </c>
      <c r="J24" s="235">
        <f t="shared" si="5"/>
        <v>0</v>
      </c>
      <c r="K24" s="235">
        <f t="shared" si="5"/>
        <v>0</v>
      </c>
      <c r="L24" s="235">
        <f t="shared" si="5"/>
        <v>0</v>
      </c>
      <c r="M24" s="235">
        <f t="shared" si="5"/>
        <v>0</v>
      </c>
      <c r="N24" s="235">
        <f t="shared" si="5"/>
        <v>0</v>
      </c>
      <c r="O24" s="235">
        <f t="shared" si="5"/>
        <v>0</v>
      </c>
      <c r="P24" s="235">
        <f t="shared" si="5"/>
        <v>0</v>
      </c>
      <c r="Q24" s="235">
        <f t="shared" si="5"/>
        <v>0</v>
      </c>
      <c r="R24" s="235">
        <f t="shared" si="5"/>
        <v>0</v>
      </c>
      <c r="S24" s="235">
        <f t="shared" si="5"/>
        <v>0</v>
      </c>
      <c r="T24" s="235">
        <f t="shared" si="5"/>
        <v>0</v>
      </c>
      <c r="U24" s="235">
        <f t="shared" si="5"/>
        <v>0</v>
      </c>
      <c r="V24" s="235">
        <f t="shared" si="5"/>
        <v>0</v>
      </c>
      <c r="W24" s="235">
        <f t="shared" si="5"/>
        <v>0</v>
      </c>
      <c r="X24" s="235">
        <f t="shared" si="5"/>
        <v>0</v>
      </c>
      <c r="Y24" s="235">
        <f t="shared" si="5"/>
        <v>0</v>
      </c>
      <c r="Z24" s="235">
        <f t="shared" si="5"/>
        <v>0</v>
      </c>
      <c r="AA24" s="235">
        <f t="shared" si="5"/>
        <v>0</v>
      </c>
      <c r="AB24" s="235">
        <f t="shared" si="5"/>
        <v>0</v>
      </c>
      <c r="AC24" s="235">
        <f t="shared" si="5"/>
        <v>0</v>
      </c>
      <c r="AD24" s="235">
        <f t="shared" si="5"/>
        <v>0</v>
      </c>
      <c r="AE24" s="235">
        <f t="shared" si="5"/>
        <v>0</v>
      </c>
      <c r="AF24" s="235">
        <f t="shared" si="5"/>
        <v>0</v>
      </c>
      <c r="AG24" s="235">
        <f t="shared" si="5"/>
        <v>0</v>
      </c>
      <c r="AH24" s="235">
        <f t="shared" si="5"/>
        <v>0</v>
      </c>
      <c r="AI24" s="235">
        <f t="shared" si="5"/>
        <v>0</v>
      </c>
      <c r="AJ24" s="235">
        <f t="shared" si="5"/>
        <v>0</v>
      </c>
      <c r="AK24" s="235">
        <f t="shared" si="5"/>
        <v>0</v>
      </c>
      <c r="AL24" s="235">
        <f t="shared" si="5"/>
        <v>0</v>
      </c>
      <c r="AM24" s="235">
        <f t="shared" si="5"/>
        <v>0</v>
      </c>
      <c r="AN24" s="235">
        <f t="shared" si="5"/>
        <v>0</v>
      </c>
      <c r="AO24" s="235">
        <f t="shared" si="5"/>
        <v>0</v>
      </c>
      <c r="AP24" s="235">
        <f t="shared" si="5"/>
        <v>0</v>
      </c>
    </row>
    <row r="25" spans="2:42" x14ac:dyDescent="0.2">
      <c r="B25" s="230" t="s">
        <v>392</v>
      </c>
      <c r="C25" s="235">
        <f t="shared" si="6"/>
        <v>0</v>
      </c>
      <c r="D25" s="235">
        <f t="shared" si="5"/>
        <v>0</v>
      </c>
      <c r="E25" s="235">
        <f t="shared" si="5"/>
        <v>0</v>
      </c>
      <c r="F25" s="235">
        <f t="shared" si="5"/>
        <v>0</v>
      </c>
      <c r="G25" s="235">
        <f t="shared" si="5"/>
        <v>0</v>
      </c>
      <c r="H25" s="235">
        <f t="shared" si="5"/>
        <v>0</v>
      </c>
      <c r="I25" s="235">
        <f t="shared" si="5"/>
        <v>0</v>
      </c>
      <c r="J25" s="235">
        <f t="shared" si="5"/>
        <v>0</v>
      </c>
      <c r="K25" s="235">
        <f t="shared" si="5"/>
        <v>0</v>
      </c>
      <c r="L25" s="235">
        <f t="shared" si="5"/>
        <v>0</v>
      </c>
      <c r="M25" s="235">
        <f t="shared" si="5"/>
        <v>0</v>
      </c>
      <c r="N25" s="235">
        <f t="shared" si="5"/>
        <v>0</v>
      </c>
      <c r="O25" s="235">
        <f t="shared" si="5"/>
        <v>0</v>
      </c>
      <c r="P25" s="235">
        <f t="shared" si="5"/>
        <v>0</v>
      </c>
      <c r="Q25" s="235">
        <f t="shared" si="5"/>
        <v>0</v>
      </c>
      <c r="R25" s="235">
        <f t="shared" si="5"/>
        <v>0</v>
      </c>
      <c r="S25" s="235">
        <f t="shared" si="5"/>
        <v>0</v>
      </c>
      <c r="T25" s="235">
        <f t="shared" si="5"/>
        <v>0</v>
      </c>
      <c r="U25" s="235">
        <f t="shared" si="5"/>
        <v>0</v>
      </c>
      <c r="V25" s="235">
        <f t="shared" si="5"/>
        <v>0</v>
      </c>
      <c r="W25" s="235">
        <f t="shared" si="5"/>
        <v>0</v>
      </c>
      <c r="X25" s="235">
        <f t="shared" si="5"/>
        <v>0</v>
      </c>
      <c r="Y25" s="235">
        <f t="shared" si="5"/>
        <v>0</v>
      </c>
      <c r="Z25" s="235">
        <f t="shared" si="5"/>
        <v>0</v>
      </c>
      <c r="AA25" s="235">
        <f t="shared" si="5"/>
        <v>0</v>
      </c>
      <c r="AB25" s="235">
        <f t="shared" si="5"/>
        <v>0</v>
      </c>
      <c r="AC25" s="235">
        <f t="shared" si="5"/>
        <v>0</v>
      </c>
      <c r="AD25" s="235">
        <f t="shared" si="5"/>
        <v>0</v>
      </c>
      <c r="AE25" s="235">
        <f t="shared" si="5"/>
        <v>0</v>
      </c>
      <c r="AF25" s="235">
        <f t="shared" si="5"/>
        <v>0</v>
      </c>
      <c r="AG25" s="235">
        <f t="shared" si="5"/>
        <v>0</v>
      </c>
      <c r="AH25" s="235">
        <f t="shared" si="5"/>
        <v>0</v>
      </c>
      <c r="AI25" s="235">
        <f t="shared" si="5"/>
        <v>0</v>
      </c>
      <c r="AJ25" s="235">
        <f t="shared" si="5"/>
        <v>0</v>
      </c>
      <c r="AK25" s="235">
        <f t="shared" si="5"/>
        <v>0</v>
      </c>
      <c r="AL25" s="235">
        <f t="shared" si="5"/>
        <v>0</v>
      </c>
      <c r="AM25" s="235">
        <f t="shared" si="5"/>
        <v>0</v>
      </c>
      <c r="AN25" s="235">
        <f t="shared" si="5"/>
        <v>0</v>
      </c>
      <c r="AO25" s="235">
        <f t="shared" si="5"/>
        <v>0</v>
      </c>
      <c r="AP25" s="235">
        <f t="shared" si="5"/>
        <v>0</v>
      </c>
    </row>
    <row r="26" spans="2:42" ht="12" thickBot="1" x14ac:dyDescent="0.25">
      <c r="B26" s="239" t="s">
        <v>138</v>
      </c>
      <c r="C26" s="235">
        <f t="shared" si="6"/>
        <v>0</v>
      </c>
      <c r="D26" s="240">
        <f t="shared" si="5"/>
        <v>0</v>
      </c>
      <c r="E26" s="240">
        <f t="shared" si="5"/>
        <v>0</v>
      </c>
      <c r="F26" s="240">
        <f t="shared" si="5"/>
        <v>0</v>
      </c>
      <c r="G26" s="240">
        <f t="shared" si="5"/>
        <v>0</v>
      </c>
      <c r="H26" s="240">
        <f t="shared" si="5"/>
        <v>0</v>
      </c>
      <c r="I26" s="240">
        <f t="shared" si="5"/>
        <v>0</v>
      </c>
      <c r="J26" s="240">
        <f t="shared" si="5"/>
        <v>0</v>
      </c>
      <c r="K26" s="240">
        <f t="shared" si="5"/>
        <v>0</v>
      </c>
      <c r="L26" s="240">
        <f t="shared" si="5"/>
        <v>0</v>
      </c>
      <c r="M26" s="240">
        <f t="shared" si="5"/>
        <v>0</v>
      </c>
      <c r="N26" s="240">
        <f t="shared" si="5"/>
        <v>0</v>
      </c>
      <c r="O26" s="240">
        <f t="shared" si="5"/>
        <v>0</v>
      </c>
      <c r="P26" s="240">
        <f t="shared" si="5"/>
        <v>0</v>
      </c>
      <c r="Q26" s="240">
        <f t="shared" si="5"/>
        <v>0</v>
      </c>
      <c r="R26" s="240">
        <f t="shared" si="5"/>
        <v>0</v>
      </c>
      <c r="S26" s="240">
        <f t="shared" si="5"/>
        <v>0</v>
      </c>
      <c r="T26" s="240">
        <f t="shared" si="5"/>
        <v>0</v>
      </c>
      <c r="U26" s="240">
        <f t="shared" si="5"/>
        <v>0</v>
      </c>
      <c r="V26" s="240">
        <f t="shared" si="5"/>
        <v>0</v>
      </c>
      <c r="W26" s="240">
        <f t="shared" si="5"/>
        <v>0</v>
      </c>
      <c r="X26" s="240">
        <f t="shared" si="5"/>
        <v>0</v>
      </c>
      <c r="Y26" s="240">
        <f t="shared" si="5"/>
        <v>0</v>
      </c>
      <c r="Z26" s="240">
        <f t="shared" si="5"/>
        <v>0</v>
      </c>
      <c r="AA26" s="240">
        <f t="shared" si="5"/>
        <v>0</v>
      </c>
      <c r="AB26" s="240">
        <f t="shared" si="5"/>
        <v>0</v>
      </c>
      <c r="AC26" s="240">
        <f t="shared" si="5"/>
        <v>0</v>
      </c>
      <c r="AD26" s="240">
        <f t="shared" si="5"/>
        <v>0</v>
      </c>
      <c r="AE26" s="240">
        <f t="shared" si="5"/>
        <v>0</v>
      </c>
      <c r="AF26" s="240">
        <f t="shared" si="5"/>
        <v>0</v>
      </c>
      <c r="AG26" s="240">
        <f t="shared" si="5"/>
        <v>0</v>
      </c>
      <c r="AH26" s="240">
        <f t="shared" si="5"/>
        <v>0</v>
      </c>
      <c r="AI26" s="240">
        <f t="shared" si="5"/>
        <v>0</v>
      </c>
      <c r="AJ26" s="240">
        <f t="shared" si="5"/>
        <v>0</v>
      </c>
      <c r="AK26" s="240">
        <f t="shared" si="5"/>
        <v>0</v>
      </c>
      <c r="AL26" s="240">
        <f t="shared" si="5"/>
        <v>0</v>
      </c>
      <c r="AM26" s="240">
        <f t="shared" si="5"/>
        <v>0</v>
      </c>
      <c r="AN26" s="240">
        <f t="shared" si="5"/>
        <v>0</v>
      </c>
      <c r="AO26" s="240">
        <f t="shared" si="5"/>
        <v>0</v>
      </c>
      <c r="AP26" s="240">
        <f t="shared" si="5"/>
        <v>0</v>
      </c>
    </row>
    <row r="27" spans="2:42" ht="12" thickTop="1" x14ac:dyDescent="0.2">
      <c r="B27" s="241" t="s">
        <v>393</v>
      </c>
      <c r="C27" s="235">
        <f t="shared" si="6"/>
        <v>0</v>
      </c>
      <c r="D27" s="243">
        <f t="shared" ref="D27:AP27" si="7">D23</f>
        <v>0</v>
      </c>
      <c r="E27" s="243">
        <f t="shared" si="7"/>
        <v>0</v>
      </c>
      <c r="F27" s="243">
        <f t="shared" si="7"/>
        <v>0</v>
      </c>
      <c r="G27" s="243">
        <f t="shared" si="7"/>
        <v>0</v>
      </c>
      <c r="H27" s="243">
        <f t="shared" si="7"/>
        <v>0</v>
      </c>
      <c r="I27" s="243">
        <f t="shared" si="7"/>
        <v>0</v>
      </c>
      <c r="J27" s="243">
        <f t="shared" si="7"/>
        <v>0</v>
      </c>
      <c r="K27" s="243">
        <f t="shared" si="7"/>
        <v>0</v>
      </c>
      <c r="L27" s="243">
        <f t="shared" si="7"/>
        <v>0</v>
      </c>
      <c r="M27" s="243">
        <f t="shared" si="7"/>
        <v>0</v>
      </c>
      <c r="N27" s="243">
        <f t="shared" si="7"/>
        <v>0</v>
      </c>
      <c r="O27" s="243">
        <f t="shared" si="7"/>
        <v>0</v>
      </c>
      <c r="P27" s="243">
        <f t="shared" si="7"/>
        <v>0</v>
      </c>
      <c r="Q27" s="243">
        <f t="shared" si="7"/>
        <v>0</v>
      </c>
      <c r="R27" s="243">
        <f t="shared" si="7"/>
        <v>0</v>
      </c>
      <c r="S27" s="243">
        <f t="shared" si="7"/>
        <v>0</v>
      </c>
      <c r="T27" s="243">
        <f t="shared" si="7"/>
        <v>0</v>
      </c>
      <c r="U27" s="243">
        <f t="shared" si="7"/>
        <v>0</v>
      </c>
      <c r="V27" s="243">
        <f t="shared" si="7"/>
        <v>0</v>
      </c>
      <c r="W27" s="243">
        <f t="shared" si="7"/>
        <v>0</v>
      </c>
      <c r="X27" s="243">
        <f t="shared" si="7"/>
        <v>0</v>
      </c>
      <c r="Y27" s="243">
        <f t="shared" si="7"/>
        <v>0</v>
      </c>
      <c r="Z27" s="243">
        <f t="shared" si="7"/>
        <v>0</v>
      </c>
      <c r="AA27" s="243">
        <f t="shared" si="7"/>
        <v>0</v>
      </c>
      <c r="AB27" s="243">
        <f t="shared" si="7"/>
        <v>0</v>
      </c>
      <c r="AC27" s="243">
        <f t="shared" si="7"/>
        <v>0</v>
      </c>
      <c r="AD27" s="243">
        <f t="shared" si="7"/>
        <v>0</v>
      </c>
      <c r="AE27" s="243">
        <f t="shared" si="7"/>
        <v>0</v>
      </c>
      <c r="AF27" s="243">
        <f t="shared" si="7"/>
        <v>0</v>
      </c>
      <c r="AG27" s="243">
        <f t="shared" si="7"/>
        <v>0</v>
      </c>
      <c r="AH27" s="243">
        <f t="shared" si="7"/>
        <v>0</v>
      </c>
      <c r="AI27" s="243">
        <f t="shared" si="7"/>
        <v>0</v>
      </c>
      <c r="AJ27" s="243">
        <f t="shared" si="7"/>
        <v>0</v>
      </c>
      <c r="AK27" s="243">
        <f t="shared" si="7"/>
        <v>0</v>
      </c>
      <c r="AL27" s="243">
        <f t="shared" si="7"/>
        <v>0</v>
      </c>
      <c r="AM27" s="243">
        <f t="shared" si="7"/>
        <v>0</v>
      </c>
      <c r="AN27" s="243">
        <f t="shared" si="7"/>
        <v>0</v>
      </c>
      <c r="AO27" s="243">
        <f t="shared" si="7"/>
        <v>0</v>
      </c>
      <c r="AP27" s="243">
        <f t="shared" si="7"/>
        <v>0</v>
      </c>
    </row>
    <row r="28" spans="2:42" x14ac:dyDescent="0.2">
      <c r="B28" s="230" t="s">
        <v>394</v>
      </c>
      <c r="C28" s="235">
        <f t="shared" si="6"/>
        <v>0</v>
      </c>
      <c r="D28" s="235">
        <f>D24+D26</f>
        <v>0</v>
      </c>
      <c r="E28" s="235">
        <f t="shared" ref="E28:AP28" si="8">E24+E26</f>
        <v>0</v>
      </c>
      <c r="F28" s="235">
        <f t="shared" si="8"/>
        <v>0</v>
      </c>
      <c r="G28" s="235">
        <f t="shared" si="8"/>
        <v>0</v>
      </c>
      <c r="H28" s="235">
        <f t="shared" si="8"/>
        <v>0</v>
      </c>
      <c r="I28" s="235">
        <f t="shared" si="8"/>
        <v>0</v>
      </c>
      <c r="J28" s="235">
        <f t="shared" si="8"/>
        <v>0</v>
      </c>
      <c r="K28" s="235">
        <f t="shared" si="8"/>
        <v>0</v>
      </c>
      <c r="L28" s="235">
        <f t="shared" si="8"/>
        <v>0</v>
      </c>
      <c r="M28" s="235">
        <f t="shared" si="8"/>
        <v>0</v>
      </c>
      <c r="N28" s="235">
        <f t="shared" si="8"/>
        <v>0</v>
      </c>
      <c r="O28" s="235">
        <f t="shared" si="8"/>
        <v>0</v>
      </c>
      <c r="P28" s="235">
        <f t="shared" si="8"/>
        <v>0</v>
      </c>
      <c r="Q28" s="235">
        <f t="shared" si="8"/>
        <v>0</v>
      </c>
      <c r="R28" s="235">
        <f t="shared" si="8"/>
        <v>0</v>
      </c>
      <c r="S28" s="235">
        <f t="shared" si="8"/>
        <v>0</v>
      </c>
      <c r="T28" s="235">
        <f t="shared" si="8"/>
        <v>0</v>
      </c>
      <c r="U28" s="235">
        <f t="shared" si="8"/>
        <v>0</v>
      </c>
      <c r="V28" s="235">
        <f t="shared" si="8"/>
        <v>0</v>
      </c>
      <c r="W28" s="235">
        <f t="shared" si="8"/>
        <v>0</v>
      </c>
      <c r="X28" s="235">
        <f t="shared" si="8"/>
        <v>0</v>
      </c>
      <c r="Y28" s="235">
        <f t="shared" si="8"/>
        <v>0</v>
      </c>
      <c r="Z28" s="235">
        <f t="shared" si="8"/>
        <v>0</v>
      </c>
      <c r="AA28" s="235">
        <f t="shared" si="8"/>
        <v>0</v>
      </c>
      <c r="AB28" s="235">
        <f t="shared" si="8"/>
        <v>0</v>
      </c>
      <c r="AC28" s="235">
        <f t="shared" si="8"/>
        <v>0</v>
      </c>
      <c r="AD28" s="235">
        <f t="shared" si="8"/>
        <v>0</v>
      </c>
      <c r="AE28" s="235">
        <f t="shared" si="8"/>
        <v>0</v>
      </c>
      <c r="AF28" s="235">
        <f t="shared" si="8"/>
        <v>0</v>
      </c>
      <c r="AG28" s="235">
        <f t="shared" si="8"/>
        <v>0</v>
      </c>
      <c r="AH28" s="235">
        <f t="shared" si="8"/>
        <v>0</v>
      </c>
      <c r="AI28" s="235">
        <f t="shared" si="8"/>
        <v>0</v>
      </c>
      <c r="AJ28" s="235">
        <f t="shared" si="8"/>
        <v>0</v>
      </c>
      <c r="AK28" s="235">
        <f t="shared" si="8"/>
        <v>0</v>
      </c>
      <c r="AL28" s="235">
        <f t="shared" si="8"/>
        <v>0</v>
      </c>
      <c r="AM28" s="235">
        <f t="shared" si="8"/>
        <v>0</v>
      </c>
      <c r="AN28" s="235">
        <f t="shared" si="8"/>
        <v>0</v>
      </c>
      <c r="AO28" s="235">
        <f t="shared" si="8"/>
        <v>0</v>
      </c>
      <c r="AP28" s="235">
        <f t="shared" si="8"/>
        <v>0</v>
      </c>
    </row>
    <row r="29" spans="2:42" x14ac:dyDescent="0.2">
      <c r="B29" s="230" t="s">
        <v>395</v>
      </c>
      <c r="C29" s="235">
        <f t="shared" si="6"/>
        <v>0</v>
      </c>
      <c r="D29" s="235">
        <f t="shared" ref="D29:AP29" si="9">D25</f>
        <v>0</v>
      </c>
      <c r="E29" s="235">
        <f t="shared" si="9"/>
        <v>0</v>
      </c>
      <c r="F29" s="235">
        <f t="shared" si="9"/>
        <v>0</v>
      </c>
      <c r="G29" s="235">
        <f t="shared" si="9"/>
        <v>0</v>
      </c>
      <c r="H29" s="235">
        <f t="shared" si="9"/>
        <v>0</v>
      </c>
      <c r="I29" s="235">
        <f t="shared" si="9"/>
        <v>0</v>
      </c>
      <c r="J29" s="235">
        <f t="shared" si="9"/>
        <v>0</v>
      </c>
      <c r="K29" s="235">
        <f t="shared" si="9"/>
        <v>0</v>
      </c>
      <c r="L29" s="235">
        <f t="shared" si="9"/>
        <v>0</v>
      </c>
      <c r="M29" s="235">
        <f t="shared" si="9"/>
        <v>0</v>
      </c>
      <c r="N29" s="235">
        <f t="shared" si="9"/>
        <v>0</v>
      </c>
      <c r="O29" s="235">
        <f t="shared" si="9"/>
        <v>0</v>
      </c>
      <c r="P29" s="235">
        <f t="shared" si="9"/>
        <v>0</v>
      </c>
      <c r="Q29" s="235">
        <f t="shared" si="9"/>
        <v>0</v>
      </c>
      <c r="R29" s="235">
        <f t="shared" si="9"/>
        <v>0</v>
      </c>
      <c r="S29" s="235">
        <f t="shared" si="9"/>
        <v>0</v>
      </c>
      <c r="T29" s="235">
        <f t="shared" si="9"/>
        <v>0</v>
      </c>
      <c r="U29" s="235">
        <f t="shared" si="9"/>
        <v>0</v>
      </c>
      <c r="V29" s="235">
        <f t="shared" si="9"/>
        <v>0</v>
      </c>
      <c r="W29" s="235">
        <f t="shared" si="9"/>
        <v>0</v>
      </c>
      <c r="X29" s="235">
        <f t="shared" si="9"/>
        <v>0</v>
      </c>
      <c r="Y29" s="235">
        <f t="shared" si="9"/>
        <v>0</v>
      </c>
      <c r="Z29" s="235">
        <f t="shared" si="9"/>
        <v>0</v>
      </c>
      <c r="AA29" s="235">
        <f t="shared" si="9"/>
        <v>0</v>
      </c>
      <c r="AB29" s="235">
        <f t="shared" si="9"/>
        <v>0</v>
      </c>
      <c r="AC29" s="235">
        <f t="shared" si="9"/>
        <v>0</v>
      </c>
      <c r="AD29" s="235">
        <f t="shared" si="9"/>
        <v>0</v>
      </c>
      <c r="AE29" s="235">
        <f t="shared" si="9"/>
        <v>0</v>
      </c>
      <c r="AF29" s="235">
        <f t="shared" si="9"/>
        <v>0</v>
      </c>
      <c r="AG29" s="235">
        <f t="shared" si="9"/>
        <v>0</v>
      </c>
      <c r="AH29" s="235">
        <f t="shared" si="9"/>
        <v>0</v>
      </c>
      <c r="AI29" s="235">
        <f t="shared" si="9"/>
        <v>0</v>
      </c>
      <c r="AJ29" s="235">
        <f t="shared" si="9"/>
        <v>0</v>
      </c>
      <c r="AK29" s="235">
        <f t="shared" si="9"/>
        <v>0</v>
      </c>
      <c r="AL29" s="235">
        <f t="shared" si="9"/>
        <v>0</v>
      </c>
      <c r="AM29" s="235">
        <f t="shared" si="9"/>
        <v>0</v>
      </c>
      <c r="AN29" s="235">
        <f t="shared" si="9"/>
        <v>0</v>
      </c>
      <c r="AO29" s="235">
        <f t="shared" si="9"/>
        <v>0</v>
      </c>
      <c r="AP29" s="235">
        <f t="shared" si="9"/>
        <v>0</v>
      </c>
    </row>
    <row r="30" spans="2:42" x14ac:dyDescent="0.2"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</row>
    <row r="32" spans="2:42" x14ac:dyDescent="0.2">
      <c r="B32" s="232" t="s">
        <v>435</v>
      </c>
      <c r="C32" s="249" t="s">
        <v>9</v>
      </c>
    </row>
    <row r="33" spans="2:42" x14ac:dyDescent="0.2">
      <c r="B33" s="245" t="s">
        <v>109</v>
      </c>
      <c r="C33" s="235">
        <f>SUM(D33:AP33)</f>
        <v>0</v>
      </c>
      <c r="D33" s="235">
        <f>D27*[1]Parametre!$C$180</f>
        <v>0</v>
      </c>
      <c r="E33" s="235">
        <f>E27*[1]Parametre!$C$180</f>
        <v>0</v>
      </c>
      <c r="F33" s="235">
        <f>F27*[1]Parametre!$C$180</f>
        <v>0</v>
      </c>
      <c r="G33" s="235">
        <f>G27*[1]Parametre!$C$180</f>
        <v>0</v>
      </c>
      <c r="H33" s="235">
        <f>H27*[1]Parametre!$C$180</f>
        <v>0</v>
      </c>
      <c r="I33" s="235">
        <f>I27*[1]Parametre!$C$180</f>
        <v>0</v>
      </c>
      <c r="J33" s="235">
        <f>J27*[1]Parametre!$C$180</f>
        <v>0</v>
      </c>
      <c r="K33" s="235">
        <f>K27*[1]Parametre!$C$180</f>
        <v>0</v>
      </c>
      <c r="L33" s="235">
        <f>L27*[1]Parametre!$C$180</f>
        <v>0</v>
      </c>
      <c r="M33" s="235">
        <f>M27*[1]Parametre!$C$180</f>
        <v>0</v>
      </c>
      <c r="N33" s="235">
        <f>N27*[1]Parametre!$C$180</f>
        <v>0</v>
      </c>
      <c r="O33" s="235">
        <f>O27*[1]Parametre!$C$180</f>
        <v>0</v>
      </c>
      <c r="P33" s="235">
        <f>P27*[1]Parametre!$C$180</f>
        <v>0</v>
      </c>
      <c r="Q33" s="235">
        <f>Q27*[1]Parametre!$C$180</f>
        <v>0</v>
      </c>
      <c r="R33" s="235">
        <f>R27*[1]Parametre!$C$180</f>
        <v>0</v>
      </c>
      <c r="S33" s="235">
        <f>S27*[1]Parametre!$C$180</f>
        <v>0</v>
      </c>
      <c r="T33" s="235">
        <f>T27*[1]Parametre!$C$180</f>
        <v>0</v>
      </c>
      <c r="U33" s="235">
        <f>U27*[1]Parametre!$C$180</f>
        <v>0</v>
      </c>
      <c r="V33" s="235">
        <f>V27*[1]Parametre!$C$180</f>
        <v>0</v>
      </c>
      <c r="W33" s="235">
        <f>W27*[1]Parametre!$C$180</f>
        <v>0</v>
      </c>
      <c r="X33" s="235">
        <f>X27*[1]Parametre!$C$180</f>
        <v>0</v>
      </c>
      <c r="Y33" s="235">
        <f>Y27*[1]Parametre!$C$180</f>
        <v>0</v>
      </c>
      <c r="Z33" s="235">
        <f>Z27*[1]Parametre!$C$180</f>
        <v>0</v>
      </c>
      <c r="AA33" s="235">
        <f>AA27*[1]Parametre!$C$180</f>
        <v>0</v>
      </c>
      <c r="AB33" s="235">
        <f>AB27*[1]Parametre!$C$180</f>
        <v>0</v>
      </c>
      <c r="AC33" s="235">
        <f>AC27*[1]Parametre!$C$180</f>
        <v>0</v>
      </c>
      <c r="AD33" s="235">
        <f>AD27*[1]Parametre!$C$180</f>
        <v>0</v>
      </c>
      <c r="AE33" s="235">
        <f>AE27*[1]Parametre!$C$180</f>
        <v>0</v>
      </c>
      <c r="AF33" s="235">
        <f>AF27*[1]Parametre!$C$180</f>
        <v>0</v>
      </c>
      <c r="AG33" s="235">
        <f>AG27*[1]Parametre!$C$180</f>
        <v>0</v>
      </c>
      <c r="AH33" s="235">
        <f>AH27*[1]Parametre!$C$180</f>
        <v>0</v>
      </c>
      <c r="AI33" s="235">
        <f>AI27*[1]Parametre!$C$180</f>
        <v>0</v>
      </c>
      <c r="AJ33" s="235">
        <f>AJ27*[1]Parametre!$C$180</f>
        <v>0</v>
      </c>
      <c r="AK33" s="235">
        <f>AK27*[1]Parametre!$C$180</f>
        <v>0</v>
      </c>
      <c r="AL33" s="235">
        <f>AL27*[1]Parametre!$C$180</f>
        <v>0</v>
      </c>
      <c r="AM33" s="235">
        <f>AM27*[1]Parametre!$C$180</f>
        <v>0</v>
      </c>
      <c r="AN33" s="235">
        <f>AN27*[1]Parametre!$C$180</f>
        <v>0</v>
      </c>
      <c r="AO33" s="235">
        <f>AO27*[1]Parametre!$C$180</f>
        <v>0</v>
      </c>
      <c r="AP33" s="235">
        <f>AP27*[1]Parametre!$C$180</f>
        <v>0</v>
      </c>
    </row>
    <row r="34" spans="2:42" x14ac:dyDescent="0.2">
      <c r="B34" s="245" t="s">
        <v>110</v>
      </c>
      <c r="C34" s="235">
        <f t="shared" ref="C34:C35" si="10">SUM(D34:AP34)</f>
        <v>0</v>
      </c>
      <c r="D34" s="235">
        <f>D28*[1]Parametre!$C$181</f>
        <v>0</v>
      </c>
      <c r="E34" s="235">
        <f>E28*[1]Parametre!$C$181</f>
        <v>0</v>
      </c>
      <c r="F34" s="235">
        <f>F28*[1]Parametre!$C$181</f>
        <v>0</v>
      </c>
      <c r="G34" s="235">
        <f>G28*[1]Parametre!$C$181</f>
        <v>0</v>
      </c>
      <c r="H34" s="235">
        <f>H28*[1]Parametre!$C$181</f>
        <v>0</v>
      </c>
      <c r="I34" s="235">
        <f>I28*[1]Parametre!$C$181</f>
        <v>0</v>
      </c>
      <c r="J34" s="235">
        <f>J28*[1]Parametre!$C$181</f>
        <v>0</v>
      </c>
      <c r="K34" s="235">
        <f>K28*[1]Parametre!$C$181</f>
        <v>0</v>
      </c>
      <c r="L34" s="235">
        <f>L28*[1]Parametre!$C$181</f>
        <v>0</v>
      </c>
      <c r="M34" s="235">
        <f>M28*[1]Parametre!$C$181</f>
        <v>0</v>
      </c>
      <c r="N34" s="235">
        <f>N28*[1]Parametre!$C$181</f>
        <v>0</v>
      </c>
      <c r="O34" s="235">
        <f>O28*[1]Parametre!$C$181</f>
        <v>0</v>
      </c>
      <c r="P34" s="235">
        <f>P28*[1]Parametre!$C$181</f>
        <v>0</v>
      </c>
      <c r="Q34" s="235">
        <f>Q28*[1]Parametre!$C$181</f>
        <v>0</v>
      </c>
      <c r="R34" s="235">
        <f>R28*[1]Parametre!$C$181</f>
        <v>0</v>
      </c>
      <c r="S34" s="235">
        <f>S28*[1]Parametre!$C$181</f>
        <v>0</v>
      </c>
      <c r="T34" s="235">
        <f>T28*[1]Parametre!$C$181</f>
        <v>0</v>
      </c>
      <c r="U34" s="235">
        <f>U28*[1]Parametre!$C$181</f>
        <v>0</v>
      </c>
      <c r="V34" s="235">
        <f>V28*[1]Parametre!$C$181</f>
        <v>0</v>
      </c>
      <c r="W34" s="235">
        <f>W28*[1]Parametre!$C$181</f>
        <v>0</v>
      </c>
      <c r="X34" s="235">
        <f>X28*[1]Parametre!$C$181</f>
        <v>0</v>
      </c>
      <c r="Y34" s="235">
        <f>Y28*[1]Parametre!$C$181</f>
        <v>0</v>
      </c>
      <c r="Z34" s="235">
        <f>Z28*[1]Parametre!$C$181</f>
        <v>0</v>
      </c>
      <c r="AA34" s="235">
        <f>AA28*[1]Parametre!$C$181</f>
        <v>0</v>
      </c>
      <c r="AB34" s="235">
        <f>AB28*[1]Parametre!$C$181</f>
        <v>0</v>
      </c>
      <c r="AC34" s="235">
        <f>AC28*[1]Parametre!$C$181</f>
        <v>0</v>
      </c>
      <c r="AD34" s="235">
        <f>AD28*[1]Parametre!$C$181</f>
        <v>0</v>
      </c>
      <c r="AE34" s="235">
        <f>AE28*[1]Parametre!$C$181</f>
        <v>0</v>
      </c>
      <c r="AF34" s="235">
        <f>AF28*[1]Parametre!$C$181</f>
        <v>0</v>
      </c>
      <c r="AG34" s="235">
        <f>AG28*[1]Parametre!$C$181</f>
        <v>0</v>
      </c>
      <c r="AH34" s="235">
        <f>AH28*[1]Parametre!$C$181</f>
        <v>0</v>
      </c>
      <c r="AI34" s="235">
        <f>AI28*[1]Parametre!$C$181</f>
        <v>0</v>
      </c>
      <c r="AJ34" s="235">
        <f>AJ28*[1]Parametre!$C$181</f>
        <v>0</v>
      </c>
      <c r="AK34" s="235">
        <f>AK28*[1]Parametre!$C$181</f>
        <v>0</v>
      </c>
      <c r="AL34" s="235">
        <f>AL28*[1]Parametre!$C$181</f>
        <v>0</v>
      </c>
      <c r="AM34" s="235">
        <f>AM28*[1]Parametre!$C$181</f>
        <v>0</v>
      </c>
      <c r="AN34" s="235">
        <f>AN28*[1]Parametre!$C$181</f>
        <v>0</v>
      </c>
      <c r="AO34" s="235">
        <f>AO28*[1]Parametre!$C$181</f>
        <v>0</v>
      </c>
      <c r="AP34" s="235">
        <f>AP28*[1]Parametre!$C$181</f>
        <v>0</v>
      </c>
    </row>
    <row r="35" spans="2:42" x14ac:dyDescent="0.2">
      <c r="B35" s="299" t="s">
        <v>308</v>
      </c>
      <c r="C35" s="235">
        <f t="shared" si="10"/>
        <v>0</v>
      </c>
      <c r="D35" s="300">
        <f>D29*[1]Parametre!$C$182</f>
        <v>0</v>
      </c>
      <c r="E35" s="300">
        <f>E29*[1]Parametre!$C$182</f>
        <v>0</v>
      </c>
      <c r="F35" s="300">
        <f>F29*[1]Parametre!$C$182</f>
        <v>0</v>
      </c>
      <c r="G35" s="300">
        <f>G29*[1]Parametre!$C$182</f>
        <v>0</v>
      </c>
      <c r="H35" s="300">
        <f>H29*[1]Parametre!$C$182</f>
        <v>0</v>
      </c>
      <c r="I35" s="300">
        <f>I29*[1]Parametre!$C$182</f>
        <v>0</v>
      </c>
      <c r="J35" s="300">
        <f>J29*[1]Parametre!$C$182</f>
        <v>0</v>
      </c>
      <c r="K35" s="300">
        <f>K29*[1]Parametre!$C$182</f>
        <v>0</v>
      </c>
      <c r="L35" s="300">
        <f>L29*[1]Parametre!$C$182</f>
        <v>0</v>
      </c>
      <c r="M35" s="300">
        <f>M29*[1]Parametre!$C$182</f>
        <v>0</v>
      </c>
      <c r="N35" s="300">
        <f>N29*[1]Parametre!$C$182</f>
        <v>0</v>
      </c>
      <c r="O35" s="300">
        <f>O29*[1]Parametre!$C$182</f>
        <v>0</v>
      </c>
      <c r="P35" s="300">
        <f>P29*[1]Parametre!$C$182</f>
        <v>0</v>
      </c>
      <c r="Q35" s="300">
        <f>Q29*[1]Parametre!$C$182</f>
        <v>0</v>
      </c>
      <c r="R35" s="300">
        <f>R29*[1]Parametre!$C$182</f>
        <v>0</v>
      </c>
      <c r="S35" s="300">
        <f>S29*[1]Parametre!$C$182</f>
        <v>0</v>
      </c>
      <c r="T35" s="300">
        <f>T29*[1]Parametre!$C$182</f>
        <v>0</v>
      </c>
      <c r="U35" s="300">
        <f>U29*[1]Parametre!$C$182</f>
        <v>0</v>
      </c>
      <c r="V35" s="300">
        <f>V29*[1]Parametre!$C$182</f>
        <v>0</v>
      </c>
      <c r="W35" s="300">
        <f>W29*[1]Parametre!$C$182</f>
        <v>0</v>
      </c>
      <c r="X35" s="300">
        <f>X29*[1]Parametre!$C$182</f>
        <v>0</v>
      </c>
      <c r="Y35" s="300">
        <f>Y29*[1]Parametre!$C$182</f>
        <v>0</v>
      </c>
      <c r="Z35" s="300">
        <f>Z29*[1]Parametre!$C$182</f>
        <v>0</v>
      </c>
      <c r="AA35" s="300">
        <f>AA29*[1]Parametre!$C$182</f>
        <v>0</v>
      </c>
      <c r="AB35" s="300">
        <f>AB29*[1]Parametre!$C$182</f>
        <v>0</v>
      </c>
      <c r="AC35" s="300">
        <f>AC29*[1]Parametre!$C$182</f>
        <v>0</v>
      </c>
      <c r="AD35" s="300">
        <f>AD29*[1]Parametre!$C$182</f>
        <v>0</v>
      </c>
      <c r="AE35" s="300">
        <f>AE29*[1]Parametre!$C$182</f>
        <v>0</v>
      </c>
      <c r="AF35" s="300">
        <f>AF29*[1]Parametre!$C$182</f>
        <v>0</v>
      </c>
      <c r="AG35" s="300">
        <f>AG29*[1]Parametre!$C$182</f>
        <v>0</v>
      </c>
      <c r="AH35" s="300">
        <f>AH29*[1]Parametre!$C$182</f>
        <v>0</v>
      </c>
      <c r="AI35" s="300">
        <f>AI29*[1]Parametre!$C$182</f>
        <v>0</v>
      </c>
      <c r="AJ35" s="300">
        <f>AJ29*[1]Parametre!$C$182</f>
        <v>0</v>
      </c>
      <c r="AK35" s="300">
        <f>AK29*[1]Parametre!$C$182</f>
        <v>0</v>
      </c>
      <c r="AL35" s="300">
        <f>AL29*[1]Parametre!$C$182</f>
        <v>0</v>
      </c>
      <c r="AM35" s="300">
        <f>AM29*[1]Parametre!$C$182</f>
        <v>0</v>
      </c>
      <c r="AN35" s="300">
        <f>AN29*[1]Parametre!$C$182</f>
        <v>0</v>
      </c>
      <c r="AO35" s="300">
        <f>AO29*[1]Parametre!$C$182</f>
        <v>0</v>
      </c>
      <c r="AP35" s="300">
        <f>AP29*[1]Parametre!$C$182</f>
        <v>0</v>
      </c>
    </row>
    <row r="36" spans="2:42" x14ac:dyDescent="0.2">
      <c r="B36" s="246" t="s">
        <v>9</v>
      </c>
      <c r="C36" s="247">
        <f>SUM(D36:AP36)</f>
        <v>0</v>
      </c>
      <c r="D36" s="248">
        <f>SUM(D33:D35)</f>
        <v>0</v>
      </c>
      <c r="E36" s="248">
        <f>SUM(E33:E35)</f>
        <v>0</v>
      </c>
      <c r="F36" s="248">
        <f t="shared" ref="F36:AP36" si="11">SUM(F33:F35)</f>
        <v>0</v>
      </c>
      <c r="G36" s="248">
        <f t="shared" si="11"/>
        <v>0</v>
      </c>
      <c r="H36" s="248">
        <f t="shared" si="11"/>
        <v>0</v>
      </c>
      <c r="I36" s="248">
        <f t="shared" si="11"/>
        <v>0</v>
      </c>
      <c r="J36" s="248">
        <f t="shared" si="11"/>
        <v>0</v>
      </c>
      <c r="K36" s="248">
        <f t="shared" si="11"/>
        <v>0</v>
      </c>
      <c r="L36" s="248">
        <f t="shared" si="11"/>
        <v>0</v>
      </c>
      <c r="M36" s="248">
        <f t="shared" si="11"/>
        <v>0</v>
      </c>
      <c r="N36" s="248">
        <f t="shared" si="11"/>
        <v>0</v>
      </c>
      <c r="O36" s="248">
        <f t="shared" si="11"/>
        <v>0</v>
      </c>
      <c r="P36" s="248">
        <f t="shared" si="11"/>
        <v>0</v>
      </c>
      <c r="Q36" s="248">
        <f t="shared" si="11"/>
        <v>0</v>
      </c>
      <c r="R36" s="248">
        <f t="shared" si="11"/>
        <v>0</v>
      </c>
      <c r="S36" s="248">
        <f t="shared" si="11"/>
        <v>0</v>
      </c>
      <c r="T36" s="248">
        <f t="shared" si="11"/>
        <v>0</v>
      </c>
      <c r="U36" s="248">
        <f t="shared" si="11"/>
        <v>0</v>
      </c>
      <c r="V36" s="248">
        <f t="shared" si="11"/>
        <v>0</v>
      </c>
      <c r="W36" s="248">
        <f t="shared" si="11"/>
        <v>0</v>
      </c>
      <c r="X36" s="248">
        <f t="shared" si="11"/>
        <v>0</v>
      </c>
      <c r="Y36" s="248">
        <f t="shared" si="11"/>
        <v>0</v>
      </c>
      <c r="Z36" s="248">
        <f t="shared" si="11"/>
        <v>0</v>
      </c>
      <c r="AA36" s="248">
        <f t="shared" si="11"/>
        <v>0</v>
      </c>
      <c r="AB36" s="248">
        <f t="shared" si="11"/>
        <v>0</v>
      </c>
      <c r="AC36" s="248">
        <f t="shared" si="11"/>
        <v>0</v>
      </c>
      <c r="AD36" s="248">
        <f t="shared" si="11"/>
        <v>0</v>
      </c>
      <c r="AE36" s="248">
        <f t="shared" si="11"/>
        <v>0</v>
      </c>
      <c r="AF36" s="248">
        <f t="shared" si="11"/>
        <v>0</v>
      </c>
      <c r="AG36" s="248">
        <f t="shared" si="11"/>
        <v>0</v>
      </c>
      <c r="AH36" s="248">
        <f t="shared" si="11"/>
        <v>0</v>
      </c>
      <c r="AI36" s="248">
        <f t="shared" si="11"/>
        <v>0</v>
      </c>
      <c r="AJ36" s="248">
        <f t="shared" si="11"/>
        <v>0</v>
      </c>
      <c r="AK36" s="248">
        <f t="shared" si="11"/>
        <v>0</v>
      </c>
      <c r="AL36" s="248">
        <f t="shared" si="11"/>
        <v>0</v>
      </c>
      <c r="AM36" s="248">
        <f t="shared" si="11"/>
        <v>0</v>
      </c>
      <c r="AN36" s="248">
        <f t="shared" si="11"/>
        <v>0</v>
      </c>
      <c r="AO36" s="248">
        <f t="shared" si="11"/>
        <v>0</v>
      </c>
      <c r="AP36" s="248">
        <f t="shared" si="11"/>
        <v>0</v>
      </c>
    </row>
    <row r="39" spans="2:42" x14ac:dyDescent="0.2">
      <c r="B39" s="230"/>
      <c r="C39" s="230"/>
      <c r="D39" s="230" t="s">
        <v>10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</row>
    <row r="40" spans="2:42" x14ac:dyDescent="0.2">
      <c r="B40" s="232" t="s">
        <v>436</v>
      </c>
      <c r="C40" s="232"/>
      <c r="D40" s="237">
        <v>1</v>
      </c>
      <c r="E40" s="237">
        <v>2</v>
      </c>
      <c r="F40" s="237">
        <v>3</v>
      </c>
      <c r="G40" s="237">
        <v>4</v>
      </c>
      <c r="H40" s="237">
        <v>5</v>
      </c>
      <c r="I40" s="237">
        <v>6</v>
      </c>
      <c r="J40" s="237">
        <v>7</v>
      </c>
      <c r="K40" s="237">
        <v>8</v>
      </c>
      <c r="L40" s="237">
        <v>9</v>
      </c>
      <c r="M40" s="237">
        <v>10</v>
      </c>
      <c r="N40" s="237">
        <v>11</v>
      </c>
      <c r="O40" s="237">
        <v>12</v>
      </c>
      <c r="P40" s="237">
        <v>13</v>
      </c>
      <c r="Q40" s="237">
        <v>14</v>
      </c>
      <c r="R40" s="237">
        <v>15</v>
      </c>
      <c r="S40" s="237">
        <v>16</v>
      </c>
      <c r="T40" s="237">
        <v>17</v>
      </c>
      <c r="U40" s="237">
        <v>18</v>
      </c>
      <c r="V40" s="237">
        <v>19</v>
      </c>
      <c r="W40" s="237">
        <v>20</v>
      </c>
      <c r="X40" s="237">
        <v>21</v>
      </c>
      <c r="Y40" s="237">
        <v>22</v>
      </c>
      <c r="Z40" s="237">
        <v>23</v>
      </c>
      <c r="AA40" s="237">
        <v>24</v>
      </c>
      <c r="AB40" s="237">
        <v>25</v>
      </c>
      <c r="AC40" s="237">
        <v>26</v>
      </c>
      <c r="AD40" s="237">
        <v>27</v>
      </c>
      <c r="AE40" s="237">
        <v>28</v>
      </c>
      <c r="AF40" s="237">
        <v>29</v>
      </c>
      <c r="AG40" s="237">
        <v>30</v>
      </c>
      <c r="AH40" s="237">
        <v>31</v>
      </c>
      <c r="AI40" s="237">
        <v>32</v>
      </c>
      <c r="AJ40" s="237">
        <v>33</v>
      </c>
      <c r="AK40" s="237">
        <v>34</v>
      </c>
      <c r="AL40" s="237">
        <v>35</v>
      </c>
      <c r="AM40" s="237">
        <v>36</v>
      </c>
      <c r="AN40" s="237">
        <v>37</v>
      </c>
      <c r="AO40" s="237">
        <v>38</v>
      </c>
      <c r="AP40" s="237">
        <v>39</v>
      </c>
    </row>
    <row r="41" spans="2:42" x14ac:dyDescent="0.2">
      <c r="B41" s="233" t="s">
        <v>33</v>
      </c>
      <c r="C41" s="234" t="s">
        <v>9</v>
      </c>
      <c r="D41" s="238">
        <f t="shared" ref="D41:AP41" si="12">D4</f>
        <v>2026</v>
      </c>
      <c r="E41" s="238">
        <f t="shared" si="12"/>
        <v>2027</v>
      </c>
      <c r="F41" s="238">
        <f t="shared" si="12"/>
        <v>2028</v>
      </c>
      <c r="G41" s="238">
        <f t="shared" si="12"/>
        <v>2029</v>
      </c>
      <c r="H41" s="238">
        <f t="shared" si="12"/>
        <v>2030</v>
      </c>
      <c r="I41" s="238">
        <f t="shared" si="12"/>
        <v>2031</v>
      </c>
      <c r="J41" s="238">
        <f t="shared" si="12"/>
        <v>2032</v>
      </c>
      <c r="K41" s="238">
        <f t="shared" si="12"/>
        <v>2033</v>
      </c>
      <c r="L41" s="238">
        <f t="shared" si="12"/>
        <v>2034</v>
      </c>
      <c r="M41" s="238">
        <f t="shared" si="12"/>
        <v>2035</v>
      </c>
      <c r="N41" s="238">
        <f t="shared" si="12"/>
        <v>2036</v>
      </c>
      <c r="O41" s="238">
        <f t="shared" si="12"/>
        <v>2037</v>
      </c>
      <c r="P41" s="238">
        <f t="shared" si="12"/>
        <v>2038</v>
      </c>
      <c r="Q41" s="238">
        <f t="shared" si="12"/>
        <v>2039</v>
      </c>
      <c r="R41" s="238">
        <f t="shared" si="12"/>
        <v>2040</v>
      </c>
      <c r="S41" s="238">
        <f t="shared" si="12"/>
        <v>2041</v>
      </c>
      <c r="T41" s="238">
        <f t="shared" si="12"/>
        <v>2042</v>
      </c>
      <c r="U41" s="238">
        <f t="shared" si="12"/>
        <v>2043</v>
      </c>
      <c r="V41" s="238">
        <f t="shared" si="12"/>
        <v>2044</v>
      </c>
      <c r="W41" s="238">
        <f t="shared" si="12"/>
        <v>2045</v>
      </c>
      <c r="X41" s="238">
        <f t="shared" si="12"/>
        <v>2046</v>
      </c>
      <c r="Y41" s="238">
        <f t="shared" si="12"/>
        <v>2047</v>
      </c>
      <c r="Z41" s="238">
        <f t="shared" si="12"/>
        <v>2048</v>
      </c>
      <c r="AA41" s="238">
        <f t="shared" si="12"/>
        <v>2049</v>
      </c>
      <c r="AB41" s="238">
        <f t="shared" si="12"/>
        <v>2050</v>
      </c>
      <c r="AC41" s="238">
        <f t="shared" si="12"/>
        <v>2051</v>
      </c>
      <c r="AD41" s="238">
        <f t="shared" si="12"/>
        <v>2052</v>
      </c>
      <c r="AE41" s="238">
        <f t="shared" si="12"/>
        <v>2053</v>
      </c>
      <c r="AF41" s="238">
        <f t="shared" si="12"/>
        <v>2054</v>
      </c>
      <c r="AG41" s="238">
        <f t="shared" si="12"/>
        <v>2055</v>
      </c>
      <c r="AH41" s="238">
        <f t="shared" si="12"/>
        <v>2056</v>
      </c>
      <c r="AI41" s="238">
        <f t="shared" si="12"/>
        <v>2057</v>
      </c>
      <c r="AJ41" s="238">
        <f t="shared" si="12"/>
        <v>2058</v>
      </c>
      <c r="AK41" s="238">
        <f t="shared" si="12"/>
        <v>2059</v>
      </c>
      <c r="AL41" s="238">
        <f t="shared" si="12"/>
        <v>2060</v>
      </c>
      <c r="AM41" s="238">
        <f t="shared" si="12"/>
        <v>2061</v>
      </c>
      <c r="AN41" s="238">
        <f t="shared" si="12"/>
        <v>2062</v>
      </c>
      <c r="AO41" s="238">
        <f t="shared" si="12"/>
        <v>2063</v>
      </c>
      <c r="AP41" s="238">
        <f t="shared" si="12"/>
        <v>2064</v>
      </c>
    </row>
    <row r="42" spans="2:42" x14ac:dyDescent="0.2">
      <c r="B42" s="230" t="s">
        <v>390</v>
      </c>
      <c r="C42" s="235">
        <f>SUM(D42:AP42)</f>
        <v>0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6">
        <v>0</v>
      </c>
      <c r="Q42" s="236">
        <v>0</v>
      </c>
      <c r="R42" s="236">
        <v>0</v>
      </c>
      <c r="S42" s="236">
        <v>0</v>
      </c>
      <c r="T42" s="236">
        <v>0</v>
      </c>
      <c r="U42" s="236">
        <v>0</v>
      </c>
      <c r="V42" s="236">
        <v>0</v>
      </c>
      <c r="W42" s="236">
        <v>0</v>
      </c>
      <c r="X42" s="236">
        <v>0</v>
      </c>
      <c r="Y42" s="236">
        <v>0</v>
      </c>
      <c r="Z42" s="236">
        <v>0</v>
      </c>
      <c r="AA42" s="236">
        <v>0</v>
      </c>
      <c r="AB42" s="236">
        <v>0</v>
      </c>
      <c r="AC42" s="236">
        <v>0</v>
      </c>
      <c r="AD42" s="236">
        <v>0</v>
      </c>
      <c r="AE42" s="236">
        <v>0</v>
      </c>
      <c r="AF42" s="236">
        <v>0</v>
      </c>
      <c r="AG42" s="236">
        <v>0</v>
      </c>
      <c r="AH42" s="236">
        <v>0</v>
      </c>
      <c r="AI42" s="236">
        <v>0</v>
      </c>
      <c r="AJ42" s="236">
        <v>0</v>
      </c>
      <c r="AK42" s="236">
        <v>0</v>
      </c>
      <c r="AL42" s="236">
        <v>0</v>
      </c>
      <c r="AM42" s="236">
        <v>0</v>
      </c>
      <c r="AN42" s="236">
        <v>0</v>
      </c>
      <c r="AO42" s="236">
        <v>0</v>
      </c>
      <c r="AP42" s="236">
        <v>0</v>
      </c>
    </row>
    <row r="43" spans="2:42" x14ac:dyDescent="0.2">
      <c r="B43" s="230" t="s">
        <v>391</v>
      </c>
      <c r="C43" s="235">
        <f t="shared" ref="C43:C45" si="13">SUM(D43:AP43)</f>
        <v>0</v>
      </c>
      <c r="D43" s="236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236">
        <v>0</v>
      </c>
      <c r="AC43" s="236">
        <v>0</v>
      </c>
      <c r="AD43" s="236">
        <v>0</v>
      </c>
      <c r="AE43" s="236">
        <v>0</v>
      </c>
      <c r="AF43" s="236">
        <v>0</v>
      </c>
      <c r="AG43" s="236">
        <v>0</v>
      </c>
      <c r="AH43" s="236">
        <v>0</v>
      </c>
      <c r="AI43" s="236">
        <v>0</v>
      </c>
      <c r="AJ43" s="236">
        <v>0</v>
      </c>
      <c r="AK43" s="236">
        <v>0</v>
      </c>
      <c r="AL43" s="236">
        <v>0</v>
      </c>
      <c r="AM43" s="236">
        <v>0</v>
      </c>
      <c r="AN43" s="236">
        <v>0</v>
      </c>
      <c r="AO43" s="236">
        <v>0</v>
      </c>
      <c r="AP43" s="236">
        <v>0</v>
      </c>
    </row>
    <row r="44" spans="2:42" x14ac:dyDescent="0.2">
      <c r="B44" s="230" t="s">
        <v>392</v>
      </c>
      <c r="C44" s="235">
        <f t="shared" si="13"/>
        <v>0</v>
      </c>
      <c r="D44" s="236">
        <v>0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6">
        <v>0</v>
      </c>
      <c r="U44" s="236">
        <v>0</v>
      </c>
      <c r="V44" s="236">
        <v>0</v>
      </c>
      <c r="W44" s="236">
        <v>0</v>
      </c>
      <c r="X44" s="236">
        <v>0</v>
      </c>
      <c r="Y44" s="236">
        <v>0</v>
      </c>
      <c r="Z44" s="236">
        <v>0</v>
      </c>
      <c r="AA44" s="236">
        <v>0</v>
      </c>
      <c r="AB44" s="236">
        <v>0</v>
      </c>
      <c r="AC44" s="236">
        <v>0</v>
      </c>
      <c r="AD44" s="236">
        <v>0</v>
      </c>
      <c r="AE44" s="236">
        <v>0</v>
      </c>
      <c r="AF44" s="236">
        <v>0</v>
      </c>
      <c r="AG44" s="236">
        <v>0</v>
      </c>
      <c r="AH44" s="236">
        <v>0</v>
      </c>
      <c r="AI44" s="236">
        <v>0</v>
      </c>
      <c r="AJ44" s="236">
        <v>0</v>
      </c>
      <c r="AK44" s="236">
        <v>0</v>
      </c>
      <c r="AL44" s="236">
        <v>0</v>
      </c>
      <c r="AM44" s="236">
        <v>0</v>
      </c>
      <c r="AN44" s="236">
        <v>0</v>
      </c>
      <c r="AO44" s="236">
        <v>0</v>
      </c>
      <c r="AP44" s="236">
        <v>0</v>
      </c>
    </row>
    <row r="45" spans="2:42" x14ac:dyDescent="0.2">
      <c r="B45" s="230" t="s">
        <v>138</v>
      </c>
      <c r="C45" s="235">
        <f t="shared" si="13"/>
        <v>0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</row>
    <row r="48" spans="2:42" x14ac:dyDescent="0.2">
      <c r="B48" s="230"/>
      <c r="C48" s="230"/>
      <c r="D48" s="230" t="s">
        <v>10</v>
      </c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</row>
    <row r="49" spans="2:42" x14ac:dyDescent="0.2">
      <c r="B49" s="232" t="s">
        <v>437</v>
      </c>
      <c r="C49" s="232"/>
      <c r="D49" s="237">
        <v>1</v>
      </c>
      <c r="E49" s="237">
        <v>2</v>
      </c>
      <c r="F49" s="237">
        <v>3</v>
      </c>
      <c r="G49" s="237">
        <v>4</v>
      </c>
      <c r="H49" s="237">
        <v>5</v>
      </c>
      <c r="I49" s="237">
        <v>6</v>
      </c>
      <c r="J49" s="237">
        <v>7</v>
      </c>
      <c r="K49" s="237">
        <v>8</v>
      </c>
      <c r="L49" s="237">
        <v>9</v>
      </c>
      <c r="M49" s="237">
        <v>10</v>
      </c>
      <c r="N49" s="237">
        <v>11</v>
      </c>
      <c r="O49" s="237">
        <v>12</v>
      </c>
      <c r="P49" s="237">
        <v>13</v>
      </c>
      <c r="Q49" s="237">
        <v>14</v>
      </c>
      <c r="R49" s="237">
        <v>15</v>
      </c>
      <c r="S49" s="237">
        <v>16</v>
      </c>
      <c r="T49" s="237">
        <v>17</v>
      </c>
      <c r="U49" s="237">
        <v>18</v>
      </c>
      <c r="V49" s="237">
        <v>19</v>
      </c>
      <c r="W49" s="237">
        <v>20</v>
      </c>
      <c r="X49" s="237">
        <v>21</v>
      </c>
      <c r="Y49" s="237">
        <v>22</v>
      </c>
      <c r="Z49" s="237">
        <v>23</v>
      </c>
      <c r="AA49" s="237">
        <v>24</v>
      </c>
      <c r="AB49" s="237">
        <v>25</v>
      </c>
      <c r="AC49" s="237">
        <v>26</v>
      </c>
      <c r="AD49" s="237">
        <v>27</v>
      </c>
      <c r="AE49" s="237">
        <v>28</v>
      </c>
      <c r="AF49" s="237">
        <v>29</v>
      </c>
      <c r="AG49" s="237">
        <v>30</v>
      </c>
      <c r="AH49" s="237">
        <v>31</v>
      </c>
      <c r="AI49" s="237">
        <v>32</v>
      </c>
      <c r="AJ49" s="237">
        <v>33</v>
      </c>
      <c r="AK49" s="237">
        <v>34</v>
      </c>
      <c r="AL49" s="237">
        <v>35</v>
      </c>
      <c r="AM49" s="237">
        <v>36</v>
      </c>
      <c r="AN49" s="237">
        <v>37</v>
      </c>
      <c r="AO49" s="237">
        <v>38</v>
      </c>
      <c r="AP49" s="237">
        <v>39</v>
      </c>
    </row>
    <row r="50" spans="2:42" x14ac:dyDescent="0.2">
      <c r="B50" s="233" t="s">
        <v>34</v>
      </c>
      <c r="C50" s="234" t="s">
        <v>9</v>
      </c>
      <c r="D50" s="238">
        <f t="shared" ref="D50:AP50" si="14">D4</f>
        <v>2026</v>
      </c>
      <c r="E50" s="238">
        <f t="shared" si="14"/>
        <v>2027</v>
      </c>
      <c r="F50" s="238">
        <f t="shared" si="14"/>
        <v>2028</v>
      </c>
      <c r="G50" s="238">
        <f t="shared" si="14"/>
        <v>2029</v>
      </c>
      <c r="H50" s="238">
        <f t="shared" si="14"/>
        <v>2030</v>
      </c>
      <c r="I50" s="238">
        <f t="shared" si="14"/>
        <v>2031</v>
      </c>
      <c r="J50" s="238">
        <f t="shared" si="14"/>
        <v>2032</v>
      </c>
      <c r="K50" s="238">
        <f t="shared" si="14"/>
        <v>2033</v>
      </c>
      <c r="L50" s="238">
        <f t="shared" si="14"/>
        <v>2034</v>
      </c>
      <c r="M50" s="238">
        <f t="shared" si="14"/>
        <v>2035</v>
      </c>
      <c r="N50" s="238">
        <f t="shared" si="14"/>
        <v>2036</v>
      </c>
      <c r="O50" s="238">
        <f t="shared" si="14"/>
        <v>2037</v>
      </c>
      <c r="P50" s="238">
        <f t="shared" si="14"/>
        <v>2038</v>
      </c>
      <c r="Q50" s="238">
        <f t="shared" si="14"/>
        <v>2039</v>
      </c>
      <c r="R50" s="238">
        <f t="shared" si="14"/>
        <v>2040</v>
      </c>
      <c r="S50" s="238">
        <f t="shared" si="14"/>
        <v>2041</v>
      </c>
      <c r="T50" s="238">
        <f t="shared" si="14"/>
        <v>2042</v>
      </c>
      <c r="U50" s="238">
        <f t="shared" si="14"/>
        <v>2043</v>
      </c>
      <c r="V50" s="238">
        <f t="shared" si="14"/>
        <v>2044</v>
      </c>
      <c r="W50" s="238">
        <f t="shared" si="14"/>
        <v>2045</v>
      </c>
      <c r="X50" s="238">
        <f t="shared" si="14"/>
        <v>2046</v>
      </c>
      <c r="Y50" s="238">
        <f t="shared" si="14"/>
        <v>2047</v>
      </c>
      <c r="Z50" s="238">
        <f t="shared" si="14"/>
        <v>2048</v>
      </c>
      <c r="AA50" s="238">
        <f t="shared" si="14"/>
        <v>2049</v>
      </c>
      <c r="AB50" s="238">
        <f t="shared" si="14"/>
        <v>2050</v>
      </c>
      <c r="AC50" s="238">
        <f t="shared" si="14"/>
        <v>2051</v>
      </c>
      <c r="AD50" s="238">
        <f t="shared" si="14"/>
        <v>2052</v>
      </c>
      <c r="AE50" s="238">
        <f t="shared" si="14"/>
        <v>2053</v>
      </c>
      <c r="AF50" s="238">
        <f t="shared" si="14"/>
        <v>2054</v>
      </c>
      <c r="AG50" s="238">
        <f t="shared" si="14"/>
        <v>2055</v>
      </c>
      <c r="AH50" s="238">
        <f t="shared" si="14"/>
        <v>2056</v>
      </c>
      <c r="AI50" s="238">
        <f t="shared" si="14"/>
        <v>2057</v>
      </c>
      <c r="AJ50" s="238">
        <f t="shared" si="14"/>
        <v>2058</v>
      </c>
      <c r="AK50" s="238">
        <f t="shared" si="14"/>
        <v>2059</v>
      </c>
      <c r="AL50" s="238">
        <f t="shared" si="14"/>
        <v>2060</v>
      </c>
      <c r="AM50" s="238">
        <f t="shared" si="14"/>
        <v>2061</v>
      </c>
      <c r="AN50" s="238">
        <f t="shared" si="14"/>
        <v>2062</v>
      </c>
      <c r="AO50" s="238">
        <f t="shared" si="14"/>
        <v>2063</v>
      </c>
      <c r="AP50" s="238">
        <f t="shared" si="14"/>
        <v>2064</v>
      </c>
    </row>
    <row r="51" spans="2:42" x14ac:dyDescent="0.2">
      <c r="B51" s="230" t="s">
        <v>390</v>
      </c>
      <c r="C51" s="235">
        <f>SUM(D51:AP51)</f>
        <v>0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236">
        <v>0</v>
      </c>
      <c r="S51" s="236">
        <v>0</v>
      </c>
      <c r="T51" s="236">
        <v>0</v>
      </c>
      <c r="U51" s="236">
        <v>0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236">
        <v>0</v>
      </c>
      <c r="AC51" s="236">
        <v>0</v>
      </c>
      <c r="AD51" s="236">
        <v>0</v>
      </c>
      <c r="AE51" s="236">
        <v>0</v>
      </c>
      <c r="AF51" s="236">
        <v>0</v>
      </c>
      <c r="AG51" s="236">
        <v>0</v>
      </c>
      <c r="AH51" s="236">
        <v>0</v>
      </c>
      <c r="AI51" s="236">
        <v>0</v>
      </c>
      <c r="AJ51" s="236">
        <v>0</v>
      </c>
      <c r="AK51" s="236">
        <v>0</v>
      </c>
      <c r="AL51" s="236">
        <v>0</v>
      </c>
      <c r="AM51" s="236">
        <v>0</v>
      </c>
      <c r="AN51" s="236">
        <v>0</v>
      </c>
      <c r="AO51" s="236">
        <v>0</v>
      </c>
      <c r="AP51" s="236">
        <v>0</v>
      </c>
    </row>
    <row r="52" spans="2:42" x14ac:dyDescent="0.2">
      <c r="B52" s="230" t="s">
        <v>391</v>
      </c>
      <c r="C52" s="235">
        <f t="shared" ref="C52:C54" si="15">SUM(D52:AP52)</f>
        <v>0</v>
      </c>
      <c r="D52" s="236">
        <v>0</v>
      </c>
      <c r="E52" s="236">
        <v>0</v>
      </c>
      <c r="F52" s="236">
        <v>0</v>
      </c>
      <c r="G52" s="236">
        <v>0</v>
      </c>
      <c r="H52" s="236">
        <v>0</v>
      </c>
      <c r="I52" s="236">
        <v>0</v>
      </c>
      <c r="J52" s="236">
        <v>0</v>
      </c>
      <c r="K52" s="236">
        <v>0</v>
      </c>
      <c r="L52" s="236">
        <v>0</v>
      </c>
      <c r="M52" s="236">
        <v>0</v>
      </c>
      <c r="N52" s="236">
        <v>0</v>
      </c>
      <c r="O52" s="236">
        <v>0</v>
      </c>
      <c r="P52" s="236">
        <v>0</v>
      </c>
      <c r="Q52" s="236">
        <v>0</v>
      </c>
      <c r="R52" s="236">
        <v>0</v>
      </c>
      <c r="S52" s="236">
        <v>0</v>
      </c>
      <c r="T52" s="236">
        <v>0</v>
      </c>
      <c r="U52" s="236">
        <v>0</v>
      </c>
      <c r="V52" s="236">
        <v>0</v>
      </c>
      <c r="W52" s="236">
        <v>0</v>
      </c>
      <c r="X52" s="236">
        <v>0</v>
      </c>
      <c r="Y52" s="236">
        <v>0</v>
      </c>
      <c r="Z52" s="236">
        <v>0</v>
      </c>
      <c r="AA52" s="236">
        <v>0</v>
      </c>
      <c r="AB52" s="236">
        <v>0</v>
      </c>
      <c r="AC52" s="236">
        <v>0</v>
      </c>
      <c r="AD52" s="236">
        <v>0</v>
      </c>
      <c r="AE52" s="236">
        <v>0</v>
      </c>
      <c r="AF52" s="236">
        <v>0</v>
      </c>
      <c r="AG52" s="236">
        <v>0</v>
      </c>
      <c r="AH52" s="236">
        <v>0</v>
      </c>
      <c r="AI52" s="236">
        <v>0</v>
      </c>
      <c r="AJ52" s="236">
        <v>0</v>
      </c>
      <c r="AK52" s="236">
        <v>0</v>
      </c>
      <c r="AL52" s="236">
        <v>0</v>
      </c>
      <c r="AM52" s="236">
        <v>0</v>
      </c>
      <c r="AN52" s="236">
        <v>0</v>
      </c>
      <c r="AO52" s="236">
        <v>0</v>
      </c>
      <c r="AP52" s="236">
        <v>0</v>
      </c>
    </row>
    <row r="53" spans="2:42" x14ac:dyDescent="0.2">
      <c r="B53" s="230" t="s">
        <v>392</v>
      </c>
      <c r="C53" s="235">
        <f t="shared" si="15"/>
        <v>0</v>
      </c>
      <c r="D53" s="236">
        <v>0</v>
      </c>
      <c r="E53" s="236">
        <v>0</v>
      </c>
      <c r="F53" s="236">
        <v>0</v>
      </c>
      <c r="G53" s="236">
        <v>0</v>
      </c>
      <c r="H53" s="236">
        <v>0</v>
      </c>
      <c r="I53" s="236">
        <v>0</v>
      </c>
      <c r="J53" s="236">
        <v>0</v>
      </c>
      <c r="K53" s="236">
        <v>0</v>
      </c>
      <c r="L53" s="236">
        <v>0</v>
      </c>
      <c r="M53" s="236">
        <v>0</v>
      </c>
      <c r="N53" s="236">
        <v>0</v>
      </c>
      <c r="O53" s="236">
        <v>0</v>
      </c>
      <c r="P53" s="236">
        <v>0</v>
      </c>
      <c r="Q53" s="236">
        <v>0</v>
      </c>
      <c r="R53" s="236">
        <v>0</v>
      </c>
      <c r="S53" s="236">
        <v>0</v>
      </c>
      <c r="T53" s="236">
        <v>0</v>
      </c>
      <c r="U53" s="236">
        <v>0</v>
      </c>
      <c r="V53" s="236">
        <v>0</v>
      </c>
      <c r="W53" s="236">
        <v>0</v>
      </c>
      <c r="X53" s="236">
        <v>0</v>
      </c>
      <c r="Y53" s="236">
        <v>0</v>
      </c>
      <c r="Z53" s="236">
        <v>0</v>
      </c>
      <c r="AA53" s="236">
        <v>0</v>
      </c>
      <c r="AB53" s="236">
        <v>0</v>
      </c>
      <c r="AC53" s="236">
        <v>0</v>
      </c>
      <c r="AD53" s="236">
        <v>0</v>
      </c>
      <c r="AE53" s="236">
        <v>0</v>
      </c>
      <c r="AF53" s="236">
        <v>0</v>
      </c>
      <c r="AG53" s="236">
        <v>0</v>
      </c>
      <c r="AH53" s="236">
        <v>0</v>
      </c>
      <c r="AI53" s="236">
        <v>0</v>
      </c>
      <c r="AJ53" s="236">
        <v>0</v>
      </c>
      <c r="AK53" s="236">
        <v>0</v>
      </c>
      <c r="AL53" s="236">
        <v>0</v>
      </c>
      <c r="AM53" s="236">
        <v>0</v>
      </c>
      <c r="AN53" s="236">
        <v>0</v>
      </c>
      <c r="AO53" s="236">
        <v>0</v>
      </c>
      <c r="AP53" s="236">
        <v>0</v>
      </c>
    </row>
    <row r="54" spans="2:42" x14ac:dyDescent="0.2">
      <c r="B54" s="230" t="s">
        <v>138</v>
      </c>
      <c r="C54" s="235">
        <f t="shared" si="15"/>
        <v>0</v>
      </c>
      <c r="D54" s="236">
        <v>0</v>
      </c>
      <c r="E54" s="236">
        <v>0</v>
      </c>
      <c r="F54" s="236">
        <v>0</v>
      </c>
      <c r="G54" s="236">
        <v>0</v>
      </c>
      <c r="H54" s="236">
        <v>0</v>
      </c>
      <c r="I54" s="236">
        <v>0</v>
      </c>
      <c r="J54" s="236">
        <v>0</v>
      </c>
      <c r="K54" s="236">
        <v>0</v>
      </c>
      <c r="L54" s="236">
        <v>0</v>
      </c>
      <c r="M54" s="236">
        <v>0</v>
      </c>
      <c r="N54" s="236">
        <v>0</v>
      </c>
      <c r="O54" s="236">
        <v>0</v>
      </c>
      <c r="P54" s="236">
        <v>0</v>
      </c>
      <c r="Q54" s="236">
        <v>0</v>
      </c>
      <c r="R54" s="236">
        <v>0</v>
      </c>
      <c r="S54" s="236">
        <v>0</v>
      </c>
      <c r="T54" s="236">
        <v>0</v>
      </c>
      <c r="U54" s="236">
        <v>0</v>
      </c>
      <c r="V54" s="236">
        <v>0</v>
      </c>
      <c r="W54" s="236">
        <v>0</v>
      </c>
      <c r="X54" s="236">
        <v>0</v>
      </c>
      <c r="Y54" s="236">
        <v>0</v>
      </c>
      <c r="Z54" s="236">
        <v>0</v>
      </c>
      <c r="AA54" s="236">
        <v>0</v>
      </c>
      <c r="AB54" s="236">
        <v>0</v>
      </c>
      <c r="AC54" s="236">
        <v>0</v>
      </c>
      <c r="AD54" s="236">
        <v>0</v>
      </c>
      <c r="AE54" s="236">
        <v>0</v>
      </c>
      <c r="AF54" s="236">
        <v>0</v>
      </c>
      <c r="AG54" s="236">
        <v>0</v>
      </c>
      <c r="AH54" s="236">
        <v>0</v>
      </c>
      <c r="AI54" s="236">
        <v>0</v>
      </c>
      <c r="AJ54" s="236">
        <v>0</v>
      </c>
      <c r="AK54" s="236">
        <v>0</v>
      </c>
      <c r="AL54" s="236">
        <v>0</v>
      </c>
      <c r="AM54" s="236">
        <v>0</v>
      </c>
      <c r="AN54" s="236">
        <v>0</v>
      </c>
      <c r="AO54" s="236">
        <v>0</v>
      </c>
      <c r="AP54" s="236">
        <v>0</v>
      </c>
    </row>
    <row r="57" spans="2:42" x14ac:dyDescent="0.2">
      <c r="B57" s="230"/>
      <c r="C57" s="230"/>
      <c r="D57" s="230" t="s">
        <v>10</v>
      </c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</row>
    <row r="58" spans="2:42" x14ac:dyDescent="0.2">
      <c r="B58" s="232" t="s">
        <v>438</v>
      </c>
      <c r="C58" s="232"/>
      <c r="D58" s="230">
        <v>1</v>
      </c>
      <c r="E58" s="230">
        <v>2</v>
      </c>
      <c r="F58" s="230">
        <v>3</v>
      </c>
      <c r="G58" s="230">
        <v>4</v>
      </c>
      <c r="H58" s="230">
        <v>5</v>
      </c>
      <c r="I58" s="230">
        <v>6</v>
      </c>
      <c r="J58" s="230">
        <v>7</v>
      </c>
      <c r="K58" s="230">
        <v>8</v>
      </c>
      <c r="L58" s="230">
        <v>9</v>
      </c>
      <c r="M58" s="230">
        <v>10</v>
      </c>
      <c r="N58" s="230">
        <v>11</v>
      </c>
      <c r="O58" s="230">
        <v>12</v>
      </c>
      <c r="P58" s="230">
        <v>13</v>
      </c>
      <c r="Q58" s="230">
        <v>14</v>
      </c>
      <c r="R58" s="230">
        <v>15</v>
      </c>
      <c r="S58" s="230">
        <v>16</v>
      </c>
      <c r="T58" s="230">
        <v>17</v>
      </c>
      <c r="U58" s="230">
        <v>18</v>
      </c>
      <c r="V58" s="230">
        <v>19</v>
      </c>
      <c r="W58" s="230">
        <v>20</v>
      </c>
      <c r="X58" s="230">
        <v>21</v>
      </c>
      <c r="Y58" s="230">
        <v>22</v>
      </c>
      <c r="Z58" s="230">
        <v>23</v>
      </c>
      <c r="AA58" s="230">
        <v>24</v>
      </c>
      <c r="AB58" s="230">
        <v>25</v>
      </c>
      <c r="AC58" s="230">
        <v>26</v>
      </c>
      <c r="AD58" s="230">
        <v>27</v>
      </c>
      <c r="AE58" s="230">
        <v>28</v>
      </c>
      <c r="AF58" s="230">
        <v>29</v>
      </c>
      <c r="AG58" s="230">
        <v>30</v>
      </c>
      <c r="AH58" s="230">
        <v>31</v>
      </c>
      <c r="AI58" s="230">
        <v>32</v>
      </c>
      <c r="AJ58" s="230">
        <v>33</v>
      </c>
      <c r="AK58" s="230">
        <v>34</v>
      </c>
      <c r="AL58" s="230">
        <v>35</v>
      </c>
      <c r="AM58" s="230">
        <v>36</v>
      </c>
      <c r="AN58" s="230">
        <v>37</v>
      </c>
      <c r="AO58" s="230">
        <v>38</v>
      </c>
      <c r="AP58" s="230">
        <v>39</v>
      </c>
    </row>
    <row r="59" spans="2:42" x14ac:dyDescent="0.2">
      <c r="B59" s="233" t="s">
        <v>63</v>
      </c>
      <c r="C59" s="234" t="s">
        <v>9</v>
      </c>
      <c r="D59" s="301">
        <f t="shared" ref="D59:AP59" si="16">D4</f>
        <v>2026</v>
      </c>
      <c r="E59" s="301">
        <f t="shared" si="16"/>
        <v>2027</v>
      </c>
      <c r="F59" s="301">
        <f t="shared" si="16"/>
        <v>2028</v>
      </c>
      <c r="G59" s="301">
        <f t="shared" si="16"/>
        <v>2029</v>
      </c>
      <c r="H59" s="301">
        <f t="shared" si="16"/>
        <v>2030</v>
      </c>
      <c r="I59" s="301">
        <f t="shared" si="16"/>
        <v>2031</v>
      </c>
      <c r="J59" s="301">
        <f t="shared" si="16"/>
        <v>2032</v>
      </c>
      <c r="K59" s="301">
        <f t="shared" si="16"/>
        <v>2033</v>
      </c>
      <c r="L59" s="301">
        <f t="shared" si="16"/>
        <v>2034</v>
      </c>
      <c r="M59" s="301">
        <f t="shared" si="16"/>
        <v>2035</v>
      </c>
      <c r="N59" s="301">
        <f t="shared" si="16"/>
        <v>2036</v>
      </c>
      <c r="O59" s="301">
        <f t="shared" si="16"/>
        <v>2037</v>
      </c>
      <c r="P59" s="301">
        <f t="shared" si="16"/>
        <v>2038</v>
      </c>
      <c r="Q59" s="301">
        <f t="shared" si="16"/>
        <v>2039</v>
      </c>
      <c r="R59" s="301">
        <f t="shared" si="16"/>
        <v>2040</v>
      </c>
      <c r="S59" s="301">
        <f t="shared" si="16"/>
        <v>2041</v>
      </c>
      <c r="T59" s="301">
        <f t="shared" si="16"/>
        <v>2042</v>
      </c>
      <c r="U59" s="301">
        <f t="shared" si="16"/>
        <v>2043</v>
      </c>
      <c r="V59" s="301">
        <f t="shared" si="16"/>
        <v>2044</v>
      </c>
      <c r="W59" s="301">
        <f t="shared" si="16"/>
        <v>2045</v>
      </c>
      <c r="X59" s="301">
        <f t="shared" si="16"/>
        <v>2046</v>
      </c>
      <c r="Y59" s="301">
        <f t="shared" si="16"/>
        <v>2047</v>
      </c>
      <c r="Z59" s="301">
        <f t="shared" si="16"/>
        <v>2048</v>
      </c>
      <c r="AA59" s="301">
        <f t="shared" si="16"/>
        <v>2049</v>
      </c>
      <c r="AB59" s="301">
        <f t="shared" si="16"/>
        <v>2050</v>
      </c>
      <c r="AC59" s="301">
        <f t="shared" si="16"/>
        <v>2051</v>
      </c>
      <c r="AD59" s="301">
        <f t="shared" si="16"/>
        <v>2052</v>
      </c>
      <c r="AE59" s="301">
        <f t="shared" si="16"/>
        <v>2053</v>
      </c>
      <c r="AF59" s="301">
        <f t="shared" si="16"/>
        <v>2054</v>
      </c>
      <c r="AG59" s="301">
        <f t="shared" si="16"/>
        <v>2055</v>
      </c>
      <c r="AH59" s="301">
        <f t="shared" si="16"/>
        <v>2056</v>
      </c>
      <c r="AI59" s="301">
        <f t="shared" si="16"/>
        <v>2057</v>
      </c>
      <c r="AJ59" s="301">
        <f t="shared" si="16"/>
        <v>2058</v>
      </c>
      <c r="AK59" s="301">
        <f t="shared" si="16"/>
        <v>2059</v>
      </c>
      <c r="AL59" s="301">
        <f t="shared" si="16"/>
        <v>2060</v>
      </c>
      <c r="AM59" s="301">
        <f t="shared" si="16"/>
        <v>2061</v>
      </c>
      <c r="AN59" s="301">
        <f t="shared" si="16"/>
        <v>2062</v>
      </c>
      <c r="AO59" s="301">
        <f t="shared" si="16"/>
        <v>2063</v>
      </c>
      <c r="AP59" s="301">
        <f t="shared" si="16"/>
        <v>2064</v>
      </c>
    </row>
    <row r="60" spans="2:42" x14ac:dyDescent="0.2">
      <c r="B60" s="230" t="s">
        <v>390</v>
      </c>
      <c r="C60" s="235">
        <f>SUM(D60:AP60)</f>
        <v>0</v>
      </c>
      <c r="D60" s="235">
        <f>D42-D51</f>
        <v>0</v>
      </c>
      <c r="E60" s="235">
        <f t="shared" ref="E60:AP63" si="17">E42-E51</f>
        <v>0</v>
      </c>
      <c r="F60" s="235">
        <f t="shared" si="17"/>
        <v>0</v>
      </c>
      <c r="G60" s="235">
        <f t="shared" si="17"/>
        <v>0</v>
      </c>
      <c r="H60" s="235">
        <f t="shared" si="17"/>
        <v>0</v>
      </c>
      <c r="I60" s="235">
        <f t="shared" si="17"/>
        <v>0</v>
      </c>
      <c r="J60" s="235">
        <f t="shared" si="17"/>
        <v>0</v>
      </c>
      <c r="K60" s="235">
        <f t="shared" si="17"/>
        <v>0</v>
      </c>
      <c r="L60" s="235">
        <f t="shared" si="17"/>
        <v>0</v>
      </c>
      <c r="M60" s="235">
        <f t="shared" si="17"/>
        <v>0</v>
      </c>
      <c r="N60" s="235">
        <f t="shared" si="17"/>
        <v>0</v>
      </c>
      <c r="O60" s="235">
        <f t="shared" si="17"/>
        <v>0</v>
      </c>
      <c r="P60" s="235">
        <f t="shared" si="17"/>
        <v>0</v>
      </c>
      <c r="Q60" s="235">
        <f t="shared" si="17"/>
        <v>0</v>
      </c>
      <c r="R60" s="235">
        <f t="shared" si="17"/>
        <v>0</v>
      </c>
      <c r="S60" s="235">
        <f t="shared" si="17"/>
        <v>0</v>
      </c>
      <c r="T60" s="235">
        <f t="shared" si="17"/>
        <v>0</v>
      </c>
      <c r="U60" s="235">
        <f t="shared" si="17"/>
        <v>0</v>
      </c>
      <c r="V60" s="235">
        <f t="shared" si="17"/>
        <v>0</v>
      </c>
      <c r="W60" s="235">
        <f t="shared" si="17"/>
        <v>0</v>
      </c>
      <c r="X60" s="235">
        <f t="shared" si="17"/>
        <v>0</v>
      </c>
      <c r="Y60" s="235">
        <f t="shared" si="17"/>
        <v>0</v>
      </c>
      <c r="Z60" s="235">
        <f t="shared" si="17"/>
        <v>0</v>
      </c>
      <c r="AA60" s="235">
        <f t="shared" si="17"/>
        <v>0</v>
      </c>
      <c r="AB60" s="235">
        <f t="shared" si="17"/>
        <v>0</v>
      </c>
      <c r="AC60" s="235">
        <f t="shared" si="17"/>
        <v>0</v>
      </c>
      <c r="AD60" s="235">
        <f t="shared" si="17"/>
        <v>0</v>
      </c>
      <c r="AE60" s="235">
        <f t="shared" si="17"/>
        <v>0</v>
      </c>
      <c r="AF60" s="235">
        <f t="shared" si="17"/>
        <v>0</v>
      </c>
      <c r="AG60" s="235">
        <f t="shared" si="17"/>
        <v>0</v>
      </c>
      <c r="AH60" s="235">
        <f t="shared" si="17"/>
        <v>0</v>
      </c>
      <c r="AI60" s="235">
        <f t="shared" si="17"/>
        <v>0</v>
      </c>
      <c r="AJ60" s="235">
        <f t="shared" si="17"/>
        <v>0</v>
      </c>
      <c r="AK60" s="235">
        <f t="shared" si="17"/>
        <v>0</v>
      </c>
      <c r="AL60" s="235">
        <f t="shared" si="17"/>
        <v>0</v>
      </c>
      <c r="AM60" s="235">
        <f t="shared" si="17"/>
        <v>0</v>
      </c>
      <c r="AN60" s="235">
        <f t="shared" si="17"/>
        <v>0</v>
      </c>
      <c r="AO60" s="235">
        <f t="shared" si="17"/>
        <v>0</v>
      </c>
      <c r="AP60" s="235">
        <f t="shared" si="17"/>
        <v>0</v>
      </c>
    </row>
    <row r="61" spans="2:42" x14ac:dyDescent="0.2">
      <c r="B61" s="230" t="s">
        <v>391</v>
      </c>
      <c r="C61" s="235">
        <f t="shared" ref="C61:C66" si="18">SUM(D61:AP61)</f>
        <v>0</v>
      </c>
      <c r="D61" s="235">
        <f t="shared" ref="D61:AG62" si="19">D43-D52</f>
        <v>0</v>
      </c>
      <c r="E61" s="235">
        <f t="shared" si="19"/>
        <v>0</v>
      </c>
      <c r="F61" s="235">
        <f t="shared" si="19"/>
        <v>0</v>
      </c>
      <c r="G61" s="235">
        <f t="shared" si="19"/>
        <v>0</v>
      </c>
      <c r="H61" s="235">
        <f t="shared" si="19"/>
        <v>0</v>
      </c>
      <c r="I61" s="235">
        <f t="shared" si="19"/>
        <v>0</v>
      </c>
      <c r="J61" s="235">
        <f t="shared" si="19"/>
        <v>0</v>
      </c>
      <c r="K61" s="235">
        <f t="shared" si="19"/>
        <v>0</v>
      </c>
      <c r="L61" s="235">
        <f t="shared" si="19"/>
        <v>0</v>
      </c>
      <c r="M61" s="235">
        <f t="shared" si="19"/>
        <v>0</v>
      </c>
      <c r="N61" s="235">
        <f t="shared" si="19"/>
        <v>0</v>
      </c>
      <c r="O61" s="235">
        <f t="shared" si="19"/>
        <v>0</v>
      </c>
      <c r="P61" s="235">
        <f t="shared" si="19"/>
        <v>0</v>
      </c>
      <c r="Q61" s="235">
        <f t="shared" si="19"/>
        <v>0</v>
      </c>
      <c r="R61" s="235">
        <f t="shared" si="19"/>
        <v>0</v>
      </c>
      <c r="S61" s="235">
        <f t="shared" si="19"/>
        <v>0</v>
      </c>
      <c r="T61" s="235">
        <f t="shared" si="19"/>
        <v>0</v>
      </c>
      <c r="U61" s="235">
        <f t="shared" si="19"/>
        <v>0</v>
      </c>
      <c r="V61" s="235">
        <f t="shared" si="19"/>
        <v>0</v>
      </c>
      <c r="W61" s="235">
        <f t="shared" si="19"/>
        <v>0</v>
      </c>
      <c r="X61" s="235">
        <f t="shared" si="19"/>
        <v>0</v>
      </c>
      <c r="Y61" s="235">
        <f t="shared" si="19"/>
        <v>0</v>
      </c>
      <c r="Z61" s="235">
        <f t="shared" si="19"/>
        <v>0</v>
      </c>
      <c r="AA61" s="235">
        <f t="shared" si="19"/>
        <v>0</v>
      </c>
      <c r="AB61" s="235">
        <f t="shared" si="19"/>
        <v>0</v>
      </c>
      <c r="AC61" s="235">
        <f t="shared" si="19"/>
        <v>0</v>
      </c>
      <c r="AD61" s="235">
        <f t="shared" si="19"/>
        <v>0</v>
      </c>
      <c r="AE61" s="235">
        <f t="shared" si="19"/>
        <v>0</v>
      </c>
      <c r="AF61" s="235">
        <f t="shared" si="19"/>
        <v>0</v>
      </c>
      <c r="AG61" s="235">
        <f t="shared" si="19"/>
        <v>0</v>
      </c>
      <c r="AH61" s="235">
        <f t="shared" si="17"/>
        <v>0</v>
      </c>
      <c r="AI61" s="235">
        <f t="shared" si="17"/>
        <v>0</v>
      </c>
      <c r="AJ61" s="235">
        <f t="shared" si="17"/>
        <v>0</v>
      </c>
      <c r="AK61" s="235">
        <f t="shared" si="17"/>
        <v>0</v>
      </c>
      <c r="AL61" s="235">
        <f t="shared" si="17"/>
        <v>0</v>
      </c>
      <c r="AM61" s="235">
        <f t="shared" si="17"/>
        <v>0</v>
      </c>
      <c r="AN61" s="235">
        <f t="shared" si="17"/>
        <v>0</v>
      </c>
      <c r="AO61" s="235">
        <f t="shared" si="17"/>
        <v>0</v>
      </c>
      <c r="AP61" s="235">
        <f t="shared" si="17"/>
        <v>0</v>
      </c>
    </row>
    <row r="62" spans="2:42" x14ac:dyDescent="0.2">
      <c r="B62" s="230" t="s">
        <v>392</v>
      </c>
      <c r="C62" s="235">
        <f t="shared" si="18"/>
        <v>0</v>
      </c>
      <c r="D62" s="235">
        <f>D44-D53</f>
        <v>0</v>
      </c>
      <c r="E62" s="235">
        <f t="shared" si="19"/>
        <v>0</v>
      </c>
      <c r="F62" s="235">
        <f t="shared" si="19"/>
        <v>0</v>
      </c>
      <c r="G62" s="235">
        <f t="shared" si="19"/>
        <v>0</v>
      </c>
      <c r="H62" s="235">
        <f t="shared" si="19"/>
        <v>0</v>
      </c>
      <c r="I62" s="235">
        <f t="shared" si="19"/>
        <v>0</v>
      </c>
      <c r="J62" s="235">
        <f t="shared" si="19"/>
        <v>0</v>
      </c>
      <c r="K62" s="235">
        <f t="shared" si="19"/>
        <v>0</v>
      </c>
      <c r="L62" s="235">
        <f t="shared" si="19"/>
        <v>0</v>
      </c>
      <c r="M62" s="235">
        <f t="shared" si="19"/>
        <v>0</v>
      </c>
      <c r="N62" s="235">
        <f t="shared" si="19"/>
        <v>0</v>
      </c>
      <c r="O62" s="235">
        <f t="shared" si="19"/>
        <v>0</v>
      </c>
      <c r="P62" s="235">
        <f t="shared" si="19"/>
        <v>0</v>
      </c>
      <c r="Q62" s="235">
        <f t="shared" si="19"/>
        <v>0</v>
      </c>
      <c r="R62" s="235">
        <f t="shared" si="19"/>
        <v>0</v>
      </c>
      <c r="S62" s="235">
        <f t="shared" si="19"/>
        <v>0</v>
      </c>
      <c r="T62" s="235">
        <f t="shared" si="19"/>
        <v>0</v>
      </c>
      <c r="U62" s="235">
        <f t="shared" si="19"/>
        <v>0</v>
      </c>
      <c r="V62" s="235">
        <f t="shared" si="19"/>
        <v>0</v>
      </c>
      <c r="W62" s="235">
        <f t="shared" si="19"/>
        <v>0</v>
      </c>
      <c r="X62" s="235">
        <f t="shared" si="19"/>
        <v>0</v>
      </c>
      <c r="Y62" s="235">
        <f t="shared" si="19"/>
        <v>0</v>
      </c>
      <c r="Z62" s="235">
        <f t="shared" si="19"/>
        <v>0</v>
      </c>
      <c r="AA62" s="235">
        <f t="shared" si="19"/>
        <v>0</v>
      </c>
      <c r="AB62" s="235">
        <f t="shared" si="19"/>
        <v>0</v>
      </c>
      <c r="AC62" s="235">
        <f t="shared" si="19"/>
        <v>0</v>
      </c>
      <c r="AD62" s="235">
        <f t="shared" si="19"/>
        <v>0</v>
      </c>
      <c r="AE62" s="235">
        <f t="shared" si="19"/>
        <v>0</v>
      </c>
      <c r="AF62" s="235">
        <f t="shared" si="19"/>
        <v>0</v>
      </c>
      <c r="AG62" s="235">
        <f t="shared" si="19"/>
        <v>0</v>
      </c>
      <c r="AH62" s="235">
        <f t="shared" si="17"/>
        <v>0</v>
      </c>
      <c r="AI62" s="235">
        <f t="shared" si="17"/>
        <v>0</v>
      </c>
      <c r="AJ62" s="235">
        <f t="shared" si="17"/>
        <v>0</v>
      </c>
      <c r="AK62" s="235">
        <f t="shared" si="17"/>
        <v>0</v>
      </c>
      <c r="AL62" s="235">
        <f t="shared" si="17"/>
        <v>0</v>
      </c>
      <c r="AM62" s="235">
        <f t="shared" si="17"/>
        <v>0</v>
      </c>
      <c r="AN62" s="235">
        <f t="shared" si="17"/>
        <v>0</v>
      </c>
      <c r="AO62" s="235">
        <f t="shared" si="17"/>
        <v>0</v>
      </c>
      <c r="AP62" s="235">
        <f t="shared" si="17"/>
        <v>0</v>
      </c>
    </row>
    <row r="63" spans="2:42" ht="12" thickBot="1" x14ac:dyDescent="0.25">
      <c r="B63" s="239" t="s">
        <v>138</v>
      </c>
      <c r="C63" s="235">
        <f t="shared" si="18"/>
        <v>0</v>
      </c>
      <c r="D63" s="240">
        <f t="shared" ref="D63:AG63" si="20">D45-D54</f>
        <v>0</v>
      </c>
      <c r="E63" s="240">
        <f t="shared" si="20"/>
        <v>0</v>
      </c>
      <c r="F63" s="240">
        <f t="shared" si="20"/>
        <v>0</v>
      </c>
      <c r="G63" s="240">
        <f t="shared" si="20"/>
        <v>0</v>
      </c>
      <c r="H63" s="240">
        <f t="shared" si="20"/>
        <v>0</v>
      </c>
      <c r="I63" s="240">
        <f t="shared" si="20"/>
        <v>0</v>
      </c>
      <c r="J63" s="240">
        <f t="shared" si="20"/>
        <v>0</v>
      </c>
      <c r="K63" s="240">
        <f t="shared" si="20"/>
        <v>0</v>
      </c>
      <c r="L63" s="240">
        <f t="shared" si="20"/>
        <v>0</v>
      </c>
      <c r="M63" s="240">
        <f t="shared" si="20"/>
        <v>0</v>
      </c>
      <c r="N63" s="240">
        <f t="shared" si="20"/>
        <v>0</v>
      </c>
      <c r="O63" s="240">
        <f t="shared" si="20"/>
        <v>0</v>
      </c>
      <c r="P63" s="240">
        <f t="shared" si="20"/>
        <v>0</v>
      </c>
      <c r="Q63" s="240">
        <f t="shared" si="20"/>
        <v>0</v>
      </c>
      <c r="R63" s="240">
        <f t="shared" si="20"/>
        <v>0</v>
      </c>
      <c r="S63" s="240">
        <f t="shared" si="20"/>
        <v>0</v>
      </c>
      <c r="T63" s="240">
        <f t="shared" si="20"/>
        <v>0</v>
      </c>
      <c r="U63" s="240">
        <f t="shared" si="20"/>
        <v>0</v>
      </c>
      <c r="V63" s="240">
        <f t="shared" si="20"/>
        <v>0</v>
      </c>
      <c r="W63" s="240">
        <f t="shared" si="20"/>
        <v>0</v>
      </c>
      <c r="X63" s="240">
        <f t="shared" si="20"/>
        <v>0</v>
      </c>
      <c r="Y63" s="240">
        <f t="shared" si="20"/>
        <v>0</v>
      </c>
      <c r="Z63" s="240">
        <f t="shared" si="20"/>
        <v>0</v>
      </c>
      <c r="AA63" s="240">
        <f t="shared" si="20"/>
        <v>0</v>
      </c>
      <c r="AB63" s="240">
        <f t="shared" si="20"/>
        <v>0</v>
      </c>
      <c r="AC63" s="240">
        <f t="shared" si="20"/>
        <v>0</v>
      </c>
      <c r="AD63" s="240">
        <f t="shared" si="20"/>
        <v>0</v>
      </c>
      <c r="AE63" s="240">
        <f t="shared" si="20"/>
        <v>0</v>
      </c>
      <c r="AF63" s="240">
        <f t="shared" si="20"/>
        <v>0</v>
      </c>
      <c r="AG63" s="240">
        <f t="shared" si="20"/>
        <v>0</v>
      </c>
      <c r="AH63" s="240">
        <f t="shared" si="17"/>
        <v>0</v>
      </c>
      <c r="AI63" s="240">
        <f t="shared" si="17"/>
        <v>0</v>
      </c>
      <c r="AJ63" s="240">
        <f t="shared" si="17"/>
        <v>0</v>
      </c>
      <c r="AK63" s="240">
        <f t="shared" si="17"/>
        <v>0</v>
      </c>
      <c r="AL63" s="240">
        <f t="shared" si="17"/>
        <v>0</v>
      </c>
      <c r="AM63" s="240">
        <f t="shared" si="17"/>
        <v>0</v>
      </c>
      <c r="AN63" s="240">
        <f t="shared" si="17"/>
        <v>0</v>
      </c>
      <c r="AO63" s="240">
        <f t="shared" si="17"/>
        <v>0</v>
      </c>
      <c r="AP63" s="240">
        <f t="shared" si="17"/>
        <v>0</v>
      </c>
    </row>
    <row r="64" spans="2:42" ht="12" thickTop="1" x14ac:dyDescent="0.2">
      <c r="B64" s="241" t="s">
        <v>393</v>
      </c>
      <c r="C64" s="235">
        <f t="shared" si="18"/>
        <v>0</v>
      </c>
      <c r="D64" s="243">
        <f t="shared" ref="D64:AP64" si="21">D60</f>
        <v>0</v>
      </c>
      <c r="E64" s="243">
        <f t="shared" si="21"/>
        <v>0</v>
      </c>
      <c r="F64" s="243">
        <f t="shared" si="21"/>
        <v>0</v>
      </c>
      <c r="G64" s="243">
        <f t="shared" si="21"/>
        <v>0</v>
      </c>
      <c r="H64" s="243">
        <f t="shared" si="21"/>
        <v>0</v>
      </c>
      <c r="I64" s="243">
        <f t="shared" si="21"/>
        <v>0</v>
      </c>
      <c r="J64" s="243">
        <f t="shared" si="21"/>
        <v>0</v>
      </c>
      <c r="K64" s="243">
        <f t="shared" si="21"/>
        <v>0</v>
      </c>
      <c r="L64" s="243">
        <f t="shared" si="21"/>
        <v>0</v>
      </c>
      <c r="M64" s="243">
        <f t="shared" si="21"/>
        <v>0</v>
      </c>
      <c r="N64" s="243">
        <f t="shared" si="21"/>
        <v>0</v>
      </c>
      <c r="O64" s="243">
        <f t="shared" si="21"/>
        <v>0</v>
      </c>
      <c r="P64" s="243">
        <f t="shared" si="21"/>
        <v>0</v>
      </c>
      <c r="Q64" s="243">
        <f t="shared" si="21"/>
        <v>0</v>
      </c>
      <c r="R64" s="243">
        <f t="shared" si="21"/>
        <v>0</v>
      </c>
      <c r="S64" s="243">
        <f t="shared" si="21"/>
        <v>0</v>
      </c>
      <c r="T64" s="243">
        <f t="shared" si="21"/>
        <v>0</v>
      </c>
      <c r="U64" s="243">
        <f t="shared" si="21"/>
        <v>0</v>
      </c>
      <c r="V64" s="243">
        <f t="shared" si="21"/>
        <v>0</v>
      </c>
      <c r="W64" s="243">
        <f t="shared" si="21"/>
        <v>0</v>
      </c>
      <c r="X64" s="243">
        <f t="shared" si="21"/>
        <v>0</v>
      </c>
      <c r="Y64" s="243">
        <f t="shared" si="21"/>
        <v>0</v>
      </c>
      <c r="Z64" s="243">
        <f t="shared" si="21"/>
        <v>0</v>
      </c>
      <c r="AA64" s="243">
        <f t="shared" si="21"/>
        <v>0</v>
      </c>
      <c r="AB64" s="243">
        <f t="shared" si="21"/>
        <v>0</v>
      </c>
      <c r="AC64" s="243">
        <f t="shared" si="21"/>
        <v>0</v>
      </c>
      <c r="AD64" s="243">
        <f t="shared" si="21"/>
        <v>0</v>
      </c>
      <c r="AE64" s="243">
        <f t="shared" si="21"/>
        <v>0</v>
      </c>
      <c r="AF64" s="243">
        <f t="shared" si="21"/>
        <v>0</v>
      </c>
      <c r="AG64" s="243">
        <f t="shared" si="21"/>
        <v>0</v>
      </c>
      <c r="AH64" s="243">
        <f t="shared" si="21"/>
        <v>0</v>
      </c>
      <c r="AI64" s="243">
        <f t="shared" si="21"/>
        <v>0</v>
      </c>
      <c r="AJ64" s="243">
        <f t="shared" si="21"/>
        <v>0</v>
      </c>
      <c r="AK64" s="243">
        <f t="shared" si="21"/>
        <v>0</v>
      </c>
      <c r="AL64" s="243">
        <f t="shared" si="21"/>
        <v>0</v>
      </c>
      <c r="AM64" s="243">
        <f t="shared" si="21"/>
        <v>0</v>
      </c>
      <c r="AN64" s="243">
        <f t="shared" si="21"/>
        <v>0</v>
      </c>
      <c r="AO64" s="243">
        <f t="shared" si="21"/>
        <v>0</v>
      </c>
      <c r="AP64" s="243">
        <f t="shared" si="21"/>
        <v>0</v>
      </c>
    </row>
    <row r="65" spans="2:42" x14ac:dyDescent="0.2">
      <c r="B65" s="230" t="s">
        <v>394</v>
      </c>
      <c r="C65" s="235">
        <f t="shared" si="18"/>
        <v>0</v>
      </c>
      <c r="D65" s="235">
        <f>D61+D63</f>
        <v>0</v>
      </c>
      <c r="E65" s="235">
        <f t="shared" ref="E65:AP65" si="22">E61+E63</f>
        <v>0</v>
      </c>
      <c r="F65" s="235">
        <f t="shared" si="22"/>
        <v>0</v>
      </c>
      <c r="G65" s="235">
        <f t="shared" si="22"/>
        <v>0</v>
      </c>
      <c r="H65" s="235">
        <f t="shared" si="22"/>
        <v>0</v>
      </c>
      <c r="I65" s="235">
        <f t="shared" si="22"/>
        <v>0</v>
      </c>
      <c r="J65" s="235">
        <f t="shared" si="22"/>
        <v>0</v>
      </c>
      <c r="K65" s="235">
        <f t="shared" si="22"/>
        <v>0</v>
      </c>
      <c r="L65" s="235">
        <f t="shared" si="22"/>
        <v>0</v>
      </c>
      <c r="M65" s="235">
        <f t="shared" si="22"/>
        <v>0</v>
      </c>
      <c r="N65" s="235">
        <f t="shared" si="22"/>
        <v>0</v>
      </c>
      <c r="O65" s="235">
        <f t="shared" si="22"/>
        <v>0</v>
      </c>
      <c r="P65" s="235">
        <f t="shared" si="22"/>
        <v>0</v>
      </c>
      <c r="Q65" s="235">
        <f t="shared" si="22"/>
        <v>0</v>
      </c>
      <c r="R65" s="235">
        <f t="shared" si="22"/>
        <v>0</v>
      </c>
      <c r="S65" s="235">
        <f t="shared" si="22"/>
        <v>0</v>
      </c>
      <c r="T65" s="235">
        <f t="shared" si="22"/>
        <v>0</v>
      </c>
      <c r="U65" s="235">
        <f t="shared" si="22"/>
        <v>0</v>
      </c>
      <c r="V65" s="235">
        <f t="shared" si="22"/>
        <v>0</v>
      </c>
      <c r="W65" s="235">
        <f t="shared" si="22"/>
        <v>0</v>
      </c>
      <c r="X65" s="235">
        <f t="shared" si="22"/>
        <v>0</v>
      </c>
      <c r="Y65" s="235">
        <f t="shared" si="22"/>
        <v>0</v>
      </c>
      <c r="Z65" s="235">
        <f t="shared" si="22"/>
        <v>0</v>
      </c>
      <c r="AA65" s="235">
        <f t="shared" si="22"/>
        <v>0</v>
      </c>
      <c r="AB65" s="235">
        <f t="shared" si="22"/>
        <v>0</v>
      </c>
      <c r="AC65" s="235">
        <f t="shared" si="22"/>
        <v>0</v>
      </c>
      <c r="AD65" s="235">
        <f t="shared" si="22"/>
        <v>0</v>
      </c>
      <c r="AE65" s="235">
        <f t="shared" si="22"/>
        <v>0</v>
      </c>
      <c r="AF65" s="235">
        <f t="shared" si="22"/>
        <v>0</v>
      </c>
      <c r="AG65" s="235">
        <f t="shared" si="22"/>
        <v>0</v>
      </c>
      <c r="AH65" s="235">
        <f t="shared" si="22"/>
        <v>0</v>
      </c>
      <c r="AI65" s="235">
        <f t="shared" si="22"/>
        <v>0</v>
      </c>
      <c r="AJ65" s="235">
        <f t="shared" si="22"/>
        <v>0</v>
      </c>
      <c r="AK65" s="235">
        <f t="shared" si="22"/>
        <v>0</v>
      </c>
      <c r="AL65" s="235">
        <f t="shared" si="22"/>
        <v>0</v>
      </c>
      <c r="AM65" s="235">
        <f t="shared" si="22"/>
        <v>0</v>
      </c>
      <c r="AN65" s="235">
        <f t="shared" si="22"/>
        <v>0</v>
      </c>
      <c r="AO65" s="235">
        <f t="shared" si="22"/>
        <v>0</v>
      </c>
      <c r="AP65" s="235">
        <f t="shared" si="22"/>
        <v>0</v>
      </c>
    </row>
    <row r="66" spans="2:42" x14ac:dyDescent="0.2">
      <c r="B66" s="230" t="s">
        <v>395</v>
      </c>
      <c r="C66" s="235">
        <f t="shared" si="18"/>
        <v>0</v>
      </c>
      <c r="D66" s="235">
        <f t="shared" ref="D66:AP66" si="23">D62</f>
        <v>0</v>
      </c>
      <c r="E66" s="235">
        <f t="shared" si="23"/>
        <v>0</v>
      </c>
      <c r="F66" s="235">
        <f t="shared" si="23"/>
        <v>0</v>
      </c>
      <c r="G66" s="235">
        <f t="shared" si="23"/>
        <v>0</v>
      </c>
      <c r="H66" s="235">
        <f t="shared" si="23"/>
        <v>0</v>
      </c>
      <c r="I66" s="235">
        <f t="shared" si="23"/>
        <v>0</v>
      </c>
      <c r="J66" s="235">
        <f t="shared" si="23"/>
        <v>0</v>
      </c>
      <c r="K66" s="235">
        <f t="shared" si="23"/>
        <v>0</v>
      </c>
      <c r="L66" s="235">
        <f t="shared" si="23"/>
        <v>0</v>
      </c>
      <c r="M66" s="235">
        <f t="shared" si="23"/>
        <v>0</v>
      </c>
      <c r="N66" s="235">
        <f t="shared" si="23"/>
        <v>0</v>
      </c>
      <c r="O66" s="235">
        <f t="shared" si="23"/>
        <v>0</v>
      </c>
      <c r="P66" s="235">
        <f t="shared" si="23"/>
        <v>0</v>
      </c>
      <c r="Q66" s="235">
        <f t="shared" si="23"/>
        <v>0</v>
      </c>
      <c r="R66" s="235">
        <f t="shared" si="23"/>
        <v>0</v>
      </c>
      <c r="S66" s="235">
        <f t="shared" si="23"/>
        <v>0</v>
      </c>
      <c r="T66" s="235">
        <f t="shared" si="23"/>
        <v>0</v>
      </c>
      <c r="U66" s="235">
        <f t="shared" si="23"/>
        <v>0</v>
      </c>
      <c r="V66" s="235">
        <f t="shared" si="23"/>
        <v>0</v>
      </c>
      <c r="W66" s="235">
        <f t="shared" si="23"/>
        <v>0</v>
      </c>
      <c r="X66" s="235">
        <f t="shared" si="23"/>
        <v>0</v>
      </c>
      <c r="Y66" s="235">
        <f t="shared" si="23"/>
        <v>0</v>
      </c>
      <c r="Z66" s="235">
        <f t="shared" si="23"/>
        <v>0</v>
      </c>
      <c r="AA66" s="235">
        <f t="shared" si="23"/>
        <v>0</v>
      </c>
      <c r="AB66" s="235">
        <f t="shared" si="23"/>
        <v>0</v>
      </c>
      <c r="AC66" s="235">
        <f t="shared" si="23"/>
        <v>0</v>
      </c>
      <c r="AD66" s="235">
        <f t="shared" si="23"/>
        <v>0</v>
      </c>
      <c r="AE66" s="235">
        <f t="shared" si="23"/>
        <v>0</v>
      </c>
      <c r="AF66" s="235">
        <f t="shared" si="23"/>
        <v>0</v>
      </c>
      <c r="AG66" s="235">
        <f t="shared" si="23"/>
        <v>0</v>
      </c>
      <c r="AH66" s="235">
        <f t="shared" si="23"/>
        <v>0</v>
      </c>
      <c r="AI66" s="235">
        <f t="shared" si="23"/>
        <v>0</v>
      </c>
      <c r="AJ66" s="235">
        <f t="shared" si="23"/>
        <v>0</v>
      </c>
      <c r="AK66" s="235">
        <f t="shared" si="23"/>
        <v>0</v>
      </c>
      <c r="AL66" s="235">
        <f t="shared" si="23"/>
        <v>0</v>
      </c>
      <c r="AM66" s="235">
        <f t="shared" si="23"/>
        <v>0</v>
      </c>
      <c r="AN66" s="235">
        <f t="shared" si="23"/>
        <v>0</v>
      </c>
      <c r="AO66" s="235">
        <f t="shared" si="23"/>
        <v>0</v>
      </c>
      <c r="AP66" s="235">
        <f t="shared" si="23"/>
        <v>0</v>
      </c>
    </row>
    <row r="67" spans="2:42" x14ac:dyDescent="0.2"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</row>
    <row r="69" spans="2:42" x14ac:dyDescent="0.2">
      <c r="B69" s="232" t="s">
        <v>439</v>
      </c>
      <c r="C69" s="249" t="s">
        <v>9</v>
      </c>
    </row>
    <row r="70" spans="2:42" x14ac:dyDescent="0.2">
      <c r="B70" s="245" t="s">
        <v>109</v>
      </c>
      <c r="C70" s="235">
        <f>SUM(D70:AP70)</f>
        <v>0</v>
      </c>
      <c r="D70" s="235">
        <f>D64*[1]Parametre!$C$180</f>
        <v>0</v>
      </c>
      <c r="E70" s="235">
        <f>E64*[1]Parametre!$C$180</f>
        <v>0</v>
      </c>
      <c r="F70" s="235">
        <f>F64*[1]Parametre!$C$180</f>
        <v>0</v>
      </c>
      <c r="G70" s="235">
        <f>G64*[1]Parametre!$C$180</f>
        <v>0</v>
      </c>
      <c r="H70" s="235">
        <f>H64*[1]Parametre!$C$180</f>
        <v>0</v>
      </c>
      <c r="I70" s="235">
        <f>I64*[1]Parametre!$C$180</f>
        <v>0</v>
      </c>
      <c r="J70" s="235">
        <f>J64*[1]Parametre!$C$180</f>
        <v>0</v>
      </c>
      <c r="K70" s="235">
        <f>K64*[1]Parametre!$C$180</f>
        <v>0</v>
      </c>
      <c r="L70" s="235">
        <f>L64*[1]Parametre!$C$180</f>
        <v>0</v>
      </c>
      <c r="M70" s="235">
        <f>M64*[1]Parametre!$C$180</f>
        <v>0</v>
      </c>
      <c r="N70" s="235">
        <f>N64*[1]Parametre!$C$180</f>
        <v>0</v>
      </c>
      <c r="O70" s="235">
        <f>O64*[1]Parametre!$C$180</f>
        <v>0</v>
      </c>
      <c r="P70" s="235">
        <f>P64*[1]Parametre!$C$180</f>
        <v>0</v>
      </c>
      <c r="Q70" s="235">
        <f>Q64*[1]Parametre!$C$180</f>
        <v>0</v>
      </c>
      <c r="R70" s="235">
        <f>R64*[1]Parametre!$C$180</f>
        <v>0</v>
      </c>
      <c r="S70" s="235">
        <f>S64*[1]Parametre!$C$180</f>
        <v>0</v>
      </c>
      <c r="T70" s="235">
        <f>T64*[1]Parametre!$C$180</f>
        <v>0</v>
      </c>
      <c r="U70" s="235">
        <f>U64*[1]Parametre!$C$180</f>
        <v>0</v>
      </c>
      <c r="V70" s="235">
        <f>V64*[1]Parametre!$C$180</f>
        <v>0</v>
      </c>
      <c r="W70" s="235">
        <f>W64*[1]Parametre!$C$180</f>
        <v>0</v>
      </c>
      <c r="X70" s="235">
        <f>X64*[1]Parametre!$C$180</f>
        <v>0</v>
      </c>
      <c r="Y70" s="235">
        <f>Y64*[1]Parametre!$C$180</f>
        <v>0</v>
      </c>
      <c r="Z70" s="235">
        <f>Z64*[1]Parametre!$C$180</f>
        <v>0</v>
      </c>
      <c r="AA70" s="235">
        <f>AA64*[1]Parametre!$C$180</f>
        <v>0</v>
      </c>
      <c r="AB70" s="235">
        <f>AB64*[1]Parametre!$C$180</f>
        <v>0</v>
      </c>
      <c r="AC70" s="235">
        <f>AC64*[1]Parametre!$C$180</f>
        <v>0</v>
      </c>
      <c r="AD70" s="235">
        <f>AD64*[1]Parametre!$C$180</f>
        <v>0</v>
      </c>
      <c r="AE70" s="235">
        <f>AE64*[1]Parametre!$C$180</f>
        <v>0</v>
      </c>
      <c r="AF70" s="235">
        <f>AF64*[1]Parametre!$C$180</f>
        <v>0</v>
      </c>
      <c r="AG70" s="235">
        <f>AG64*[1]Parametre!$C$180</f>
        <v>0</v>
      </c>
      <c r="AH70" s="235">
        <f>AH64*[1]Parametre!$C$180</f>
        <v>0</v>
      </c>
      <c r="AI70" s="235">
        <f>AI64*[1]Parametre!$C$180</f>
        <v>0</v>
      </c>
      <c r="AJ70" s="235">
        <f>AJ64*[1]Parametre!$C$180</f>
        <v>0</v>
      </c>
      <c r="AK70" s="235">
        <f>AK64*[1]Parametre!$C$180</f>
        <v>0</v>
      </c>
      <c r="AL70" s="235">
        <f>AL64*[1]Parametre!$C$180</f>
        <v>0</v>
      </c>
      <c r="AM70" s="235">
        <f>AM64*[1]Parametre!$C$180</f>
        <v>0</v>
      </c>
      <c r="AN70" s="235">
        <f>AN64*[1]Parametre!$C$180</f>
        <v>0</v>
      </c>
      <c r="AO70" s="235">
        <f>AO64*[1]Parametre!$C$180</f>
        <v>0</v>
      </c>
      <c r="AP70" s="235">
        <f>AP64*[1]Parametre!$C$180</f>
        <v>0</v>
      </c>
    </row>
    <row r="71" spans="2:42" x14ac:dyDescent="0.2">
      <c r="B71" s="245" t="s">
        <v>110</v>
      </c>
      <c r="C71" s="235">
        <f t="shared" ref="C71:C73" si="24">SUM(D71:AP71)</f>
        <v>0</v>
      </c>
      <c r="D71" s="235">
        <f>D65*[1]Parametre!$C$181</f>
        <v>0</v>
      </c>
      <c r="E71" s="235">
        <f>E65*[1]Parametre!$C$181</f>
        <v>0</v>
      </c>
      <c r="F71" s="235">
        <f>F65*[1]Parametre!$C$181</f>
        <v>0</v>
      </c>
      <c r="G71" s="235">
        <f>G65*[1]Parametre!$C$181</f>
        <v>0</v>
      </c>
      <c r="H71" s="235">
        <f>H65*[1]Parametre!$C$181</f>
        <v>0</v>
      </c>
      <c r="I71" s="235">
        <f>I65*[1]Parametre!$C$181</f>
        <v>0</v>
      </c>
      <c r="J71" s="235">
        <f>J65*[1]Parametre!$C$181</f>
        <v>0</v>
      </c>
      <c r="K71" s="235">
        <f>K65*[1]Parametre!$C$181</f>
        <v>0</v>
      </c>
      <c r="L71" s="235">
        <f>L65*[1]Parametre!$C$181</f>
        <v>0</v>
      </c>
      <c r="M71" s="235">
        <f>M65*[1]Parametre!$C$181</f>
        <v>0</v>
      </c>
      <c r="N71" s="235">
        <f>N65*[1]Parametre!$C$181</f>
        <v>0</v>
      </c>
      <c r="O71" s="235">
        <f>O65*[1]Parametre!$C$181</f>
        <v>0</v>
      </c>
      <c r="P71" s="235">
        <f>P65*[1]Parametre!$C$181</f>
        <v>0</v>
      </c>
      <c r="Q71" s="235">
        <f>Q65*[1]Parametre!$C$181</f>
        <v>0</v>
      </c>
      <c r="R71" s="235">
        <f>R65*[1]Parametre!$C$181</f>
        <v>0</v>
      </c>
      <c r="S71" s="235">
        <f>S65*[1]Parametre!$C$181</f>
        <v>0</v>
      </c>
      <c r="T71" s="235">
        <f>T65*[1]Parametre!$C$181</f>
        <v>0</v>
      </c>
      <c r="U71" s="235">
        <f>U65*[1]Parametre!$C$181</f>
        <v>0</v>
      </c>
      <c r="V71" s="235">
        <f>V65*[1]Parametre!$C$181</f>
        <v>0</v>
      </c>
      <c r="W71" s="235">
        <f>W65*[1]Parametre!$C$181</f>
        <v>0</v>
      </c>
      <c r="X71" s="235">
        <f>X65*[1]Parametre!$C$181</f>
        <v>0</v>
      </c>
      <c r="Y71" s="235">
        <f>Y65*[1]Parametre!$C$181</f>
        <v>0</v>
      </c>
      <c r="Z71" s="235">
        <f>Z65*[1]Parametre!$C$181</f>
        <v>0</v>
      </c>
      <c r="AA71" s="235">
        <f>AA65*[1]Parametre!$C$181</f>
        <v>0</v>
      </c>
      <c r="AB71" s="235">
        <f>AB65*[1]Parametre!$C$181</f>
        <v>0</v>
      </c>
      <c r="AC71" s="235">
        <f>AC65*[1]Parametre!$C$181</f>
        <v>0</v>
      </c>
      <c r="AD71" s="235">
        <f>AD65*[1]Parametre!$C$181</f>
        <v>0</v>
      </c>
      <c r="AE71" s="235">
        <f>AE65*[1]Parametre!$C$181</f>
        <v>0</v>
      </c>
      <c r="AF71" s="235">
        <f>AF65*[1]Parametre!$C$181</f>
        <v>0</v>
      </c>
      <c r="AG71" s="235">
        <f>AG65*[1]Parametre!$C$181</f>
        <v>0</v>
      </c>
      <c r="AH71" s="235">
        <f>AH65*[1]Parametre!$C$181</f>
        <v>0</v>
      </c>
      <c r="AI71" s="235">
        <f>AI65*[1]Parametre!$C$181</f>
        <v>0</v>
      </c>
      <c r="AJ71" s="235">
        <f>AJ65*[1]Parametre!$C$181</f>
        <v>0</v>
      </c>
      <c r="AK71" s="235">
        <f>AK65*[1]Parametre!$C$181</f>
        <v>0</v>
      </c>
      <c r="AL71" s="235">
        <f>AL65*[1]Parametre!$C$181</f>
        <v>0</v>
      </c>
      <c r="AM71" s="235">
        <f>AM65*[1]Parametre!$C$181</f>
        <v>0</v>
      </c>
      <c r="AN71" s="235">
        <f>AN65*[1]Parametre!$C$181</f>
        <v>0</v>
      </c>
      <c r="AO71" s="235">
        <f>AO65*[1]Parametre!$C$181</f>
        <v>0</v>
      </c>
      <c r="AP71" s="235">
        <f>AP65*[1]Parametre!$C$181</f>
        <v>0</v>
      </c>
    </row>
    <row r="72" spans="2:42" x14ac:dyDescent="0.2">
      <c r="B72" s="230" t="s">
        <v>308</v>
      </c>
      <c r="C72" s="235">
        <f t="shared" si="24"/>
        <v>0</v>
      </c>
      <c r="D72" s="300">
        <f>D66*[1]Parametre!$C$182</f>
        <v>0</v>
      </c>
      <c r="E72" s="300">
        <f>E66*[1]Parametre!$C$182</f>
        <v>0</v>
      </c>
      <c r="F72" s="300">
        <f>F66*[1]Parametre!$C$182</f>
        <v>0</v>
      </c>
      <c r="G72" s="300">
        <f>G66*[1]Parametre!$C$182</f>
        <v>0</v>
      </c>
      <c r="H72" s="300">
        <f>H66*[1]Parametre!$C$182</f>
        <v>0</v>
      </c>
      <c r="I72" s="300">
        <f>I66*[1]Parametre!$C$182</f>
        <v>0</v>
      </c>
      <c r="J72" s="300">
        <f>J66*[1]Parametre!$C$182</f>
        <v>0</v>
      </c>
      <c r="K72" s="300">
        <f>K66*[1]Parametre!$C$182</f>
        <v>0</v>
      </c>
      <c r="L72" s="300">
        <f>L66*[1]Parametre!$C$182</f>
        <v>0</v>
      </c>
      <c r="M72" s="300">
        <f>M66*[1]Parametre!$C$182</f>
        <v>0</v>
      </c>
      <c r="N72" s="300">
        <f>N66*[1]Parametre!$C$182</f>
        <v>0</v>
      </c>
      <c r="O72" s="300">
        <f>O66*[1]Parametre!$C$182</f>
        <v>0</v>
      </c>
      <c r="P72" s="300">
        <f>P66*[1]Parametre!$C$182</f>
        <v>0</v>
      </c>
      <c r="Q72" s="300">
        <f>Q66*[1]Parametre!$C$182</f>
        <v>0</v>
      </c>
      <c r="R72" s="300">
        <f>R66*[1]Parametre!$C$182</f>
        <v>0</v>
      </c>
      <c r="S72" s="300">
        <f>S66*[1]Parametre!$C$182</f>
        <v>0</v>
      </c>
      <c r="T72" s="300">
        <f>T66*[1]Parametre!$C$182</f>
        <v>0</v>
      </c>
      <c r="U72" s="300">
        <f>U66*[1]Parametre!$C$182</f>
        <v>0</v>
      </c>
      <c r="V72" s="300">
        <f>V66*[1]Parametre!$C$182</f>
        <v>0</v>
      </c>
      <c r="W72" s="300">
        <f>W66*[1]Parametre!$C$182</f>
        <v>0</v>
      </c>
      <c r="X72" s="300">
        <f>X66*[1]Parametre!$C$182</f>
        <v>0</v>
      </c>
      <c r="Y72" s="300">
        <f>Y66*[1]Parametre!$C$182</f>
        <v>0</v>
      </c>
      <c r="Z72" s="300">
        <f>Z66*[1]Parametre!$C$182</f>
        <v>0</v>
      </c>
      <c r="AA72" s="300">
        <f>AA66*[1]Parametre!$C$182</f>
        <v>0</v>
      </c>
      <c r="AB72" s="300">
        <f>AB66*[1]Parametre!$C$182</f>
        <v>0</v>
      </c>
      <c r="AC72" s="300">
        <f>AC66*[1]Parametre!$C$182</f>
        <v>0</v>
      </c>
      <c r="AD72" s="300">
        <f>AD66*[1]Parametre!$C$182</f>
        <v>0</v>
      </c>
      <c r="AE72" s="300">
        <f>AE66*[1]Parametre!$C$182</f>
        <v>0</v>
      </c>
      <c r="AF72" s="300">
        <f>AF66*[1]Parametre!$C$182</f>
        <v>0</v>
      </c>
      <c r="AG72" s="300">
        <f>AG66*[1]Parametre!$C$182</f>
        <v>0</v>
      </c>
      <c r="AH72" s="300">
        <f>AH66*[1]Parametre!$C$182</f>
        <v>0</v>
      </c>
      <c r="AI72" s="300">
        <f>AI66*[1]Parametre!$C$182</f>
        <v>0</v>
      </c>
      <c r="AJ72" s="300">
        <f>AJ66*[1]Parametre!$C$182</f>
        <v>0</v>
      </c>
      <c r="AK72" s="300">
        <f>AK66*[1]Parametre!$C$182</f>
        <v>0</v>
      </c>
      <c r="AL72" s="300">
        <f>AL66*[1]Parametre!$C$182</f>
        <v>0</v>
      </c>
      <c r="AM72" s="300">
        <f>AM66*[1]Parametre!$C$182</f>
        <v>0</v>
      </c>
      <c r="AN72" s="300">
        <f>AN66*[1]Parametre!$C$182</f>
        <v>0</v>
      </c>
      <c r="AO72" s="300">
        <f>AO66*[1]Parametre!$C$182</f>
        <v>0</v>
      </c>
      <c r="AP72" s="300">
        <f>AP66*[1]Parametre!$C$182</f>
        <v>0</v>
      </c>
    </row>
    <row r="73" spans="2:42" x14ac:dyDescent="0.2">
      <c r="B73" s="246" t="s">
        <v>9</v>
      </c>
      <c r="C73" s="248">
        <f t="shared" si="24"/>
        <v>0</v>
      </c>
      <c r="D73" s="248">
        <f>SUM(D70:D72)</f>
        <v>0</v>
      </c>
      <c r="E73" s="248">
        <f t="shared" ref="E73:AP73" si="25">SUM(E70:E72)</f>
        <v>0</v>
      </c>
      <c r="F73" s="248">
        <f t="shared" si="25"/>
        <v>0</v>
      </c>
      <c r="G73" s="248">
        <f t="shared" si="25"/>
        <v>0</v>
      </c>
      <c r="H73" s="248">
        <f t="shared" si="25"/>
        <v>0</v>
      </c>
      <c r="I73" s="248">
        <f t="shared" si="25"/>
        <v>0</v>
      </c>
      <c r="J73" s="248">
        <f t="shared" si="25"/>
        <v>0</v>
      </c>
      <c r="K73" s="248">
        <f t="shared" si="25"/>
        <v>0</v>
      </c>
      <c r="L73" s="248">
        <f t="shared" si="25"/>
        <v>0</v>
      </c>
      <c r="M73" s="248">
        <f t="shared" si="25"/>
        <v>0</v>
      </c>
      <c r="N73" s="248">
        <f t="shared" si="25"/>
        <v>0</v>
      </c>
      <c r="O73" s="248">
        <f t="shared" si="25"/>
        <v>0</v>
      </c>
      <c r="P73" s="248">
        <f t="shared" si="25"/>
        <v>0</v>
      </c>
      <c r="Q73" s="248">
        <f t="shared" si="25"/>
        <v>0</v>
      </c>
      <c r="R73" s="248">
        <f t="shared" si="25"/>
        <v>0</v>
      </c>
      <c r="S73" s="248">
        <f t="shared" si="25"/>
        <v>0</v>
      </c>
      <c r="T73" s="248">
        <f t="shared" si="25"/>
        <v>0</v>
      </c>
      <c r="U73" s="248">
        <f t="shared" si="25"/>
        <v>0</v>
      </c>
      <c r="V73" s="248">
        <f t="shared" si="25"/>
        <v>0</v>
      </c>
      <c r="W73" s="248">
        <f t="shared" si="25"/>
        <v>0</v>
      </c>
      <c r="X73" s="248">
        <f t="shared" si="25"/>
        <v>0</v>
      </c>
      <c r="Y73" s="248">
        <f t="shared" si="25"/>
        <v>0</v>
      </c>
      <c r="Z73" s="248">
        <f t="shared" si="25"/>
        <v>0</v>
      </c>
      <c r="AA73" s="248">
        <f t="shared" si="25"/>
        <v>0</v>
      </c>
      <c r="AB73" s="248">
        <f t="shared" si="25"/>
        <v>0</v>
      </c>
      <c r="AC73" s="248">
        <f t="shared" si="25"/>
        <v>0</v>
      </c>
      <c r="AD73" s="248">
        <f t="shared" si="25"/>
        <v>0</v>
      </c>
      <c r="AE73" s="248">
        <f t="shared" si="25"/>
        <v>0</v>
      </c>
      <c r="AF73" s="248">
        <f t="shared" si="25"/>
        <v>0</v>
      </c>
      <c r="AG73" s="248">
        <f t="shared" si="25"/>
        <v>0</v>
      </c>
      <c r="AH73" s="248">
        <f t="shared" si="25"/>
        <v>0</v>
      </c>
      <c r="AI73" s="248">
        <f t="shared" si="25"/>
        <v>0</v>
      </c>
      <c r="AJ73" s="248">
        <f t="shared" si="25"/>
        <v>0</v>
      </c>
      <c r="AK73" s="248">
        <f t="shared" si="25"/>
        <v>0</v>
      </c>
      <c r="AL73" s="248">
        <f t="shared" si="25"/>
        <v>0</v>
      </c>
      <c r="AM73" s="248">
        <f t="shared" si="25"/>
        <v>0</v>
      </c>
      <c r="AN73" s="248">
        <f t="shared" si="25"/>
        <v>0</v>
      </c>
      <c r="AO73" s="248">
        <f t="shared" si="25"/>
        <v>0</v>
      </c>
      <c r="AP73" s="248">
        <f t="shared" si="25"/>
        <v>0</v>
      </c>
    </row>
    <row r="76" spans="2:42" x14ac:dyDescent="0.2">
      <c r="B76" s="232" t="s">
        <v>440</v>
      </c>
      <c r="C76" s="249" t="s">
        <v>9</v>
      </c>
    </row>
    <row r="77" spans="2:42" x14ac:dyDescent="0.2">
      <c r="B77" s="245" t="s">
        <v>109</v>
      </c>
      <c r="C77" s="235">
        <f>SUM(D77:AP77)</f>
        <v>0</v>
      </c>
      <c r="D77" s="235">
        <f t="shared" ref="D77:AP79" si="26">D33+D70</f>
        <v>0</v>
      </c>
      <c r="E77" s="235">
        <f t="shared" si="26"/>
        <v>0</v>
      </c>
      <c r="F77" s="235">
        <f t="shared" si="26"/>
        <v>0</v>
      </c>
      <c r="G77" s="235">
        <f t="shared" si="26"/>
        <v>0</v>
      </c>
      <c r="H77" s="235">
        <f>H33+H70</f>
        <v>0</v>
      </c>
      <c r="I77" s="235">
        <f t="shared" si="26"/>
        <v>0</v>
      </c>
      <c r="J77" s="235">
        <f t="shared" si="26"/>
        <v>0</v>
      </c>
      <c r="K77" s="235">
        <f t="shared" si="26"/>
        <v>0</v>
      </c>
      <c r="L77" s="235">
        <f t="shared" si="26"/>
        <v>0</v>
      </c>
      <c r="M77" s="235">
        <f t="shared" si="26"/>
        <v>0</v>
      </c>
      <c r="N77" s="235">
        <f t="shared" si="26"/>
        <v>0</v>
      </c>
      <c r="O77" s="235">
        <f t="shared" si="26"/>
        <v>0</v>
      </c>
      <c r="P77" s="235">
        <f t="shared" si="26"/>
        <v>0</v>
      </c>
      <c r="Q77" s="235">
        <f t="shared" si="26"/>
        <v>0</v>
      </c>
      <c r="R77" s="235">
        <f t="shared" si="26"/>
        <v>0</v>
      </c>
      <c r="S77" s="235">
        <f t="shared" si="26"/>
        <v>0</v>
      </c>
      <c r="T77" s="235">
        <f t="shared" si="26"/>
        <v>0</v>
      </c>
      <c r="U77" s="235">
        <f t="shared" si="26"/>
        <v>0</v>
      </c>
      <c r="V77" s="235">
        <f t="shared" si="26"/>
        <v>0</v>
      </c>
      <c r="W77" s="235">
        <f t="shared" si="26"/>
        <v>0</v>
      </c>
      <c r="X77" s="235">
        <f t="shared" si="26"/>
        <v>0</v>
      </c>
      <c r="Y77" s="235">
        <f t="shared" si="26"/>
        <v>0</v>
      </c>
      <c r="Z77" s="235">
        <f t="shared" si="26"/>
        <v>0</v>
      </c>
      <c r="AA77" s="235">
        <f t="shared" si="26"/>
        <v>0</v>
      </c>
      <c r="AB77" s="235">
        <f t="shared" si="26"/>
        <v>0</v>
      </c>
      <c r="AC77" s="235">
        <f t="shared" si="26"/>
        <v>0</v>
      </c>
      <c r="AD77" s="235">
        <f t="shared" si="26"/>
        <v>0</v>
      </c>
      <c r="AE77" s="235">
        <f t="shared" si="26"/>
        <v>0</v>
      </c>
      <c r="AF77" s="235">
        <f t="shared" si="26"/>
        <v>0</v>
      </c>
      <c r="AG77" s="235">
        <f t="shared" si="26"/>
        <v>0</v>
      </c>
      <c r="AH77" s="235">
        <f t="shared" si="26"/>
        <v>0</v>
      </c>
      <c r="AI77" s="235">
        <f t="shared" si="26"/>
        <v>0</v>
      </c>
      <c r="AJ77" s="235">
        <f t="shared" si="26"/>
        <v>0</v>
      </c>
      <c r="AK77" s="235">
        <f t="shared" si="26"/>
        <v>0</v>
      </c>
      <c r="AL77" s="235">
        <f t="shared" si="26"/>
        <v>0</v>
      </c>
      <c r="AM77" s="235">
        <f t="shared" si="26"/>
        <v>0</v>
      </c>
      <c r="AN77" s="235">
        <f t="shared" si="26"/>
        <v>0</v>
      </c>
      <c r="AO77" s="235">
        <f t="shared" si="26"/>
        <v>0</v>
      </c>
      <c r="AP77" s="235">
        <f t="shared" si="26"/>
        <v>0</v>
      </c>
    </row>
    <row r="78" spans="2:42" x14ac:dyDescent="0.2">
      <c r="B78" s="245" t="s">
        <v>110</v>
      </c>
      <c r="C78" s="235">
        <f t="shared" ref="C78:C80" si="27">SUM(D78:AP78)</f>
        <v>0</v>
      </c>
      <c r="D78" s="235">
        <f t="shared" si="26"/>
        <v>0</v>
      </c>
      <c r="E78" s="235">
        <f t="shared" si="26"/>
        <v>0</v>
      </c>
      <c r="F78" s="235">
        <f t="shared" si="26"/>
        <v>0</v>
      </c>
      <c r="G78" s="235">
        <f t="shared" si="26"/>
        <v>0</v>
      </c>
      <c r="H78" s="235">
        <f t="shared" si="26"/>
        <v>0</v>
      </c>
      <c r="I78" s="235">
        <f t="shared" si="26"/>
        <v>0</v>
      </c>
      <c r="J78" s="235">
        <f t="shared" si="26"/>
        <v>0</v>
      </c>
      <c r="K78" s="235">
        <f t="shared" si="26"/>
        <v>0</v>
      </c>
      <c r="L78" s="235">
        <f t="shared" si="26"/>
        <v>0</v>
      </c>
      <c r="M78" s="235">
        <f t="shared" si="26"/>
        <v>0</v>
      </c>
      <c r="N78" s="235">
        <f t="shared" si="26"/>
        <v>0</v>
      </c>
      <c r="O78" s="235">
        <f t="shared" si="26"/>
        <v>0</v>
      </c>
      <c r="P78" s="235">
        <f t="shared" si="26"/>
        <v>0</v>
      </c>
      <c r="Q78" s="235">
        <f t="shared" si="26"/>
        <v>0</v>
      </c>
      <c r="R78" s="235">
        <f t="shared" si="26"/>
        <v>0</v>
      </c>
      <c r="S78" s="235">
        <f t="shared" si="26"/>
        <v>0</v>
      </c>
      <c r="T78" s="235">
        <f t="shared" si="26"/>
        <v>0</v>
      </c>
      <c r="U78" s="235">
        <f t="shared" si="26"/>
        <v>0</v>
      </c>
      <c r="V78" s="235">
        <f t="shared" si="26"/>
        <v>0</v>
      </c>
      <c r="W78" s="235">
        <f t="shared" si="26"/>
        <v>0</v>
      </c>
      <c r="X78" s="235">
        <f t="shared" si="26"/>
        <v>0</v>
      </c>
      <c r="Y78" s="235">
        <f t="shared" si="26"/>
        <v>0</v>
      </c>
      <c r="Z78" s="235">
        <f t="shared" si="26"/>
        <v>0</v>
      </c>
      <c r="AA78" s="235">
        <f t="shared" si="26"/>
        <v>0</v>
      </c>
      <c r="AB78" s="235">
        <f t="shared" si="26"/>
        <v>0</v>
      </c>
      <c r="AC78" s="235">
        <f t="shared" si="26"/>
        <v>0</v>
      </c>
      <c r="AD78" s="235">
        <f t="shared" si="26"/>
        <v>0</v>
      </c>
      <c r="AE78" s="235">
        <f t="shared" si="26"/>
        <v>0</v>
      </c>
      <c r="AF78" s="235">
        <f t="shared" si="26"/>
        <v>0</v>
      </c>
      <c r="AG78" s="235">
        <f t="shared" si="26"/>
        <v>0</v>
      </c>
      <c r="AH78" s="235">
        <f t="shared" si="26"/>
        <v>0</v>
      </c>
      <c r="AI78" s="235">
        <f t="shared" si="26"/>
        <v>0</v>
      </c>
      <c r="AJ78" s="235">
        <f t="shared" si="26"/>
        <v>0</v>
      </c>
      <c r="AK78" s="235">
        <f t="shared" si="26"/>
        <v>0</v>
      </c>
      <c r="AL78" s="235">
        <f t="shared" si="26"/>
        <v>0</v>
      </c>
      <c r="AM78" s="235">
        <f t="shared" si="26"/>
        <v>0</v>
      </c>
      <c r="AN78" s="235">
        <f t="shared" si="26"/>
        <v>0</v>
      </c>
      <c r="AO78" s="235">
        <f t="shared" si="26"/>
        <v>0</v>
      </c>
      <c r="AP78" s="235">
        <f t="shared" si="26"/>
        <v>0</v>
      </c>
    </row>
    <row r="79" spans="2:42" x14ac:dyDescent="0.2">
      <c r="B79" s="299" t="s">
        <v>308</v>
      </c>
      <c r="C79" s="235">
        <f t="shared" si="27"/>
        <v>0</v>
      </c>
      <c r="D79" s="235">
        <f t="shared" si="26"/>
        <v>0</v>
      </c>
      <c r="E79" s="235">
        <f t="shared" si="26"/>
        <v>0</v>
      </c>
      <c r="F79" s="235">
        <f t="shared" si="26"/>
        <v>0</v>
      </c>
      <c r="G79" s="235">
        <f t="shared" si="26"/>
        <v>0</v>
      </c>
      <c r="H79" s="235">
        <f t="shared" si="26"/>
        <v>0</v>
      </c>
      <c r="I79" s="235">
        <f t="shared" si="26"/>
        <v>0</v>
      </c>
      <c r="J79" s="235">
        <f t="shared" si="26"/>
        <v>0</v>
      </c>
      <c r="K79" s="235">
        <f t="shared" si="26"/>
        <v>0</v>
      </c>
      <c r="L79" s="235">
        <f t="shared" si="26"/>
        <v>0</v>
      </c>
      <c r="M79" s="235">
        <f t="shared" si="26"/>
        <v>0</v>
      </c>
      <c r="N79" s="235">
        <f t="shared" si="26"/>
        <v>0</v>
      </c>
      <c r="O79" s="235">
        <f t="shared" si="26"/>
        <v>0</v>
      </c>
      <c r="P79" s="235">
        <f t="shared" si="26"/>
        <v>0</v>
      </c>
      <c r="Q79" s="235">
        <f t="shared" si="26"/>
        <v>0</v>
      </c>
      <c r="R79" s="235">
        <f t="shared" si="26"/>
        <v>0</v>
      </c>
      <c r="S79" s="235">
        <f t="shared" si="26"/>
        <v>0</v>
      </c>
      <c r="T79" s="235">
        <f t="shared" si="26"/>
        <v>0</v>
      </c>
      <c r="U79" s="235">
        <f t="shared" si="26"/>
        <v>0</v>
      </c>
      <c r="V79" s="235">
        <f t="shared" si="26"/>
        <v>0</v>
      </c>
      <c r="W79" s="235">
        <f t="shared" si="26"/>
        <v>0</v>
      </c>
      <c r="X79" s="235">
        <f t="shared" si="26"/>
        <v>0</v>
      </c>
      <c r="Y79" s="235">
        <f t="shared" si="26"/>
        <v>0</v>
      </c>
      <c r="Z79" s="235">
        <f t="shared" si="26"/>
        <v>0</v>
      </c>
      <c r="AA79" s="235">
        <f t="shared" si="26"/>
        <v>0</v>
      </c>
      <c r="AB79" s="235">
        <f t="shared" si="26"/>
        <v>0</v>
      </c>
      <c r="AC79" s="235">
        <f t="shared" si="26"/>
        <v>0</v>
      </c>
      <c r="AD79" s="235">
        <f t="shared" si="26"/>
        <v>0</v>
      </c>
      <c r="AE79" s="235">
        <f t="shared" si="26"/>
        <v>0</v>
      </c>
      <c r="AF79" s="235">
        <f t="shared" si="26"/>
        <v>0</v>
      </c>
      <c r="AG79" s="235">
        <f t="shared" si="26"/>
        <v>0</v>
      </c>
      <c r="AH79" s="235">
        <f t="shared" si="26"/>
        <v>0</v>
      </c>
      <c r="AI79" s="235">
        <f t="shared" si="26"/>
        <v>0</v>
      </c>
      <c r="AJ79" s="235">
        <f t="shared" si="26"/>
        <v>0</v>
      </c>
      <c r="AK79" s="235">
        <f t="shared" si="26"/>
        <v>0</v>
      </c>
      <c r="AL79" s="235">
        <f t="shared" si="26"/>
        <v>0</v>
      </c>
      <c r="AM79" s="235">
        <f t="shared" si="26"/>
        <v>0</v>
      </c>
      <c r="AN79" s="235">
        <f t="shared" si="26"/>
        <v>0</v>
      </c>
      <c r="AO79" s="235">
        <f t="shared" si="26"/>
        <v>0</v>
      </c>
      <c r="AP79" s="235">
        <f t="shared" si="26"/>
        <v>0</v>
      </c>
    </row>
    <row r="80" spans="2:42" x14ac:dyDescent="0.2">
      <c r="B80" s="250" t="s">
        <v>9</v>
      </c>
      <c r="C80" s="252">
        <f t="shared" si="27"/>
        <v>0</v>
      </c>
      <c r="D80" s="252">
        <f t="shared" ref="D80:AP80" si="28">SUM(D77:D78)</f>
        <v>0</v>
      </c>
      <c r="E80" s="251">
        <f t="shared" si="28"/>
        <v>0</v>
      </c>
      <c r="F80" s="251">
        <f t="shared" si="28"/>
        <v>0</v>
      </c>
      <c r="G80" s="251">
        <f t="shared" si="28"/>
        <v>0</v>
      </c>
      <c r="H80" s="251">
        <f t="shared" si="28"/>
        <v>0</v>
      </c>
      <c r="I80" s="251">
        <f t="shared" si="28"/>
        <v>0</v>
      </c>
      <c r="J80" s="251">
        <f t="shared" si="28"/>
        <v>0</v>
      </c>
      <c r="K80" s="251">
        <f t="shared" si="28"/>
        <v>0</v>
      </c>
      <c r="L80" s="251">
        <f t="shared" si="28"/>
        <v>0</v>
      </c>
      <c r="M80" s="251">
        <f t="shared" si="28"/>
        <v>0</v>
      </c>
      <c r="N80" s="251">
        <f t="shared" si="28"/>
        <v>0</v>
      </c>
      <c r="O80" s="251">
        <f t="shared" si="28"/>
        <v>0</v>
      </c>
      <c r="P80" s="251">
        <f t="shared" si="28"/>
        <v>0</v>
      </c>
      <c r="Q80" s="251">
        <f t="shared" si="28"/>
        <v>0</v>
      </c>
      <c r="R80" s="251">
        <f t="shared" si="28"/>
        <v>0</v>
      </c>
      <c r="S80" s="251">
        <f t="shared" si="28"/>
        <v>0</v>
      </c>
      <c r="T80" s="251">
        <f t="shared" si="28"/>
        <v>0</v>
      </c>
      <c r="U80" s="251">
        <f t="shared" si="28"/>
        <v>0</v>
      </c>
      <c r="V80" s="251">
        <f t="shared" si="28"/>
        <v>0</v>
      </c>
      <c r="W80" s="251">
        <f t="shared" si="28"/>
        <v>0</v>
      </c>
      <c r="X80" s="251">
        <f t="shared" si="28"/>
        <v>0</v>
      </c>
      <c r="Y80" s="251">
        <f t="shared" si="28"/>
        <v>0</v>
      </c>
      <c r="Z80" s="251">
        <f t="shared" si="28"/>
        <v>0</v>
      </c>
      <c r="AA80" s="251">
        <f t="shared" si="28"/>
        <v>0</v>
      </c>
      <c r="AB80" s="251">
        <f t="shared" si="28"/>
        <v>0</v>
      </c>
      <c r="AC80" s="251">
        <f t="shared" si="28"/>
        <v>0</v>
      </c>
      <c r="AD80" s="251">
        <f t="shared" si="28"/>
        <v>0</v>
      </c>
      <c r="AE80" s="251">
        <f t="shared" si="28"/>
        <v>0</v>
      </c>
      <c r="AF80" s="251">
        <f t="shared" si="28"/>
        <v>0</v>
      </c>
      <c r="AG80" s="251">
        <f t="shared" si="28"/>
        <v>0</v>
      </c>
      <c r="AH80" s="251">
        <f t="shared" si="28"/>
        <v>0</v>
      </c>
      <c r="AI80" s="251">
        <f t="shared" si="28"/>
        <v>0</v>
      </c>
      <c r="AJ80" s="251">
        <f t="shared" si="28"/>
        <v>0</v>
      </c>
      <c r="AK80" s="251">
        <f t="shared" si="28"/>
        <v>0</v>
      </c>
      <c r="AL80" s="251">
        <f t="shared" si="28"/>
        <v>0</v>
      </c>
      <c r="AM80" s="251">
        <f t="shared" si="28"/>
        <v>0</v>
      </c>
      <c r="AN80" s="251">
        <f t="shared" si="28"/>
        <v>0</v>
      </c>
      <c r="AO80" s="251">
        <f t="shared" si="28"/>
        <v>0</v>
      </c>
      <c r="AP80" s="251">
        <f t="shared" si="28"/>
        <v>0</v>
      </c>
    </row>
    <row r="83" spans="2:42" x14ac:dyDescent="0.2">
      <c r="B83" s="232" t="s">
        <v>441</v>
      </c>
      <c r="C83" s="249" t="s">
        <v>9</v>
      </c>
    </row>
    <row r="84" spans="2:42" x14ac:dyDescent="0.2">
      <c r="B84" s="230" t="s">
        <v>390</v>
      </c>
      <c r="C84" s="235">
        <f>SUM(D84:AP84)</f>
        <v>0</v>
      </c>
      <c r="D84" s="235">
        <f>(D23+D60)*[1]Parametre!$C$98</f>
        <v>0</v>
      </c>
      <c r="E84" s="235">
        <f>(E23+E60)*[1]Parametre!$C$98</f>
        <v>0</v>
      </c>
      <c r="F84" s="235">
        <f>(F23+F60)*[1]Parametre!$C$98</f>
        <v>0</v>
      </c>
      <c r="G84" s="235">
        <f>(G23+G60)*[1]Parametre!$C$98</f>
        <v>0</v>
      </c>
      <c r="H84" s="235">
        <f>(H23+H60)*[1]Parametre!$C$98</f>
        <v>0</v>
      </c>
      <c r="I84" s="235">
        <f>(I23+I60)*[1]Parametre!$C$98</f>
        <v>0</v>
      </c>
      <c r="J84" s="235">
        <f>(J23+J60)*[1]Parametre!$C$98</f>
        <v>0</v>
      </c>
      <c r="K84" s="235">
        <f>(K23+K60)*[1]Parametre!$C$98</f>
        <v>0</v>
      </c>
      <c r="L84" s="235">
        <f>(L23+L60)*[1]Parametre!$C$98</f>
        <v>0</v>
      </c>
      <c r="M84" s="235">
        <f>(M23+M60)*[1]Parametre!$C$98</f>
        <v>0</v>
      </c>
      <c r="N84" s="235">
        <f>(N23+N60)*[1]Parametre!$C$98</f>
        <v>0</v>
      </c>
      <c r="O84" s="235">
        <f>(O23+O60)*[1]Parametre!$C$98</f>
        <v>0</v>
      </c>
      <c r="P84" s="235">
        <f>(P23+P60)*[1]Parametre!$C$98</f>
        <v>0</v>
      </c>
      <c r="Q84" s="235">
        <f>(Q23+Q60)*[1]Parametre!$C$98</f>
        <v>0</v>
      </c>
      <c r="R84" s="235">
        <f>(R23+R60)*[1]Parametre!$C$98</f>
        <v>0</v>
      </c>
      <c r="S84" s="235">
        <f>(S23+S60)*[1]Parametre!$C$98</f>
        <v>0</v>
      </c>
      <c r="T84" s="235">
        <f>(T23+T60)*[1]Parametre!$C$98</f>
        <v>0</v>
      </c>
      <c r="U84" s="235">
        <f>(U23+U60)*[1]Parametre!$C$98</f>
        <v>0</v>
      </c>
      <c r="V84" s="235">
        <f>(V23+V60)*[1]Parametre!$C$98</f>
        <v>0</v>
      </c>
      <c r="W84" s="235">
        <f>(W23+W60)*[1]Parametre!$C$98</f>
        <v>0</v>
      </c>
      <c r="X84" s="235">
        <f>(X23+X60)*[1]Parametre!$C$98</f>
        <v>0</v>
      </c>
      <c r="Y84" s="235">
        <f>(Y23+Y60)*[1]Parametre!$C$98</f>
        <v>0</v>
      </c>
      <c r="Z84" s="235">
        <f>(Z23+Z60)*[1]Parametre!$C$98</f>
        <v>0</v>
      </c>
      <c r="AA84" s="235">
        <f>(AA23+AA60)*[1]Parametre!$C$98</f>
        <v>0</v>
      </c>
      <c r="AB84" s="235">
        <f>(AB23+AB60)*[1]Parametre!$C$98</f>
        <v>0</v>
      </c>
      <c r="AC84" s="235">
        <f>(AC23+AC60)*[1]Parametre!$C$98</f>
        <v>0</v>
      </c>
      <c r="AD84" s="235">
        <f>(AD23+AD60)*[1]Parametre!$C$98</f>
        <v>0</v>
      </c>
      <c r="AE84" s="235">
        <f>(AE23+AE60)*[1]Parametre!$C$98</f>
        <v>0</v>
      </c>
      <c r="AF84" s="235">
        <f>(AF23+AF60)*[1]Parametre!$C$98</f>
        <v>0</v>
      </c>
      <c r="AG84" s="235">
        <f>(AG23+AG60)*[1]Parametre!$C$98</f>
        <v>0</v>
      </c>
      <c r="AH84" s="235">
        <f>(AH23+AH60)*[1]Parametre!$C$98</f>
        <v>0</v>
      </c>
      <c r="AI84" s="235">
        <f>(AI23+AI60)*[1]Parametre!$C$98</f>
        <v>0</v>
      </c>
      <c r="AJ84" s="235">
        <f>(AJ23+AJ60)*[1]Parametre!$C$98</f>
        <v>0</v>
      </c>
      <c r="AK84" s="235">
        <f>(AK23+AK60)*[1]Parametre!$C$98</f>
        <v>0</v>
      </c>
      <c r="AL84" s="235">
        <f>(AL23+AL60)*[1]Parametre!$C$98</f>
        <v>0</v>
      </c>
      <c r="AM84" s="235">
        <f>(AM23+AM60)*[1]Parametre!$C$98</f>
        <v>0</v>
      </c>
      <c r="AN84" s="235">
        <f>(AN23+AN60)*[1]Parametre!$C$98</f>
        <v>0</v>
      </c>
      <c r="AO84" s="235">
        <f>(AO23+AO60)*[1]Parametre!$C$98</f>
        <v>0</v>
      </c>
      <c r="AP84" s="235">
        <f>(AP23+AP60)*[1]Parametre!$C$98</f>
        <v>0</v>
      </c>
    </row>
    <row r="85" spans="2:42" x14ac:dyDescent="0.2">
      <c r="B85" s="230" t="s">
        <v>391</v>
      </c>
      <c r="C85" s="235">
        <f t="shared" ref="C85:C87" si="29">SUM(D85:AP85)</f>
        <v>0</v>
      </c>
      <c r="D85" s="235">
        <f>(D24+D61)*[1]Parametre!$C$99</f>
        <v>0</v>
      </c>
      <c r="E85" s="235">
        <f>(E24+E61)*[1]Parametre!$C$99</f>
        <v>0</v>
      </c>
      <c r="F85" s="235">
        <f>(F24+F61)*[1]Parametre!$C$99</f>
        <v>0</v>
      </c>
      <c r="G85" s="235">
        <f>(G24+G61)*[1]Parametre!$C$99</f>
        <v>0</v>
      </c>
      <c r="H85" s="235">
        <f>(H24+H61)*[1]Parametre!$C$99</f>
        <v>0</v>
      </c>
      <c r="I85" s="235">
        <f>(I24+I61)*[1]Parametre!$C$99</f>
        <v>0</v>
      </c>
      <c r="J85" s="235">
        <f>(J24+J61)*[1]Parametre!$C$99</f>
        <v>0</v>
      </c>
      <c r="K85" s="235">
        <f>(K24+K61)*[1]Parametre!$C$99</f>
        <v>0</v>
      </c>
      <c r="L85" s="235">
        <f>(L24+L61)*[1]Parametre!$C$99</f>
        <v>0</v>
      </c>
      <c r="M85" s="235">
        <f>(M24+M61)*[1]Parametre!$C$99</f>
        <v>0</v>
      </c>
      <c r="N85" s="235">
        <f>(N24+N61)*[1]Parametre!$C$99</f>
        <v>0</v>
      </c>
      <c r="O85" s="235">
        <f>(O24+O61)*[1]Parametre!$C$99</f>
        <v>0</v>
      </c>
      <c r="P85" s="235">
        <f>(P24+P61)*[1]Parametre!$C$99</f>
        <v>0</v>
      </c>
      <c r="Q85" s="235">
        <f>(Q24+Q61)*[1]Parametre!$C$99</f>
        <v>0</v>
      </c>
      <c r="R85" s="235">
        <f>(R24+R61)*[1]Parametre!$C$99</f>
        <v>0</v>
      </c>
      <c r="S85" s="235">
        <f>(S24+S61)*[1]Parametre!$C$99</f>
        <v>0</v>
      </c>
      <c r="T85" s="235">
        <f>(T24+T61)*[1]Parametre!$C$99</f>
        <v>0</v>
      </c>
      <c r="U85" s="235">
        <f>(U24+U61)*[1]Parametre!$C$99</f>
        <v>0</v>
      </c>
      <c r="V85" s="235">
        <f>(V24+V61)*[1]Parametre!$C$99</f>
        <v>0</v>
      </c>
      <c r="W85" s="235">
        <f>(W24+W61)*[1]Parametre!$C$99</f>
        <v>0</v>
      </c>
      <c r="X85" s="235">
        <f>(X24+X61)*[1]Parametre!$C$99</f>
        <v>0</v>
      </c>
      <c r="Y85" s="235">
        <f>(Y24+Y61)*[1]Parametre!$C$99</f>
        <v>0</v>
      </c>
      <c r="Z85" s="235">
        <f>(Z24+Z61)*[1]Parametre!$C$99</f>
        <v>0</v>
      </c>
      <c r="AA85" s="235">
        <f>(AA24+AA61)*[1]Parametre!$C$99</f>
        <v>0</v>
      </c>
      <c r="AB85" s="235">
        <f>(AB24+AB61)*[1]Parametre!$C$99</f>
        <v>0</v>
      </c>
      <c r="AC85" s="235">
        <f>(AC24+AC61)*[1]Parametre!$C$99</f>
        <v>0</v>
      </c>
      <c r="AD85" s="235">
        <f>(AD24+AD61)*[1]Parametre!$C$99</f>
        <v>0</v>
      </c>
      <c r="AE85" s="235">
        <f>(AE24+AE61)*[1]Parametre!$C$99</f>
        <v>0</v>
      </c>
      <c r="AF85" s="235">
        <f>(AF24+AF61)*[1]Parametre!$C$99</f>
        <v>0</v>
      </c>
      <c r="AG85" s="235">
        <f>(AG24+AG61)*[1]Parametre!$C$99</f>
        <v>0</v>
      </c>
      <c r="AH85" s="235">
        <f>(AH24+AH61)*[1]Parametre!$C$99</f>
        <v>0</v>
      </c>
      <c r="AI85" s="235">
        <f>(AI24+AI61)*[1]Parametre!$C$99</f>
        <v>0</v>
      </c>
      <c r="AJ85" s="235">
        <f>(AJ24+AJ61)*[1]Parametre!$C$99</f>
        <v>0</v>
      </c>
      <c r="AK85" s="235">
        <f>(AK24+AK61)*[1]Parametre!$C$99</f>
        <v>0</v>
      </c>
      <c r="AL85" s="235">
        <f>(AL24+AL61)*[1]Parametre!$C$99</f>
        <v>0</v>
      </c>
      <c r="AM85" s="235">
        <f>(AM24+AM61)*[1]Parametre!$C$99</f>
        <v>0</v>
      </c>
      <c r="AN85" s="235">
        <f>(AN24+AN61)*[1]Parametre!$C$99</f>
        <v>0</v>
      </c>
      <c r="AO85" s="235">
        <f>(AO24+AO61)*[1]Parametre!$C$99</f>
        <v>0</v>
      </c>
      <c r="AP85" s="235">
        <f>(AP24+AP61)*[1]Parametre!$C$99</f>
        <v>0</v>
      </c>
    </row>
    <row r="86" spans="2:42" x14ac:dyDescent="0.2">
      <c r="B86" s="230" t="s">
        <v>392</v>
      </c>
      <c r="C86" s="235">
        <f t="shared" si="29"/>
        <v>0</v>
      </c>
      <c r="D86" s="235">
        <f>(D25+D62)</f>
        <v>0</v>
      </c>
      <c r="E86" s="235">
        <f t="shared" ref="E86:AP86" si="30">(E25+E62)</f>
        <v>0</v>
      </c>
      <c r="F86" s="235">
        <f t="shared" si="30"/>
        <v>0</v>
      </c>
      <c r="G86" s="235">
        <f t="shared" si="30"/>
        <v>0</v>
      </c>
      <c r="H86" s="235">
        <f t="shared" si="30"/>
        <v>0</v>
      </c>
      <c r="I86" s="235">
        <f t="shared" si="30"/>
        <v>0</v>
      </c>
      <c r="J86" s="235">
        <f t="shared" si="30"/>
        <v>0</v>
      </c>
      <c r="K86" s="235">
        <f t="shared" si="30"/>
        <v>0</v>
      </c>
      <c r="L86" s="235">
        <f t="shared" si="30"/>
        <v>0</v>
      </c>
      <c r="M86" s="235">
        <f t="shared" si="30"/>
        <v>0</v>
      </c>
      <c r="N86" s="235">
        <f t="shared" si="30"/>
        <v>0</v>
      </c>
      <c r="O86" s="235">
        <f t="shared" si="30"/>
        <v>0</v>
      </c>
      <c r="P86" s="235">
        <f t="shared" si="30"/>
        <v>0</v>
      </c>
      <c r="Q86" s="235">
        <f t="shared" si="30"/>
        <v>0</v>
      </c>
      <c r="R86" s="235">
        <f t="shared" si="30"/>
        <v>0</v>
      </c>
      <c r="S86" s="235">
        <f t="shared" si="30"/>
        <v>0</v>
      </c>
      <c r="T86" s="235">
        <f t="shared" si="30"/>
        <v>0</v>
      </c>
      <c r="U86" s="235">
        <f t="shared" si="30"/>
        <v>0</v>
      </c>
      <c r="V86" s="235">
        <f t="shared" si="30"/>
        <v>0</v>
      </c>
      <c r="W86" s="235">
        <f t="shared" si="30"/>
        <v>0</v>
      </c>
      <c r="X86" s="235">
        <f t="shared" si="30"/>
        <v>0</v>
      </c>
      <c r="Y86" s="235">
        <f t="shared" si="30"/>
        <v>0</v>
      </c>
      <c r="Z86" s="235">
        <f t="shared" si="30"/>
        <v>0</v>
      </c>
      <c r="AA86" s="235">
        <f t="shared" si="30"/>
        <v>0</v>
      </c>
      <c r="AB86" s="235">
        <f t="shared" si="30"/>
        <v>0</v>
      </c>
      <c r="AC86" s="235">
        <f t="shared" si="30"/>
        <v>0</v>
      </c>
      <c r="AD86" s="235">
        <f t="shared" si="30"/>
        <v>0</v>
      </c>
      <c r="AE86" s="235">
        <f t="shared" si="30"/>
        <v>0</v>
      </c>
      <c r="AF86" s="235">
        <f t="shared" si="30"/>
        <v>0</v>
      </c>
      <c r="AG86" s="235">
        <f t="shared" si="30"/>
        <v>0</v>
      </c>
      <c r="AH86" s="235">
        <f t="shared" si="30"/>
        <v>0</v>
      </c>
      <c r="AI86" s="235">
        <f t="shared" si="30"/>
        <v>0</v>
      </c>
      <c r="AJ86" s="235">
        <f t="shared" si="30"/>
        <v>0</v>
      </c>
      <c r="AK86" s="235">
        <f t="shared" si="30"/>
        <v>0</v>
      </c>
      <c r="AL86" s="235">
        <f t="shared" si="30"/>
        <v>0</v>
      </c>
      <c r="AM86" s="235">
        <f t="shared" si="30"/>
        <v>0</v>
      </c>
      <c r="AN86" s="235">
        <f t="shared" si="30"/>
        <v>0</v>
      </c>
      <c r="AO86" s="235">
        <f t="shared" si="30"/>
        <v>0</v>
      </c>
      <c r="AP86" s="235">
        <f t="shared" si="30"/>
        <v>0</v>
      </c>
    </row>
    <row r="87" spans="2:42" x14ac:dyDescent="0.2">
      <c r="B87" s="230" t="s">
        <v>138</v>
      </c>
      <c r="C87" s="235">
        <f t="shared" si="29"/>
        <v>0</v>
      </c>
      <c r="D87" s="235">
        <f>(D26+D63)*[1]Parametre!$C$99</f>
        <v>0</v>
      </c>
      <c r="E87" s="235">
        <f>(E26+E63)*[1]Parametre!$C$99</f>
        <v>0</v>
      </c>
      <c r="F87" s="235">
        <f>(F26+F63)*[1]Parametre!$C$99</f>
        <v>0</v>
      </c>
      <c r="G87" s="235">
        <f>(G26+G63)*[1]Parametre!$C$99</f>
        <v>0</v>
      </c>
      <c r="H87" s="235">
        <f>(H26+H63)*[1]Parametre!$C$99</f>
        <v>0</v>
      </c>
      <c r="I87" s="235">
        <f>(I26+I63)*[1]Parametre!$C$99</f>
        <v>0</v>
      </c>
      <c r="J87" s="235">
        <f>(J26+J63)*[1]Parametre!$C$99</f>
        <v>0</v>
      </c>
      <c r="K87" s="235">
        <f>(K26+K63)*[1]Parametre!$C$99</f>
        <v>0</v>
      </c>
      <c r="L87" s="235">
        <f>(L26+L63)*[1]Parametre!$C$99</f>
        <v>0</v>
      </c>
      <c r="M87" s="235">
        <f>(M26+M63)*[1]Parametre!$C$99</f>
        <v>0</v>
      </c>
      <c r="N87" s="235">
        <f>(N26+N63)*[1]Parametre!$C$99</f>
        <v>0</v>
      </c>
      <c r="O87" s="235">
        <f>(O26+O63)*[1]Parametre!$C$99</f>
        <v>0</v>
      </c>
      <c r="P87" s="235">
        <f>(P26+P63)*[1]Parametre!$C$99</f>
        <v>0</v>
      </c>
      <c r="Q87" s="235">
        <f>(Q26+Q63)*[1]Parametre!$C$99</f>
        <v>0</v>
      </c>
      <c r="R87" s="235">
        <f>(R26+R63)*[1]Parametre!$C$99</f>
        <v>0</v>
      </c>
      <c r="S87" s="235">
        <f>(S26+S63)*[1]Parametre!$C$99</f>
        <v>0</v>
      </c>
      <c r="T87" s="235">
        <f>(T26+T63)*[1]Parametre!$C$99</f>
        <v>0</v>
      </c>
      <c r="U87" s="235">
        <f>(U26+U63)*[1]Parametre!$C$99</f>
        <v>0</v>
      </c>
      <c r="V87" s="235">
        <f>(V26+V63)*[1]Parametre!$C$99</f>
        <v>0</v>
      </c>
      <c r="W87" s="235">
        <f>(W26+W63)*[1]Parametre!$C$99</f>
        <v>0</v>
      </c>
      <c r="X87" s="235">
        <f>(X26+X63)*[1]Parametre!$C$99</f>
        <v>0</v>
      </c>
      <c r="Y87" s="235">
        <f>(Y26+Y63)*[1]Parametre!$C$99</f>
        <v>0</v>
      </c>
      <c r="Z87" s="235">
        <f>(Z26+Z63)*[1]Parametre!$C$99</f>
        <v>0</v>
      </c>
      <c r="AA87" s="235">
        <f>(AA26+AA63)*[1]Parametre!$C$99</f>
        <v>0</v>
      </c>
      <c r="AB87" s="235">
        <f>(AB26+AB63)*[1]Parametre!$C$99</f>
        <v>0</v>
      </c>
      <c r="AC87" s="235">
        <f>(AC26+AC63)*[1]Parametre!$C$99</f>
        <v>0</v>
      </c>
      <c r="AD87" s="235">
        <f>(AD26+AD63)*[1]Parametre!$C$99</f>
        <v>0</v>
      </c>
      <c r="AE87" s="235">
        <f>(AE26+AE63)*[1]Parametre!$C$99</f>
        <v>0</v>
      </c>
      <c r="AF87" s="235">
        <f>(AF26+AF63)*[1]Parametre!$C$99</f>
        <v>0</v>
      </c>
      <c r="AG87" s="235">
        <f>(AG26+AG63)*[1]Parametre!$C$99</f>
        <v>0</v>
      </c>
      <c r="AH87" s="235">
        <f>(AH26+AH63)*[1]Parametre!$C$99</f>
        <v>0</v>
      </c>
      <c r="AI87" s="235">
        <f>(AI26+AI63)*[1]Parametre!$C$99</f>
        <v>0</v>
      </c>
      <c r="AJ87" s="235">
        <f>(AJ26+AJ63)*[1]Parametre!$C$99</f>
        <v>0</v>
      </c>
      <c r="AK87" s="235">
        <f>(AK26+AK63)*[1]Parametre!$C$99</f>
        <v>0</v>
      </c>
      <c r="AL87" s="235">
        <f>(AL26+AL63)*[1]Parametre!$C$99</f>
        <v>0</v>
      </c>
      <c r="AM87" s="235">
        <f>(AM26+AM63)*[1]Parametre!$C$99</f>
        <v>0</v>
      </c>
      <c r="AN87" s="235">
        <f>(AN26+AN63)*[1]Parametre!$C$99</f>
        <v>0</v>
      </c>
      <c r="AO87" s="235">
        <f>(AO26+AO63)*[1]Parametre!$C$99</f>
        <v>0</v>
      </c>
      <c r="AP87" s="235">
        <f>(AP26+AP63)*[1]Parametre!$C$99</f>
        <v>0</v>
      </c>
    </row>
    <row r="90" spans="2:42" x14ac:dyDescent="0.2">
      <c r="B90" s="253"/>
    </row>
    <row r="91" spans="2:42" x14ac:dyDescent="0.2">
      <c r="B91" s="253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888E-AB14-4C26-B376-86E43DB09D48}">
  <sheetPr>
    <tabColor rgb="FFCCFF99"/>
  </sheetPr>
  <dimension ref="B2:AP77"/>
  <sheetViews>
    <sheetView zoomScale="90" zoomScaleNormal="90" workbookViewId="0"/>
  </sheetViews>
  <sheetFormatPr defaultColWidth="8.85546875" defaultRowHeight="11.25" x14ac:dyDescent="0.2"/>
  <cols>
    <col min="1" max="1" width="5.140625" style="231" customWidth="1"/>
    <col min="2" max="2" width="34.42578125" style="231" bestFit="1" customWidth="1"/>
    <col min="3" max="3" width="7.140625" style="231" bestFit="1" customWidth="1"/>
    <col min="4" max="42" width="5.5703125" style="231" bestFit="1" customWidth="1"/>
    <col min="43" max="16384" width="8.85546875" style="231"/>
  </cols>
  <sheetData>
    <row r="2" spans="2:42" x14ac:dyDescent="0.2">
      <c r="B2" s="230"/>
      <c r="C2" s="230"/>
      <c r="D2" s="230" t="s">
        <v>10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</row>
    <row r="3" spans="2:42" x14ac:dyDescent="0.2">
      <c r="B3" s="232" t="s">
        <v>396</v>
      </c>
      <c r="C3" s="232"/>
      <c r="D3" s="237">
        <v>1</v>
      </c>
      <c r="E3" s="237">
        <v>2</v>
      </c>
      <c r="F3" s="237">
        <v>3</v>
      </c>
      <c r="G3" s="237">
        <v>4</v>
      </c>
      <c r="H3" s="237">
        <v>5</v>
      </c>
      <c r="I3" s="237">
        <v>6</v>
      </c>
      <c r="J3" s="237">
        <v>7</v>
      </c>
      <c r="K3" s="237">
        <v>8</v>
      </c>
      <c r="L3" s="237">
        <v>9</v>
      </c>
      <c r="M3" s="237">
        <v>10</v>
      </c>
      <c r="N3" s="237">
        <v>11</v>
      </c>
      <c r="O3" s="237">
        <v>12</v>
      </c>
      <c r="P3" s="237">
        <v>13</v>
      </c>
      <c r="Q3" s="237">
        <v>14</v>
      </c>
      <c r="R3" s="237">
        <v>15</v>
      </c>
      <c r="S3" s="237">
        <v>16</v>
      </c>
      <c r="T3" s="237">
        <v>17</v>
      </c>
      <c r="U3" s="237">
        <v>18</v>
      </c>
      <c r="V3" s="237">
        <v>19</v>
      </c>
      <c r="W3" s="237">
        <v>20</v>
      </c>
      <c r="X3" s="237">
        <v>21</v>
      </c>
      <c r="Y3" s="237">
        <v>22</v>
      </c>
      <c r="Z3" s="237">
        <v>23</v>
      </c>
      <c r="AA3" s="237">
        <v>24</v>
      </c>
      <c r="AB3" s="237">
        <v>25</v>
      </c>
      <c r="AC3" s="237">
        <v>26</v>
      </c>
      <c r="AD3" s="237">
        <v>27</v>
      </c>
      <c r="AE3" s="237">
        <v>28</v>
      </c>
      <c r="AF3" s="237">
        <v>29</v>
      </c>
      <c r="AG3" s="237">
        <v>30</v>
      </c>
      <c r="AH3" s="237">
        <v>31</v>
      </c>
      <c r="AI3" s="237">
        <v>32</v>
      </c>
      <c r="AJ3" s="237">
        <v>33</v>
      </c>
      <c r="AK3" s="237">
        <v>34</v>
      </c>
      <c r="AL3" s="237">
        <v>35</v>
      </c>
      <c r="AM3" s="237">
        <v>36</v>
      </c>
      <c r="AN3" s="237">
        <v>37</v>
      </c>
      <c r="AO3" s="237">
        <v>38</v>
      </c>
      <c r="AP3" s="237">
        <v>39</v>
      </c>
    </row>
    <row r="4" spans="2:42" x14ac:dyDescent="0.2">
      <c r="B4" s="233" t="s">
        <v>33</v>
      </c>
      <c r="C4" s="234" t="s">
        <v>9</v>
      </c>
      <c r="D4" s="238">
        <v>2026</v>
      </c>
      <c r="E4" s="238">
        <f>$D$4+D3</f>
        <v>2027</v>
      </c>
      <c r="F4" s="238">
        <f>$D$4+E3</f>
        <v>2028</v>
      </c>
      <c r="G4" s="238">
        <f t="shared" ref="G4:AP4" si="0">$D$4+F3</f>
        <v>2029</v>
      </c>
      <c r="H4" s="238">
        <f t="shared" si="0"/>
        <v>2030</v>
      </c>
      <c r="I4" s="238">
        <f t="shared" si="0"/>
        <v>2031</v>
      </c>
      <c r="J4" s="238">
        <f t="shared" si="0"/>
        <v>2032</v>
      </c>
      <c r="K4" s="238">
        <f t="shared" si="0"/>
        <v>2033</v>
      </c>
      <c r="L4" s="238">
        <f t="shared" si="0"/>
        <v>2034</v>
      </c>
      <c r="M4" s="238">
        <f t="shared" si="0"/>
        <v>2035</v>
      </c>
      <c r="N4" s="238">
        <f t="shared" si="0"/>
        <v>2036</v>
      </c>
      <c r="O4" s="238">
        <f t="shared" si="0"/>
        <v>2037</v>
      </c>
      <c r="P4" s="238">
        <f t="shared" si="0"/>
        <v>2038</v>
      </c>
      <c r="Q4" s="238">
        <f t="shared" si="0"/>
        <v>2039</v>
      </c>
      <c r="R4" s="238">
        <f t="shared" si="0"/>
        <v>2040</v>
      </c>
      <c r="S4" s="238">
        <f t="shared" si="0"/>
        <v>2041</v>
      </c>
      <c r="T4" s="238">
        <f t="shared" si="0"/>
        <v>2042</v>
      </c>
      <c r="U4" s="238">
        <f t="shared" si="0"/>
        <v>2043</v>
      </c>
      <c r="V4" s="238">
        <f t="shared" si="0"/>
        <v>2044</v>
      </c>
      <c r="W4" s="238">
        <f t="shared" si="0"/>
        <v>2045</v>
      </c>
      <c r="X4" s="238">
        <f t="shared" si="0"/>
        <v>2046</v>
      </c>
      <c r="Y4" s="238">
        <f t="shared" si="0"/>
        <v>2047</v>
      </c>
      <c r="Z4" s="238">
        <f t="shared" si="0"/>
        <v>2048</v>
      </c>
      <c r="AA4" s="238">
        <f t="shared" si="0"/>
        <v>2049</v>
      </c>
      <c r="AB4" s="238">
        <f t="shared" si="0"/>
        <v>2050</v>
      </c>
      <c r="AC4" s="238">
        <f t="shared" si="0"/>
        <v>2051</v>
      </c>
      <c r="AD4" s="238">
        <f t="shared" si="0"/>
        <v>2052</v>
      </c>
      <c r="AE4" s="238">
        <f t="shared" si="0"/>
        <v>2053</v>
      </c>
      <c r="AF4" s="238">
        <f t="shared" si="0"/>
        <v>2054</v>
      </c>
      <c r="AG4" s="238">
        <f t="shared" si="0"/>
        <v>2055</v>
      </c>
      <c r="AH4" s="238">
        <f t="shared" si="0"/>
        <v>2056</v>
      </c>
      <c r="AI4" s="238">
        <f t="shared" si="0"/>
        <v>2057</v>
      </c>
      <c r="AJ4" s="238">
        <f t="shared" si="0"/>
        <v>2058</v>
      </c>
      <c r="AK4" s="238">
        <f t="shared" si="0"/>
        <v>2059</v>
      </c>
      <c r="AL4" s="238">
        <f t="shared" si="0"/>
        <v>2060</v>
      </c>
      <c r="AM4" s="238">
        <f t="shared" si="0"/>
        <v>2061</v>
      </c>
      <c r="AN4" s="238">
        <f t="shared" si="0"/>
        <v>2062</v>
      </c>
      <c r="AO4" s="238">
        <f t="shared" si="0"/>
        <v>2063</v>
      </c>
      <c r="AP4" s="238">
        <f t="shared" si="0"/>
        <v>2064</v>
      </c>
    </row>
    <row r="5" spans="2:42" x14ac:dyDescent="0.2">
      <c r="B5" s="230" t="s">
        <v>390</v>
      </c>
      <c r="C5" s="235">
        <f>SUM(D5:AQ5)</f>
        <v>0</v>
      </c>
      <c r="D5" s="236">
        <v>0</v>
      </c>
      <c r="E5" s="236">
        <v>0</v>
      </c>
      <c r="F5" s="236">
        <v>0</v>
      </c>
      <c r="G5" s="236">
        <v>0</v>
      </c>
      <c r="H5" s="236">
        <v>0</v>
      </c>
      <c r="I5" s="236">
        <v>0</v>
      </c>
      <c r="J5" s="236">
        <v>0</v>
      </c>
      <c r="K5" s="236">
        <v>0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0</v>
      </c>
      <c r="U5" s="236">
        <v>0</v>
      </c>
      <c r="V5" s="236">
        <v>0</v>
      </c>
      <c r="W5" s="236">
        <v>0</v>
      </c>
      <c r="X5" s="236">
        <v>0</v>
      </c>
      <c r="Y5" s="236">
        <v>0</v>
      </c>
      <c r="Z5" s="236">
        <v>0</v>
      </c>
      <c r="AA5" s="236">
        <v>0</v>
      </c>
      <c r="AB5" s="236">
        <v>0</v>
      </c>
      <c r="AC5" s="236">
        <v>0</v>
      </c>
      <c r="AD5" s="236">
        <v>0</v>
      </c>
      <c r="AE5" s="236">
        <v>0</v>
      </c>
      <c r="AF5" s="236">
        <v>0</v>
      </c>
      <c r="AG5" s="236">
        <v>0</v>
      </c>
      <c r="AH5" s="236">
        <v>0</v>
      </c>
      <c r="AI5" s="236">
        <v>0</v>
      </c>
      <c r="AJ5" s="236">
        <v>0</v>
      </c>
      <c r="AK5" s="236">
        <v>0</v>
      </c>
      <c r="AL5" s="236">
        <v>0</v>
      </c>
      <c r="AM5" s="236">
        <v>0</v>
      </c>
      <c r="AN5" s="236">
        <v>0</v>
      </c>
      <c r="AO5" s="236">
        <v>0</v>
      </c>
      <c r="AP5" s="236">
        <v>0</v>
      </c>
    </row>
    <row r="6" spans="2:42" x14ac:dyDescent="0.2">
      <c r="B6" s="230" t="s">
        <v>391</v>
      </c>
      <c r="C6" s="235">
        <f t="shared" ref="C6:C8" si="1">SUM(D6:AQ6)</f>
        <v>0</v>
      </c>
      <c r="D6" s="236">
        <v>0</v>
      </c>
      <c r="E6" s="236">
        <v>0</v>
      </c>
      <c r="F6" s="236">
        <v>0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6">
        <v>0</v>
      </c>
      <c r="X6" s="236">
        <v>0</v>
      </c>
      <c r="Y6" s="236">
        <v>0</v>
      </c>
      <c r="Z6" s="236">
        <v>0</v>
      </c>
      <c r="AA6" s="236">
        <v>0</v>
      </c>
      <c r="AB6" s="236">
        <v>0</v>
      </c>
      <c r="AC6" s="236">
        <v>0</v>
      </c>
      <c r="AD6" s="236">
        <v>0</v>
      </c>
      <c r="AE6" s="236">
        <v>0</v>
      </c>
      <c r="AF6" s="236">
        <v>0</v>
      </c>
      <c r="AG6" s="236">
        <v>0</v>
      </c>
      <c r="AH6" s="236">
        <v>0</v>
      </c>
      <c r="AI6" s="236">
        <v>0</v>
      </c>
      <c r="AJ6" s="236">
        <v>0</v>
      </c>
      <c r="AK6" s="236">
        <v>0</v>
      </c>
      <c r="AL6" s="236">
        <v>0</v>
      </c>
      <c r="AM6" s="236">
        <v>0</v>
      </c>
      <c r="AN6" s="236">
        <v>0</v>
      </c>
      <c r="AO6" s="236">
        <v>0</v>
      </c>
      <c r="AP6" s="236">
        <v>0</v>
      </c>
    </row>
    <row r="7" spans="2:42" x14ac:dyDescent="0.2">
      <c r="B7" s="230" t="s">
        <v>392</v>
      </c>
      <c r="C7" s="235">
        <f t="shared" si="1"/>
        <v>0</v>
      </c>
      <c r="D7" s="236">
        <v>0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6">
        <v>0</v>
      </c>
      <c r="AA7" s="236">
        <v>0</v>
      </c>
      <c r="AB7" s="236">
        <v>0</v>
      </c>
      <c r="AC7" s="236">
        <v>0</v>
      </c>
      <c r="AD7" s="236">
        <v>0</v>
      </c>
      <c r="AE7" s="236">
        <v>0</v>
      </c>
      <c r="AF7" s="236">
        <v>0</v>
      </c>
      <c r="AG7" s="236">
        <v>0</v>
      </c>
      <c r="AH7" s="236">
        <v>0</v>
      </c>
      <c r="AI7" s="236">
        <v>0</v>
      </c>
      <c r="AJ7" s="236">
        <v>0</v>
      </c>
      <c r="AK7" s="236">
        <v>0</v>
      </c>
      <c r="AL7" s="236">
        <v>0</v>
      </c>
      <c r="AM7" s="236">
        <v>0</v>
      </c>
      <c r="AN7" s="236">
        <v>0</v>
      </c>
      <c r="AO7" s="236">
        <v>0</v>
      </c>
      <c r="AP7" s="236">
        <v>0</v>
      </c>
    </row>
    <row r="8" spans="2:42" x14ac:dyDescent="0.2">
      <c r="B8" s="230" t="s">
        <v>138</v>
      </c>
      <c r="C8" s="235">
        <f t="shared" si="1"/>
        <v>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</row>
    <row r="11" spans="2:42" x14ac:dyDescent="0.2">
      <c r="B11" s="230"/>
      <c r="C11" s="230"/>
      <c r="D11" s="230" t="s">
        <v>10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</row>
    <row r="12" spans="2:42" x14ac:dyDescent="0.2">
      <c r="B12" s="232" t="s">
        <v>397</v>
      </c>
      <c r="C12" s="232"/>
      <c r="D12" s="237">
        <v>1</v>
      </c>
      <c r="E12" s="237">
        <v>2</v>
      </c>
      <c r="F12" s="237">
        <v>3</v>
      </c>
      <c r="G12" s="237">
        <v>4</v>
      </c>
      <c r="H12" s="237">
        <v>5</v>
      </c>
      <c r="I12" s="237">
        <v>6</v>
      </c>
      <c r="J12" s="237">
        <v>7</v>
      </c>
      <c r="K12" s="237">
        <v>8</v>
      </c>
      <c r="L12" s="237">
        <v>9</v>
      </c>
      <c r="M12" s="237">
        <v>10</v>
      </c>
      <c r="N12" s="237">
        <v>11</v>
      </c>
      <c r="O12" s="237">
        <v>12</v>
      </c>
      <c r="P12" s="237">
        <v>13</v>
      </c>
      <c r="Q12" s="237">
        <v>14</v>
      </c>
      <c r="R12" s="237">
        <v>15</v>
      </c>
      <c r="S12" s="237">
        <v>16</v>
      </c>
      <c r="T12" s="237">
        <v>17</v>
      </c>
      <c r="U12" s="237">
        <v>18</v>
      </c>
      <c r="V12" s="237">
        <v>19</v>
      </c>
      <c r="W12" s="237">
        <v>20</v>
      </c>
      <c r="X12" s="237">
        <v>21</v>
      </c>
      <c r="Y12" s="237">
        <v>22</v>
      </c>
      <c r="Z12" s="237">
        <v>23</v>
      </c>
      <c r="AA12" s="237">
        <v>24</v>
      </c>
      <c r="AB12" s="237">
        <v>25</v>
      </c>
      <c r="AC12" s="237">
        <v>26</v>
      </c>
      <c r="AD12" s="237">
        <v>27</v>
      </c>
      <c r="AE12" s="237">
        <v>28</v>
      </c>
      <c r="AF12" s="237">
        <v>29</v>
      </c>
      <c r="AG12" s="237">
        <v>30</v>
      </c>
      <c r="AH12" s="237">
        <v>31</v>
      </c>
      <c r="AI12" s="237">
        <v>32</v>
      </c>
      <c r="AJ12" s="237">
        <v>33</v>
      </c>
      <c r="AK12" s="237">
        <v>34</v>
      </c>
      <c r="AL12" s="237">
        <v>35</v>
      </c>
      <c r="AM12" s="237">
        <v>36</v>
      </c>
      <c r="AN12" s="237">
        <v>37</v>
      </c>
      <c r="AO12" s="237">
        <v>38</v>
      </c>
      <c r="AP12" s="237">
        <v>39</v>
      </c>
    </row>
    <row r="13" spans="2:42" x14ac:dyDescent="0.2">
      <c r="B13" s="233" t="s">
        <v>34</v>
      </c>
      <c r="C13" s="234" t="s">
        <v>9</v>
      </c>
      <c r="D13" s="238">
        <f t="shared" ref="D13:AP13" si="2">D4</f>
        <v>2026</v>
      </c>
      <c r="E13" s="238">
        <f t="shared" si="2"/>
        <v>2027</v>
      </c>
      <c r="F13" s="238">
        <f t="shared" si="2"/>
        <v>2028</v>
      </c>
      <c r="G13" s="238">
        <f t="shared" si="2"/>
        <v>2029</v>
      </c>
      <c r="H13" s="238">
        <f t="shared" si="2"/>
        <v>2030</v>
      </c>
      <c r="I13" s="238">
        <f t="shared" si="2"/>
        <v>2031</v>
      </c>
      <c r="J13" s="238">
        <f t="shared" si="2"/>
        <v>2032</v>
      </c>
      <c r="K13" s="238">
        <f t="shared" si="2"/>
        <v>2033</v>
      </c>
      <c r="L13" s="238">
        <f t="shared" si="2"/>
        <v>2034</v>
      </c>
      <c r="M13" s="238">
        <f t="shared" si="2"/>
        <v>2035</v>
      </c>
      <c r="N13" s="238">
        <f t="shared" si="2"/>
        <v>2036</v>
      </c>
      <c r="O13" s="238">
        <f t="shared" si="2"/>
        <v>2037</v>
      </c>
      <c r="P13" s="238">
        <f t="shared" si="2"/>
        <v>2038</v>
      </c>
      <c r="Q13" s="238">
        <f t="shared" si="2"/>
        <v>2039</v>
      </c>
      <c r="R13" s="238">
        <f t="shared" si="2"/>
        <v>2040</v>
      </c>
      <c r="S13" s="238">
        <f t="shared" si="2"/>
        <v>2041</v>
      </c>
      <c r="T13" s="238">
        <f t="shared" si="2"/>
        <v>2042</v>
      </c>
      <c r="U13" s="238">
        <f t="shared" si="2"/>
        <v>2043</v>
      </c>
      <c r="V13" s="238">
        <f t="shared" si="2"/>
        <v>2044</v>
      </c>
      <c r="W13" s="238">
        <f t="shared" si="2"/>
        <v>2045</v>
      </c>
      <c r="X13" s="238">
        <f t="shared" si="2"/>
        <v>2046</v>
      </c>
      <c r="Y13" s="238">
        <f t="shared" si="2"/>
        <v>2047</v>
      </c>
      <c r="Z13" s="238">
        <f t="shared" si="2"/>
        <v>2048</v>
      </c>
      <c r="AA13" s="238">
        <f t="shared" si="2"/>
        <v>2049</v>
      </c>
      <c r="AB13" s="238">
        <f t="shared" si="2"/>
        <v>2050</v>
      </c>
      <c r="AC13" s="238">
        <f t="shared" si="2"/>
        <v>2051</v>
      </c>
      <c r="AD13" s="238">
        <f t="shared" si="2"/>
        <v>2052</v>
      </c>
      <c r="AE13" s="238">
        <f t="shared" si="2"/>
        <v>2053</v>
      </c>
      <c r="AF13" s="238">
        <f t="shared" si="2"/>
        <v>2054</v>
      </c>
      <c r="AG13" s="238">
        <f t="shared" si="2"/>
        <v>2055</v>
      </c>
      <c r="AH13" s="238">
        <f t="shared" si="2"/>
        <v>2056</v>
      </c>
      <c r="AI13" s="238">
        <f t="shared" si="2"/>
        <v>2057</v>
      </c>
      <c r="AJ13" s="238">
        <f t="shared" si="2"/>
        <v>2058</v>
      </c>
      <c r="AK13" s="238">
        <f t="shared" si="2"/>
        <v>2059</v>
      </c>
      <c r="AL13" s="238">
        <f t="shared" si="2"/>
        <v>2060</v>
      </c>
      <c r="AM13" s="238">
        <f t="shared" si="2"/>
        <v>2061</v>
      </c>
      <c r="AN13" s="238">
        <f t="shared" si="2"/>
        <v>2062</v>
      </c>
      <c r="AO13" s="238">
        <f t="shared" si="2"/>
        <v>2063</v>
      </c>
      <c r="AP13" s="238">
        <f t="shared" si="2"/>
        <v>2064</v>
      </c>
    </row>
    <row r="14" spans="2:42" x14ac:dyDescent="0.2">
      <c r="B14" s="230" t="s">
        <v>390</v>
      </c>
      <c r="C14" s="235">
        <f>SUM(D14:AP14)</f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6">
        <v>0</v>
      </c>
      <c r="AD14" s="236">
        <v>0</v>
      </c>
      <c r="AE14" s="236">
        <v>0</v>
      </c>
      <c r="AF14" s="236">
        <v>0</v>
      </c>
      <c r="AG14" s="236">
        <v>0</v>
      </c>
      <c r="AH14" s="236">
        <v>0</v>
      </c>
      <c r="AI14" s="236">
        <v>0</v>
      </c>
      <c r="AJ14" s="236">
        <v>0</v>
      </c>
      <c r="AK14" s="236">
        <v>0</v>
      </c>
      <c r="AL14" s="236">
        <v>0</v>
      </c>
      <c r="AM14" s="236">
        <v>0</v>
      </c>
      <c r="AN14" s="236">
        <v>0</v>
      </c>
      <c r="AO14" s="236">
        <v>0</v>
      </c>
      <c r="AP14" s="236">
        <v>0</v>
      </c>
    </row>
    <row r="15" spans="2:42" x14ac:dyDescent="0.2">
      <c r="B15" s="230" t="s">
        <v>391</v>
      </c>
      <c r="C15" s="235">
        <f t="shared" ref="C15:C17" si="3">SUM(D15:AP15)</f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>
        <v>0</v>
      </c>
      <c r="Z15" s="236">
        <v>0</v>
      </c>
      <c r="AA15" s="236">
        <v>0</v>
      </c>
      <c r="AB15" s="236">
        <v>0</v>
      </c>
      <c r="AC15" s="236">
        <v>0</v>
      </c>
      <c r="AD15" s="236">
        <v>0</v>
      </c>
      <c r="AE15" s="236">
        <v>0</v>
      </c>
      <c r="AF15" s="236">
        <v>0</v>
      </c>
      <c r="AG15" s="236">
        <v>0</v>
      </c>
      <c r="AH15" s="236">
        <v>0</v>
      </c>
      <c r="AI15" s="236">
        <v>0</v>
      </c>
      <c r="AJ15" s="236">
        <v>0</v>
      </c>
      <c r="AK15" s="236">
        <v>0</v>
      </c>
      <c r="AL15" s="236">
        <v>0</v>
      </c>
      <c r="AM15" s="236">
        <v>0</v>
      </c>
      <c r="AN15" s="236">
        <v>0</v>
      </c>
      <c r="AO15" s="236">
        <v>0</v>
      </c>
      <c r="AP15" s="236">
        <v>0</v>
      </c>
    </row>
    <row r="16" spans="2:42" x14ac:dyDescent="0.2">
      <c r="B16" s="230" t="s">
        <v>392</v>
      </c>
      <c r="C16" s="235">
        <f t="shared" si="3"/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6">
        <v>0</v>
      </c>
      <c r="AB16" s="236">
        <v>0</v>
      </c>
      <c r="AC16" s="236">
        <v>0</v>
      </c>
      <c r="AD16" s="236">
        <v>0</v>
      </c>
      <c r="AE16" s="236">
        <v>0</v>
      </c>
      <c r="AF16" s="236">
        <v>0</v>
      </c>
      <c r="AG16" s="236">
        <v>0</v>
      </c>
      <c r="AH16" s="236">
        <v>0</v>
      </c>
      <c r="AI16" s="236">
        <v>0</v>
      </c>
      <c r="AJ16" s="236">
        <v>0</v>
      </c>
      <c r="AK16" s="236">
        <v>0</v>
      </c>
      <c r="AL16" s="236">
        <v>0</v>
      </c>
      <c r="AM16" s="236">
        <v>0</v>
      </c>
      <c r="AN16" s="236">
        <v>0</v>
      </c>
      <c r="AO16" s="236">
        <v>0</v>
      </c>
      <c r="AP16" s="236">
        <v>0</v>
      </c>
    </row>
    <row r="17" spans="2:42" x14ac:dyDescent="0.2">
      <c r="B17" s="230" t="s">
        <v>138</v>
      </c>
      <c r="C17" s="235">
        <f t="shared" si="3"/>
        <v>0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</row>
    <row r="20" spans="2:42" x14ac:dyDescent="0.2">
      <c r="B20" s="230"/>
      <c r="C20" s="230"/>
      <c r="D20" s="230" t="s">
        <v>10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</row>
    <row r="21" spans="2:42" x14ac:dyDescent="0.2">
      <c r="B21" s="232" t="s">
        <v>398</v>
      </c>
      <c r="C21" s="232"/>
      <c r="D21" s="230">
        <v>1</v>
      </c>
      <c r="E21" s="230">
        <v>2</v>
      </c>
      <c r="F21" s="230">
        <v>3</v>
      </c>
      <c r="G21" s="230">
        <v>4</v>
      </c>
      <c r="H21" s="230">
        <v>5</v>
      </c>
      <c r="I21" s="230">
        <v>6</v>
      </c>
      <c r="J21" s="230">
        <v>7</v>
      </c>
      <c r="K21" s="230">
        <v>8</v>
      </c>
      <c r="L21" s="230">
        <v>9</v>
      </c>
      <c r="M21" s="230">
        <v>10</v>
      </c>
      <c r="N21" s="230">
        <v>11</v>
      </c>
      <c r="O21" s="230">
        <v>12</v>
      </c>
      <c r="P21" s="230">
        <v>13</v>
      </c>
      <c r="Q21" s="230">
        <v>14</v>
      </c>
      <c r="R21" s="230">
        <v>15</v>
      </c>
      <c r="S21" s="230">
        <v>16</v>
      </c>
      <c r="T21" s="230">
        <v>17</v>
      </c>
      <c r="U21" s="230">
        <v>18</v>
      </c>
      <c r="V21" s="230">
        <v>19</v>
      </c>
      <c r="W21" s="230">
        <v>20</v>
      </c>
      <c r="X21" s="230">
        <v>21</v>
      </c>
      <c r="Y21" s="230">
        <v>22</v>
      </c>
      <c r="Z21" s="230">
        <v>23</v>
      </c>
      <c r="AA21" s="230">
        <v>24</v>
      </c>
      <c r="AB21" s="230">
        <v>25</v>
      </c>
      <c r="AC21" s="230">
        <v>26</v>
      </c>
      <c r="AD21" s="230">
        <v>27</v>
      </c>
      <c r="AE21" s="230">
        <v>28</v>
      </c>
      <c r="AF21" s="230">
        <v>29</v>
      </c>
      <c r="AG21" s="230">
        <v>30</v>
      </c>
      <c r="AH21" s="230">
        <v>31</v>
      </c>
      <c r="AI21" s="230">
        <v>32</v>
      </c>
      <c r="AJ21" s="230">
        <v>33</v>
      </c>
      <c r="AK21" s="230">
        <v>34</v>
      </c>
      <c r="AL21" s="230">
        <v>35</v>
      </c>
      <c r="AM21" s="230">
        <v>36</v>
      </c>
      <c r="AN21" s="230">
        <v>37</v>
      </c>
      <c r="AO21" s="230">
        <v>38</v>
      </c>
      <c r="AP21" s="230">
        <v>39</v>
      </c>
    </row>
    <row r="22" spans="2:42" x14ac:dyDescent="0.2">
      <c r="B22" s="233" t="s">
        <v>63</v>
      </c>
      <c r="C22" s="234" t="s">
        <v>9</v>
      </c>
      <c r="D22" s="301">
        <f t="shared" ref="D22:AP22" si="4">D4</f>
        <v>2026</v>
      </c>
      <c r="E22" s="301">
        <f t="shared" si="4"/>
        <v>2027</v>
      </c>
      <c r="F22" s="301">
        <f t="shared" si="4"/>
        <v>2028</v>
      </c>
      <c r="G22" s="301">
        <f t="shared" si="4"/>
        <v>2029</v>
      </c>
      <c r="H22" s="301">
        <f t="shared" si="4"/>
        <v>2030</v>
      </c>
      <c r="I22" s="301">
        <f t="shared" si="4"/>
        <v>2031</v>
      </c>
      <c r="J22" s="301">
        <f t="shared" si="4"/>
        <v>2032</v>
      </c>
      <c r="K22" s="301">
        <f t="shared" si="4"/>
        <v>2033</v>
      </c>
      <c r="L22" s="301">
        <f t="shared" si="4"/>
        <v>2034</v>
      </c>
      <c r="M22" s="301">
        <f t="shared" si="4"/>
        <v>2035</v>
      </c>
      <c r="N22" s="301">
        <f t="shared" si="4"/>
        <v>2036</v>
      </c>
      <c r="O22" s="301">
        <f t="shared" si="4"/>
        <v>2037</v>
      </c>
      <c r="P22" s="301">
        <f t="shared" si="4"/>
        <v>2038</v>
      </c>
      <c r="Q22" s="301">
        <f t="shared" si="4"/>
        <v>2039</v>
      </c>
      <c r="R22" s="301">
        <f t="shared" si="4"/>
        <v>2040</v>
      </c>
      <c r="S22" s="301">
        <f t="shared" si="4"/>
        <v>2041</v>
      </c>
      <c r="T22" s="301">
        <f t="shared" si="4"/>
        <v>2042</v>
      </c>
      <c r="U22" s="301">
        <f t="shared" si="4"/>
        <v>2043</v>
      </c>
      <c r="V22" s="301">
        <f t="shared" si="4"/>
        <v>2044</v>
      </c>
      <c r="W22" s="301">
        <f t="shared" si="4"/>
        <v>2045</v>
      </c>
      <c r="X22" s="301">
        <f t="shared" si="4"/>
        <v>2046</v>
      </c>
      <c r="Y22" s="301">
        <f t="shared" si="4"/>
        <v>2047</v>
      </c>
      <c r="Z22" s="301">
        <f t="shared" si="4"/>
        <v>2048</v>
      </c>
      <c r="AA22" s="301">
        <f t="shared" si="4"/>
        <v>2049</v>
      </c>
      <c r="AB22" s="301">
        <f t="shared" si="4"/>
        <v>2050</v>
      </c>
      <c r="AC22" s="301">
        <f t="shared" si="4"/>
        <v>2051</v>
      </c>
      <c r="AD22" s="301">
        <f t="shared" si="4"/>
        <v>2052</v>
      </c>
      <c r="AE22" s="301">
        <f t="shared" si="4"/>
        <v>2053</v>
      </c>
      <c r="AF22" s="301">
        <f t="shared" si="4"/>
        <v>2054</v>
      </c>
      <c r="AG22" s="301">
        <f t="shared" si="4"/>
        <v>2055</v>
      </c>
      <c r="AH22" s="301">
        <f t="shared" si="4"/>
        <v>2056</v>
      </c>
      <c r="AI22" s="301">
        <f t="shared" si="4"/>
        <v>2057</v>
      </c>
      <c r="AJ22" s="301">
        <f t="shared" si="4"/>
        <v>2058</v>
      </c>
      <c r="AK22" s="301">
        <f t="shared" si="4"/>
        <v>2059</v>
      </c>
      <c r="AL22" s="301">
        <f t="shared" si="4"/>
        <v>2060</v>
      </c>
      <c r="AM22" s="301">
        <f t="shared" si="4"/>
        <v>2061</v>
      </c>
      <c r="AN22" s="301">
        <f t="shared" si="4"/>
        <v>2062</v>
      </c>
      <c r="AO22" s="301">
        <f t="shared" si="4"/>
        <v>2063</v>
      </c>
      <c r="AP22" s="301">
        <f t="shared" si="4"/>
        <v>2064</v>
      </c>
    </row>
    <row r="23" spans="2:42" x14ac:dyDescent="0.2">
      <c r="B23" s="230" t="s">
        <v>390</v>
      </c>
      <c r="C23" s="235">
        <f>SUM(D23:AP23)</f>
        <v>0</v>
      </c>
      <c r="D23" s="235">
        <f t="shared" ref="D23:AP26" si="5">D5-D14</f>
        <v>0</v>
      </c>
      <c r="E23" s="235">
        <f t="shared" si="5"/>
        <v>0</v>
      </c>
      <c r="F23" s="235">
        <f t="shared" si="5"/>
        <v>0</v>
      </c>
      <c r="G23" s="235">
        <f t="shared" si="5"/>
        <v>0</v>
      </c>
      <c r="H23" s="235">
        <f t="shared" si="5"/>
        <v>0</v>
      </c>
      <c r="I23" s="235">
        <f t="shared" si="5"/>
        <v>0</v>
      </c>
      <c r="J23" s="235">
        <f t="shared" si="5"/>
        <v>0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0</v>
      </c>
      <c r="V23" s="235">
        <f t="shared" si="5"/>
        <v>0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0</v>
      </c>
      <c r="AD23" s="235">
        <f t="shared" si="5"/>
        <v>0</v>
      </c>
      <c r="AE23" s="235">
        <f t="shared" si="5"/>
        <v>0</v>
      </c>
      <c r="AF23" s="235">
        <f t="shared" si="5"/>
        <v>0</v>
      </c>
      <c r="AG23" s="235">
        <f t="shared" si="5"/>
        <v>0</v>
      </c>
      <c r="AH23" s="235">
        <f t="shared" si="5"/>
        <v>0</v>
      </c>
      <c r="AI23" s="235">
        <f t="shared" si="5"/>
        <v>0</v>
      </c>
      <c r="AJ23" s="235">
        <f t="shared" si="5"/>
        <v>0</v>
      </c>
      <c r="AK23" s="235">
        <f t="shared" si="5"/>
        <v>0</v>
      </c>
      <c r="AL23" s="235">
        <f t="shared" si="5"/>
        <v>0</v>
      </c>
      <c r="AM23" s="235">
        <f t="shared" si="5"/>
        <v>0</v>
      </c>
      <c r="AN23" s="235">
        <f t="shared" si="5"/>
        <v>0</v>
      </c>
      <c r="AO23" s="235">
        <f t="shared" si="5"/>
        <v>0</v>
      </c>
      <c r="AP23" s="235">
        <f t="shared" si="5"/>
        <v>0</v>
      </c>
    </row>
    <row r="24" spans="2:42" x14ac:dyDescent="0.2">
      <c r="B24" s="230" t="s">
        <v>391</v>
      </c>
      <c r="C24" s="235">
        <f t="shared" ref="C24:C26" si="6">SUM(D24:AP24)</f>
        <v>0</v>
      </c>
      <c r="D24" s="235">
        <f t="shared" si="5"/>
        <v>0</v>
      </c>
      <c r="E24" s="235">
        <f t="shared" si="5"/>
        <v>0</v>
      </c>
      <c r="F24" s="235">
        <f t="shared" si="5"/>
        <v>0</v>
      </c>
      <c r="G24" s="235">
        <f t="shared" si="5"/>
        <v>0</v>
      </c>
      <c r="H24" s="235">
        <f t="shared" si="5"/>
        <v>0</v>
      </c>
      <c r="I24" s="235">
        <f t="shared" si="5"/>
        <v>0</v>
      </c>
      <c r="J24" s="235">
        <f t="shared" si="5"/>
        <v>0</v>
      </c>
      <c r="K24" s="235">
        <f t="shared" si="5"/>
        <v>0</v>
      </c>
      <c r="L24" s="235">
        <f t="shared" si="5"/>
        <v>0</v>
      </c>
      <c r="M24" s="235">
        <f t="shared" si="5"/>
        <v>0</v>
      </c>
      <c r="N24" s="235">
        <f t="shared" si="5"/>
        <v>0</v>
      </c>
      <c r="O24" s="235">
        <f t="shared" si="5"/>
        <v>0</v>
      </c>
      <c r="P24" s="235">
        <f t="shared" si="5"/>
        <v>0</v>
      </c>
      <c r="Q24" s="235">
        <f t="shared" si="5"/>
        <v>0</v>
      </c>
      <c r="R24" s="235">
        <f t="shared" si="5"/>
        <v>0</v>
      </c>
      <c r="S24" s="235">
        <f t="shared" si="5"/>
        <v>0</v>
      </c>
      <c r="T24" s="235">
        <f t="shared" si="5"/>
        <v>0</v>
      </c>
      <c r="U24" s="235">
        <f t="shared" si="5"/>
        <v>0</v>
      </c>
      <c r="V24" s="235">
        <f t="shared" si="5"/>
        <v>0</v>
      </c>
      <c r="W24" s="235">
        <f t="shared" si="5"/>
        <v>0</v>
      </c>
      <c r="X24" s="235">
        <f t="shared" si="5"/>
        <v>0</v>
      </c>
      <c r="Y24" s="235">
        <f t="shared" si="5"/>
        <v>0</v>
      </c>
      <c r="Z24" s="235">
        <f t="shared" si="5"/>
        <v>0</v>
      </c>
      <c r="AA24" s="235">
        <f t="shared" si="5"/>
        <v>0</v>
      </c>
      <c r="AB24" s="235">
        <f t="shared" si="5"/>
        <v>0</v>
      </c>
      <c r="AC24" s="235">
        <f t="shared" si="5"/>
        <v>0</v>
      </c>
      <c r="AD24" s="235">
        <f t="shared" si="5"/>
        <v>0</v>
      </c>
      <c r="AE24" s="235">
        <f t="shared" si="5"/>
        <v>0</v>
      </c>
      <c r="AF24" s="235">
        <f t="shared" si="5"/>
        <v>0</v>
      </c>
      <c r="AG24" s="235">
        <f t="shared" si="5"/>
        <v>0</v>
      </c>
      <c r="AH24" s="235">
        <f t="shared" si="5"/>
        <v>0</v>
      </c>
      <c r="AI24" s="235">
        <f t="shared" si="5"/>
        <v>0</v>
      </c>
      <c r="AJ24" s="235">
        <f t="shared" si="5"/>
        <v>0</v>
      </c>
      <c r="AK24" s="235">
        <f t="shared" si="5"/>
        <v>0</v>
      </c>
      <c r="AL24" s="235">
        <f t="shared" si="5"/>
        <v>0</v>
      </c>
      <c r="AM24" s="235">
        <f t="shared" si="5"/>
        <v>0</v>
      </c>
      <c r="AN24" s="235">
        <f t="shared" si="5"/>
        <v>0</v>
      </c>
      <c r="AO24" s="235">
        <f t="shared" si="5"/>
        <v>0</v>
      </c>
      <c r="AP24" s="235">
        <f t="shared" si="5"/>
        <v>0</v>
      </c>
    </row>
    <row r="25" spans="2:42" x14ac:dyDescent="0.2">
      <c r="B25" s="230" t="s">
        <v>392</v>
      </c>
      <c r="C25" s="235">
        <f t="shared" si="6"/>
        <v>0</v>
      </c>
      <c r="D25" s="235">
        <f t="shared" si="5"/>
        <v>0</v>
      </c>
      <c r="E25" s="235">
        <f t="shared" si="5"/>
        <v>0</v>
      </c>
      <c r="F25" s="235">
        <f t="shared" si="5"/>
        <v>0</v>
      </c>
      <c r="G25" s="235">
        <f t="shared" si="5"/>
        <v>0</v>
      </c>
      <c r="H25" s="235">
        <f t="shared" si="5"/>
        <v>0</v>
      </c>
      <c r="I25" s="235">
        <f t="shared" si="5"/>
        <v>0</v>
      </c>
      <c r="J25" s="235">
        <f t="shared" si="5"/>
        <v>0</v>
      </c>
      <c r="K25" s="235">
        <f t="shared" si="5"/>
        <v>0</v>
      </c>
      <c r="L25" s="235">
        <f t="shared" si="5"/>
        <v>0</v>
      </c>
      <c r="M25" s="235">
        <f t="shared" si="5"/>
        <v>0</v>
      </c>
      <c r="N25" s="235">
        <f t="shared" si="5"/>
        <v>0</v>
      </c>
      <c r="O25" s="235">
        <f t="shared" si="5"/>
        <v>0</v>
      </c>
      <c r="P25" s="235">
        <f t="shared" si="5"/>
        <v>0</v>
      </c>
      <c r="Q25" s="235">
        <f t="shared" si="5"/>
        <v>0</v>
      </c>
      <c r="R25" s="235">
        <f t="shared" si="5"/>
        <v>0</v>
      </c>
      <c r="S25" s="235">
        <f t="shared" si="5"/>
        <v>0</v>
      </c>
      <c r="T25" s="235">
        <f t="shared" si="5"/>
        <v>0</v>
      </c>
      <c r="U25" s="235">
        <f t="shared" si="5"/>
        <v>0</v>
      </c>
      <c r="V25" s="235">
        <f t="shared" si="5"/>
        <v>0</v>
      </c>
      <c r="W25" s="235">
        <f t="shared" si="5"/>
        <v>0</v>
      </c>
      <c r="X25" s="235">
        <f t="shared" si="5"/>
        <v>0</v>
      </c>
      <c r="Y25" s="235">
        <f t="shared" si="5"/>
        <v>0</v>
      </c>
      <c r="Z25" s="235">
        <f t="shared" si="5"/>
        <v>0</v>
      </c>
      <c r="AA25" s="235">
        <f t="shared" si="5"/>
        <v>0</v>
      </c>
      <c r="AB25" s="235">
        <f t="shared" si="5"/>
        <v>0</v>
      </c>
      <c r="AC25" s="235">
        <f t="shared" si="5"/>
        <v>0</v>
      </c>
      <c r="AD25" s="235">
        <f t="shared" si="5"/>
        <v>0</v>
      </c>
      <c r="AE25" s="235">
        <f t="shared" si="5"/>
        <v>0</v>
      </c>
      <c r="AF25" s="235">
        <f t="shared" si="5"/>
        <v>0</v>
      </c>
      <c r="AG25" s="235">
        <f t="shared" si="5"/>
        <v>0</v>
      </c>
      <c r="AH25" s="235">
        <f t="shared" si="5"/>
        <v>0</v>
      </c>
      <c r="AI25" s="235">
        <f t="shared" si="5"/>
        <v>0</v>
      </c>
      <c r="AJ25" s="235">
        <f t="shared" si="5"/>
        <v>0</v>
      </c>
      <c r="AK25" s="235">
        <f t="shared" si="5"/>
        <v>0</v>
      </c>
      <c r="AL25" s="235">
        <f t="shared" si="5"/>
        <v>0</v>
      </c>
      <c r="AM25" s="235">
        <f t="shared" si="5"/>
        <v>0</v>
      </c>
      <c r="AN25" s="235">
        <f t="shared" si="5"/>
        <v>0</v>
      </c>
      <c r="AO25" s="235">
        <f t="shared" si="5"/>
        <v>0</v>
      </c>
      <c r="AP25" s="235">
        <f t="shared" si="5"/>
        <v>0</v>
      </c>
    </row>
    <row r="26" spans="2:42" x14ac:dyDescent="0.2">
      <c r="B26" s="230" t="s">
        <v>138</v>
      </c>
      <c r="C26" s="235">
        <f t="shared" si="6"/>
        <v>0</v>
      </c>
      <c r="D26" s="235">
        <f t="shared" si="5"/>
        <v>0</v>
      </c>
      <c r="E26" s="235">
        <f t="shared" si="5"/>
        <v>0</v>
      </c>
      <c r="F26" s="235">
        <f t="shared" si="5"/>
        <v>0</v>
      </c>
      <c r="G26" s="235">
        <f t="shared" si="5"/>
        <v>0</v>
      </c>
      <c r="H26" s="235">
        <f t="shared" si="5"/>
        <v>0</v>
      </c>
      <c r="I26" s="235">
        <f t="shared" si="5"/>
        <v>0</v>
      </c>
      <c r="J26" s="235">
        <f t="shared" si="5"/>
        <v>0</v>
      </c>
      <c r="K26" s="235">
        <f t="shared" si="5"/>
        <v>0</v>
      </c>
      <c r="L26" s="235">
        <f t="shared" si="5"/>
        <v>0</v>
      </c>
      <c r="M26" s="235">
        <f t="shared" si="5"/>
        <v>0</v>
      </c>
      <c r="N26" s="235">
        <f t="shared" si="5"/>
        <v>0</v>
      </c>
      <c r="O26" s="235">
        <f t="shared" si="5"/>
        <v>0</v>
      </c>
      <c r="P26" s="235">
        <f t="shared" si="5"/>
        <v>0</v>
      </c>
      <c r="Q26" s="235">
        <f t="shared" si="5"/>
        <v>0</v>
      </c>
      <c r="R26" s="235">
        <f t="shared" si="5"/>
        <v>0</v>
      </c>
      <c r="S26" s="235">
        <f t="shared" si="5"/>
        <v>0</v>
      </c>
      <c r="T26" s="235">
        <f t="shared" si="5"/>
        <v>0</v>
      </c>
      <c r="U26" s="235">
        <f t="shared" si="5"/>
        <v>0</v>
      </c>
      <c r="V26" s="235">
        <f t="shared" si="5"/>
        <v>0</v>
      </c>
      <c r="W26" s="235">
        <f t="shared" si="5"/>
        <v>0</v>
      </c>
      <c r="X26" s="235">
        <f t="shared" si="5"/>
        <v>0</v>
      </c>
      <c r="Y26" s="235">
        <f t="shared" si="5"/>
        <v>0</v>
      </c>
      <c r="Z26" s="235">
        <f t="shared" si="5"/>
        <v>0</v>
      </c>
      <c r="AA26" s="235">
        <f t="shared" si="5"/>
        <v>0</v>
      </c>
      <c r="AB26" s="235">
        <f t="shared" si="5"/>
        <v>0</v>
      </c>
      <c r="AC26" s="235">
        <f t="shared" si="5"/>
        <v>0</v>
      </c>
      <c r="AD26" s="235">
        <f t="shared" si="5"/>
        <v>0</v>
      </c>
      <c r="AE26" s="235">
        <f t="shared" si="5"/>
        <v>0</v>
      </c>
      <c r="AF26" s="235">
        <f t="shared" si="5"/>
        <v>0</v>
      </c>
      <c r="AG26" s="235">
        <f t="shared" si="5"/>
        <v>0</v>
      </c>
      <c r="AH26" s="235">
        <f t="shared" si="5"/>
        <v>0</v>
      </c>
      <c r="AI26" s="235">
        <f t="shared" si="5"/>
        <v>0</v>
      </c>
      <c r="AJ26" s="235">
        <f t="shared" si="5"/>
        <v>0</v>
      </c>
      <c r="AK26" s="235">
        <f t="shared" si="5"/>
        <v>0</v>
      </c>
      <c r="AL26" s="235">
        <f t="shared" si="5"/>
        <v>0</v>
      </c>
      <c r="AM26" s="235">
        <f t="shared" si="5"/>
        <v>0</v>
      </c>
      <c r="AN26" s="235">
        <f t="shared" si="5"/>
        <v>0</v>
      </c>
      <c r="AO26" s="235">
        <f t="shared" si="5"/>
        <v>0</v>
      </c>
      <c r="AP26" s="235">
        <f t="shared" si="5"/>
        <v>0</v>
      </c>
    </row>
    <row r="27" spans="2:42" x14ac:dyDescent="0.2"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</row>
    <row r="29" spans="2:42" ht="22.5" x14ac:dyDescent="0.2">
      <c r="B29" s="254" t="s">
        <v>399</v>
      </c>
      <c r="C29" s="249" t="s">
        <v>9</v>
      </c>
    </row>
    <row r="30" spans="2:42" x14ac:dyDescent="0.2">
      <c r="B30" s="245" t="s">
        <v>390</v>
      </c>
      <c r="C30" s="235">
        <f>SUM(D30:AP30)</f>
        <v>0</v>
      </c>
      <c r="D30" s="235">
        <f>D23*'Parametre EMU550'!$D$187</f>
        <v>0</v>
      </c>
      <c r="E30" s="235">
        <f>E23*'Parametre EMU550'!$D$187</f>
        <v>0</v>
      </c>
      <c r="F30" s="235">
        <f>F23*'Parametre EMU550'!$D$187</f>
        <v>0</v>
      </c>
      <c r="G30" s="235">
        <f>G23*'Parametre EMU550'!$D$187</f>
        <v>0</v>
      </c>
      <c r="H30" s="235">
        <f>H23*'Parametre EMU550'!$D$187</f>
        <v>0</v>
      </c>
      <c r="I30" s="235">
        <f>I23*'Parametre EMU550'!$D$187</f>
        <v>0</v>
      </c>
      <c r="J30" s="235">
        <f>J23*'Parametre EMU550'!$D$187</f>
        <v>0</v>
      </c>
      <c r="K30" s="235">
        <f>K23*'Parametre EMU550'!$D$187</f>
        <v>0</v>
      </c>
      <c r="L30" s="235">
        <f>L23*'Parametre EMU550'!$D$187</f>
        <v>0</v>
      </c>
      <c r="M30" s="235">
        <f>M23*'Parametre EMU550'!$D$187</f>
        <v>0</v>
      </c>
      <c r="N30" s="235">
        <f>N23*'Parametre EMU550'!$D$187</f>
        <v>0</v>
      </c>
      <c r="O30" s="235">
        <f>O23*'Parametre EMU550'!$D$187</f>
        <v>0</v>
      </c>
      <c r="P30" s="235">
        <f>P23*'Parametre EMU550'!$D$187</f>
        <v>0</v>
      </c>
      <c r="Q30" s="235">
        <f>Q23*'Parametre EMU550'!$D$187</f>
        <v>0</v>
      </c>
      <c r="R30" s="235">
        <f>R23*'Parametre EMU550'!$D$187</f>
        <v>0</v>
      </c>
      <c r="S30" s="235">
        <f>S23*'Parametre EMU550'!$D$187</f>
        <v>0</v>
      </c>
      <c r="T30" s="235">
        <f>T23*'Parametre EMU550'!$D$187</f>
        <v>0</v>
      </c>
      <c r="U30" s="235">
        <f>U23*'Parametre EMU550'!$D$187</f>
        <v>0</v>
      </c>
      <c r="V30" s="235">
        <f>V23*'Parametre EMU550'!$D$187</f>
        <v>0</v>
      </c>
      <c r="W30" s="235">
        <f>W23*'Parametre EMU550'!$D$187</f>
        <v>0</v>
      </c>
      <c r="X30" s="235">
        <f>X23*'Parametre EMU550'!$D$187</f>
        <v>0</v>
      </c>
      <c r="Y30" s="235">
        <f>Y23*'Parametre EMU550'!$D$187</f>
        <v>0</v>
      </c>
      <c r="Z30" s="235">
        <f>Z23*'Parametre EMU550'!$D$187</f>
        <v>0</v>
      </c>
      <c r="AA30" s="235">
        <f>AA23*'Parametre EMU550'!$D$187</f>
        <v>0</v>
      </c>
      <c r="AB30" s="235">
        <f>AB23*'Parametre EMU550'!$D$187</f>
        <v>0</v>
      </c>
      <c r="AC30" s="235">
        <f>AC23*'Parametre EMU550'!$D$187</f>
        <v>0</v>
      </c>
      <c r="AD30" s="235">
        <f>AD23*'Parametre EMU550'!$D$187</f>
        <v>0</v>
      </c>
      <c r="AE30" s="235">
        <f>AE23*'Parametre EMU550'!$D$187</f>
        <v>0</v>
      </c>
      <c r="AF30" s="235">
        <f>AF23*'Parametre EMU550'!$D$187</f>
        <v>0</v>
      </c>
      <c r="AG30" s="235">
        <f>AG23*'Parametre EMU550'!$D$187</f>
        <v>0</v>
      </c>
      <c r="AH30" s="235">
        <f>AH23*'Parametre EMU550'!$D$187</f>
        <v>0</v>
      </c>
      <c r="AI30" s="235">
        <f>AI23*'Parametre EMU550'!$D$187</f>
        <v>0</v>
      </c>
      <c r="AJ30" s="235">
        <f>AJ23*'Parametre EMU550'!$D$187</f>
        <v>0</v>
      </c>
      <c r="AK30" s="235">
        <f>AK23*'Parametre EMU550'!$D$187</f>
        <v>0</v>
      </c>
      <c r="AL30" s="235">
        <f>AL23*'Parametre EMU550'!$D$187</f>
        <v>0</v>
      </c>
      <c r="AM30" s="235">
        <f>AM23*'Parametre EMU550'!$D$187</f>
        <v>0</v>
      </c>
      <c r="AN30" s="235">
        <f>AN23*'Parametre EMU550'!$D$187</f>
        <v>0</v>
      </c>
      <c r="AO30" s="235">
        <f>AO23*'Parametre EMU550'!$D$187</f>
        <v>0</v>
      </c>
      <c r="AP30" s="235">
        <f>AP23*'Parametre EMU550'!$D$187</f>
        <v>0</v>
      </c>
    </row>
    <row r="31" spans="2:42" x14ac:dyDescent="0.2">
      <c r="B31" s="245" t="s">
        <v>391</v>
      </c>
      <c r="C31" s="235">
        <f t="shared" ref="C31:C34" si="7">SUM(D31:AP31)</f>
        <v>0</v>
      </c>
      <c r="D31" s="235">
        <f>D24*'Parametre EMU550'!$D$188</f>
        <v>0</v>
      </c>
      <c r="E31" s="235">
        <f>E24*'Parametre EMU550'!$D$188</f>
        <v>0</v>
      </c>
      <c r="F31" s="235">
        <f>F24*'Parametre EMU550'!$D$188</f>
        <v>0</v>
      </c>
      <c r="G31" s="235">
        <f>G24*'Parametre EMU550'!$D$188</f>
        <v>0</v>
      </c>
      <c r="H31" s="235">
        <f>H24*'Parametre EMU550'!$D$188</f>
        <v>0</v>
      </c>
      <c r="I31" s="235">
        <f>I24*'Parametre EMU550'!$D$188</f>
        <v>0</v>
      </c>
      <c r="J31" s="235">
        <f>J24*'Parametre EMU550'!$D$188</f>
        <v>0</v>
      </c>
      <c r="K31" s="235">
        <f>K24*'Parametre EMU550'!$D$188</f>
        <v>0</v>
      </c>
      <c r="L31" s="235">
        <f>L24*'Parametre EMU550'!$D$188</f>
        <v>0</v>
      </c>
      <c r="M31" s="235">
        <f>M24*'Parametre EMU550'!$D$188</f>
        <v>0</v>
      </c>
      <c r="N31" s="235">
        <f>N24*'Parametre EMU550'!$D$188</f>
        <v>0</v>
      </c>
      <c r="O31" s="235">
        <f>O24*'Parametre EMU550'!$D$188</f>
        <v>0</v>
      </c>
      <c r="P31" s="235">
        <f>P24*'Parametre EMU550'!$D$188</f>
        <v>0</v>
      </c>
      <c r="Q31" s="235">
        <f>Q24*'Parametre EMU550'!$D$188</f>
        <v>0</v>
      </c>
      <c r="R31" s="235">
        <f>R24*'Parametre EMU550'!$D$188</f>
        <v>0</v>
      </c>
      <c r="S31" s="235">
        <f>S24*'Parametre EMU550'!$D$188</f>
        <v>0</v>
      </c>
      <c r="T31" s="235">
        <f>T24*'Parametre EMU550'!$D$188</f>
        <v>0</v>
      </c>
      <c r="U31" s="235">
        <f>U24*'Parametre EMU550'!$D$188</f>
        <v>0</v>
      </c>
      <c r="V31" s="235">
        <f>V24*'Parametre EMU550'!$D$188</f>
        <v>0</v>
      </c>
      <c r="W31" s="235">
        <f>W24*'Parametre EMU550'!$D$188</f>
        <v>0</v>
      </c>
      <c r="X31" s="235">
        <f>X24*'Parametre EMU550'!$D$188</f>
        <v>0</v>
      </c>
      <c r="Y31" s="235">
        <f>Y24*'Parametre EMU550'!$D$188</f>
        <v>0</v>
      </c>
      <c r="Z31" s="235">
        <f>Z24*'Parametre EMU550'!$D$188</f>
        <v>0</v>
      </c>
      <c r="AA31" s="235">
        <f>AA24*'Parametre EMU550'!$D$188</f>
        <v>0</v>
      </c>
      <c r="AB31" s="235">
        <f>AB24*'Parametre EMU550'!$D$188</f>
        <v>0</v>
      </c>
      <c r="AC31" s="235">
        <f>AC24*'Parametre EMU550'!$D$188</f>
        <v>0</v>
      </c>
      <c r="AD31" s="235">
        <f>AD24*'Parametre EMU550'!$D$188</f>
        <v>0</v>
      </c>
      <c r="AE31" s="235">
        <f>AE24*'Parametre EMU550'!$D$188</f>
        <v>0</v>
      </c>
      <c r="AF31" s="235">
        <f>AF24*'Parametre EMU550'!$D$188</f>
        <v>0</v>
      </c>
      <c r="AG31" s="235">
        <f>AG24*'Parametre EMU550'!$D$188</f>
        <v>0</v>
      </c>
      <c r="AH31" s="235">
        <f>AH24*'Parametre EMU550'!$D$188</f>
        <v>0</v>
      </c>
      <c r="AI31" s="235">
        <f>AI24*'Parametre EMU550'!$D$188</f>
        <v>0</v>
      </c>
      <c r="AJ31" s="235">
        <f>AJ24*'Parametre EMU550'!$D$188</f>
        <v>0</v>
      </c>
      <c r="AK31" s="235">
        <f>AK24*'Parametre EMU550'!$D$188</f>
        <v>0</v>
      </c>
      <c r="AL31" s="235">
        <f>AL24*'Parametre EMU550'!$D$188</f>
        <v>0</v>
      </c>
      <c r="AM31" s="235">
        <f>AM24*'Parametre EMU550'!$D$188</f>
        <v>0</v>
      </c>
      <c r="AN31" s="235">
        <f>AN24*'Parametre EMU550'!$D$188</f>
        <v>0</v>
      </c>
      <c r="AO31" s="235">
        <f>AO24*'Parametre EMU550'!$D$188</f>
        <v>0</v>
      </c>
      <c r="AP31" s="235">
        <f>AP24*'Parametre EMU550'!$D$188</f>
        <v>0</v>
      </c>
    </row>
    <row r="32" spans="2:42" x14ac:dyDescent="0.2">
      <c r="B32" s="230" t="s">
        <v>392</v>
      </c>
      <c r="C32" s="235">
        <f t="shared" si="7"/>
        <v>0</v>
      </c>
      <c r="D32" s="235">
        <f>D25*'Parametre EMU550'!$D$189</f>
        <v>0</v>
      </c>
      <c r="E32" s="235">
        <f>E25*'Parametre EMU550'!$D$189</f>
        <v>0</v>
      </c>
      <c r="F32" s="235">
        <f>F25*'Parametre EMU550'!$D$189</f>
        <v>0</v>
      </c>
      <c r="G32" s="235">
        <f>G25*'Parametre EMU550'!$D$189</f>
        <v>0</v>
      </c>
      <c r="H32" s="235">
        <f>H25*'Parametre EMU550'!$D$189</f>
        <v>0</v>
      </c>
      <c r="I32" s="235">
        <f>I25*'Parametre EMU550'!$D$189</f>
        <v>0</v>
      </c>
      <c r="J32" s="235">
        <f>J25*'Parametre EMU550'!$D$189</f>
        <v>0</v>
      </c>
      <c r="K32" s="235">
        <f>K25*'Parametre EMU550'!$D$189</f>
        <v>0</v>
      </c>
      <c r="L32" s="235">
        <f>L25*'Parametre EMU550'!$D$189</f>
        <v>0</v>
      </c>
      <c r="M32" s="235">
        <f>M25*'Parametre EMU550'!$D$189</f>
        <v>0</v>
      </c>
      <c r="N32" s="235">
        <f>N25*'Parametre EMU550'!$D$189</f>
        <v>0</v>
      </c>
      <c r="O32" s="235">
        <f>O25*'Parametre EMU550'!$D$189</f>
        <v>0</v>
      </c>
      <c r="P32" s="235">
        <f>P25*'Parametre EMU550'!$D$189</f>
        <v>0</v>
      </c>
      <c r="Q32" s="235">
        <f>Q25*'Parametre EMU550'!$D$189</f>
        <v>0</v>
      </c>
      <c r="R32" s="235">
        <f>R25*'Parametre EMU550'!$D$189</f>
        <v>0</v>
      </c>
      <c r="S32" s="235">
        <f>S25*'Parametre EMU550'!$D$189</f>
        <v>0</v>
      </c>
      <c r="T32" s="235">
        <f>T25*'Parametre EMU550'!$D$189</f>
        <v>0</v>
      </c>
      <c r="U32" s="235">
        <f>U25*'Parametre EMU550'!$D$189</f>
        <v>0</v>
      </c>
      <c r="V32" s="235">
        <f>V25*'Parametre EMU550'!$D$189</f>
        <v>0</v>
      </c>
      <c r="W32" s="235">
        <f>W25*'Parametre EMU550'!$D$189</f>
        <v>0</v>
      </c>
      <c r="X32" s="235">
        <f>X25*'Parametre EMU550'!$D$189</f>
        <v>0</v>
      </c>
      <c r="Y32" s="235">
        <f>Y25*'Parametre EMU550'!$D$189</f>
        <v>0</v>
      </c>
      <c r="Z32" s="235">
        <f>Z25*'Parametre EMU550'!$D$189</f>
        <v>0</v>
      </c>
      <c r="AA32" s="235">
        <f>AA25*'Parametre EMU550'!$D$189</f>
        <v>0</v>
      </c>
      <c r="AB32" s="235">
        <f>AB25*'Parametre EMU550'!$D$189</f>
        <v>0</v>
      </c>
      <c r="AC32" s="235">
        <f>AC25*'Parametre EMU550'!$D$189</f>
        <v>0</v>
      </c>
      <c r="AD32" s="235">
        <f>AD25*'Parametre EMU550'!$D$189</f>
        <v>0</v>
      </c>
      <c r="AE32" s="235">
        <f>AE25*'Parametre EMU550'!$D$189</f>
        <v>0</v>
      </c>
      <c r="AF32" s="235">
        <f>AF25*'Parametre EMU550'!$D$189</f>
        <v>0</v>
      </c>
      <c r="AG32" s="235">
        <f>AG25*'Parametre EMU550'!$D$189</f>
        <v>0</v>
      </c>
      <c r="AH32" s="235">
        <f>AH25*'Parametre EMU550'!$D$189</f>
        <v>0</v>
      </c>
      <c r="AI32" s="235">
        <f>AI25*'Parametre EMU550'!$D$189</f>
        <v>0</v>
      </c>
      <c r="AJ32" s="235">
        <f>AJ25*'Parametre EMU550'!$D$189</f>
        <v>0</v>
      </c>
      <c r="AK32" s="235">
        <f>AK25*'Parametre EMU550'!$D$189</f>
        <v>0</v>
      </c>
      <c r="AL32" s="235">
        <f>AL25*'Parametre EMU550'!$D$189</f>
        <v>0</v>
      </c>
      <c r="AM32" s="235">
        <f>AM25*'Parametre EMU550'!$D$189</f>
        <v>0</v>
      </c>
      <c r="AN32" s="235">
        <f>AN25*'Parametre EMU550'!$D$189</f>
        <v>0</v>
      </c>
      <c r="AO32" s="235">
        <f>AO25*'Parametre EMU550'!$D$189</f>
        <v>0</v>
      </c>
      <c r="AP32" s="235">
        <f>AP25*'Parametre EMU550'!$D$189</f>
        <v>0</v>
      </c>
    </row>
    <row r="33" spans="2:42" x14ac:dyDescent="0.2">
      <c r="B33" s="245" t="s">
        <v>138</v>
      </c>
      <c r="C33" s="235">
        <f t="shared" si="7"/>
        <v>0</v>
      </c>
      <c r="D33" s="235">
        <f>D26*'Parametre EMU550'!$D$190</f>
        <v>0</v>
      </c>
      <c r="E33" s="235">
        <f>E26*'Parametre EMU550'!$D$190</f>
        <v>0</v>
      </c>
      <c r="F33" s="235">
        <f>F26*'Parametre EMU550'!$D$190</f>
        <v>0</v>
      </c>
      <c r="G33" s="235">
        <f>G26*'Parametre EMU550'!$D$190</f>
        <v>0</v>
      </c>
      <c r="H33" s="235">
        <f>H26*'Parametre EMU550'!$D$190</f>
        <v>0</v>
      </c>
      <c r="I33" s="235">
        <f>I26*'Parametre EMU550'!$D$190</f>
        <v>0</v>
      </c>
      <c r="J33" s="235">
        <f>J26*'Parametre EMU550'!$D$190</f>
        <v>0</v>
      </c>
      <c r="K33" s="235">
        <f>K26*'Parametre EMU550'!$D$190</f>
        <v>0</v>
      </c>
      <c r="L33" s="235">
        <f>L26*'Parametre EMU550'!$D$190</f>
        <v>0</v>
      </c>
      <c r="M33" s="235">
        <f>M26*'Parametre EMU550'!$D$190</f>
        <v>0</v>
      </c>
      <c r="N33" s="235">
        <f>N26*'Parametre EMU550'!$D$190</f>
        <v>0</v>
      </c>
      <c r="O33" s="235">
        <f>O26*'Parametre EMU550'!$D$190</f>
        <v>0</v>
      </c>
      <c r="P33" s="235">
        <f>P26*'Parametre EMU550'!$D$190</f>
        <v>0</v>
      </c>
      <c r="Q33" s="235">
        <f>Q26*'Parametre EMU550'!$D$190</f>
        <v>0</v>
      </c>
      <c r="R33" s="235">
        <f>R26*'Parametre EMU550'!$D$190</f>
        <v>0</v>
      </c>
      <c r="S33" s="235">
        <f>S26*'Parametre EMU550'!$D$190</f>
        <v>0</v>
      </c>
      <c r="T33" s="235">
        <f>T26*'Parametre EMU550'!$D$190</f>
        <v>0</v>
      </c>
      <c r="U33" s="235">
        <f>U26*'Parametre EMU550'!$D$190</f>
        <v>0</v>
      </c>
      <c r="V33" s="235">
        <f>V26*'Parametre EMU550'!$D$190</f>
        <v>0</v>
      </c>
      <c r="W33" s="235">
        <f>W26*'Parametre EMU550'!$D$190</f>
        <v>0</v>
      </c>
      <c r="X33" s="235">
        <f>X26*'Parametre EMU550'!$D$190</f>
        <v>0</v>
      </c>
      <c r="Y33" s="235">
        <f>Y26*'Parametre EMU550'!$D$190</f>
        <v>0</v>
      </c>
      <c r="Z33" s="235">
        <f>Z26*'Parametre EMU550'!$D$190</f>
        <v>0</v>
      </c>
      <c r="AA33" s="235">
        <f>AA26*'Parametre EMU550'!$D$190</f>
        <v>0</v>
      </c>
      <c r="AB33" s="235">
        <f>AB26*'Parametre EMU550'!$D$190</f>
        <v>0</v>
      </c>
      <c r="AC33" s="235">
        <f>AC26*'Parametre EMU550'!$D$190</f>
        <v>0</v>
      </c>
      <c r="AD33" s="235">
        <f>AD26*'Parametre EMU550'!$D$190</f>
        <v>0</v>
      </c>
      <c r="AE33" s="235">
        <f>AE26*'Parametre EMU550'!$D$190</f>
        <v>0</v>
      </c>
      <c r="AF33" s="235">
        <f>AF26*'Parametre EMU550'!$D$190</f>
        <v>0</v>
      </c>
      <c r="AG33" s="235">
        <f>AG26*'Parametre EMU550'!$D$190</f>
        <v>0</v>
      </c>
      <c r="AH33" s="235">
        <f>AH26*'Parametre EMU550'!$D$190</f>
        <v>0</v>
      </c>
      <c r="AI33" s="235">
        <f>AI26*'Parametre EMU550'!$D$190</f>
        <v>0</v>
      </c>
      <c r="AJ33" s="235">
        <f>AJ26*'Parametre EMU550'!$D$190</f>
        <v>0</v>
      </c>
      <c r="AK33" s="235">
        <f>AK26*'Parametre EMU550'!$D$190</f>
        <v>0</v>
      </c>
      <c r="AL33" s="235">
        <f>AL26*'Parametre EMU550'!$D$190</f>
        <v>0</v>
      </c>
      <c r="AM33" s="235">
        <f>AM26*'Parametre EMU550'!$D$190</f>
        <v>0</v>
      </c>
      <c r="AN33" s="235">
        <f>AN26*'Parametre EMU550'!$D$190</f>
        <v>0</v>
      </c>
      <c r="AO33" s="235">
        <f>AO26*'Parametre EMU550'!$D$190</f>
        <v>0</v>
      </c>
      <c r="AP33" s="235">
        <f>AP26*'Parametre EMU550'!$D$190</f>
        <v>0</v>
      </c>
    </row>
    <row r="34" spans="2:42" x14ac:dyDescent="0.2">
      <c r="B34" s="246" t="s">
        <v>9</v>
      </c>
      <c r="C34" s="248">
        <f t="shared" si="7"/>
        <v>0</v>
      </c>
      <c r="D34" s="248">
        <f t="shared" ref="D34" si="8">SUM(D30:D33)</f>
        <v>0</v>
      </c>
      <c r="E34" s="248">
        <f t="shared" ref="E34:AP34" si="9">SUM(E30:E33)</f>
        <v>0</v>
      </c>
      <c r="F34" s="248">
        <f t="shared" si="9"/>
        <v>0</v>
      </c>
      <c r="G34" s="248">
        <f t="shared" si="9"/>
        <v>0</v>
      </c>
      <c r="H34" s="248">
        <f t="shared" si="9"/>
        <v>0</v>
      </c>
      <c r="I34" s="248">
        <f t="shared" si="9"/>
        <v>0</v>
      </c>
      <c r="J34" s="248">
        <f t="shared" si="9"/>
        <v>0</v>
      </c>
      <c r="K34" s="248">
        <f t="shared" si="9"/>
        <v>0</v>
      </c>
      <c r="L34" s="248">
        <f t="shared" si="9"/>
        <v>0</v>
      </c>
      <c r="M34" s="248">
        <f t="shared" si="9"/>
        <v>0</v>
      </c>
      <c r="N34" s="248">
        <f t="shared" si="9"/>
        <v>0</v>
      </c>
      <c r="O34" s="248">
        <f t="shared" si="9"/>
        <v>0</v>
      </c>
      <c r="P34" s="248">
        <f t="shared" si="9"/>
        <v>0</v>
      </c>
      <c r="Q34" s="248">
        <f t="shared" si="9"/>
        <v>0</v>
      </c>
      <c r="R34" s="248">
        <f t="shared" si="9"/>
        <v>0</v>
      </c>
      <c r="S34" s="248">
        <f t="shared" si="9"/>
        <v>0</v>
      </c>
      <c r="T34" s="248">
        <f t="shared" si="9"/>
        <v>0</v>
      </c>
      <c r="U34" s="248">
        <f t="shared" si="9"/>
        <v>0</v>
      </c>
      <c r="V34" s="248">
        <f t="shared" si="9"/>
        <v>0</v>
      </c>
      <c r="W34" s="248">
        <f t="shared" si="9"/>
        <v>0</v>
      </c>
      <c r="X34" s="248">
        <f t="shared" si="9"/>
        <v>0</v>
      </c>
      <c r="Y34" s="248">
        <f t="shared" si="9"/>
        <v>0</v>
      </c>
      <c r="Z34" s="248">
        <f t="shared" si="9"/>
        <v>0</v>
      </c>
      <c r="AA34" s="248">
        <f t="shared" si="9"/>
        <v>0</v>
      </c>
      <c r="AB34" s="248">
        <f t="shared" si="9"/>
        <v>0</v>
      </c>
      <c r="AC34" s="248">
        <f t="shared" si="9"/>
        <v>0</v>
      </c>
      <c r="AD34" s="248">
        <f t="shared" si="9"/>
        <v>0</v>
      </c>
      <c r="AE34" s="248">
        <f t="shared" si="9"/>
        <v>0</v>
      </c>
      <c r="AF34" s="248">
        <f t="shared" si="9"/>
        <v>0</v>
      </c>
      <c r="AG34" s="248">
        <f t="shared" si="9"/>
        <v>0</v>
      </c>
      <c r="AH34" s="248">
        <f t="shared" si="9"/>
        <v>0</v>
      </c>
      <c r="AI34" s="248">
        <f t="shared" si="9"/>
        <v>0</v>
      </c>
      <c r="AJ34" s="248">
        <f t="shared" si="9"/>
        <v>0</v>
      </c>
      <c r="AK34" s="248">
        <f t="shared" si="9"/>
        <v>0</v>
      </c>
      <c r="AL34" s="248">
        <f t="shared" si="9"/>
        <v>0</v>
      </c>
      <c r="AM34" s="248">
        <f t="shared" si="9"/>
        <v>0</v>
      </c>
      <c r="AN34" s="248">
        <f t="shared" si="9"/>
        <v>0</v>
      </c>
      <c r="AO34" s="248">
        <f t="shared" si="9"/>
        <v>0</v>
      </c>
      <c r="AP34" s="248">
        <f t="shared" si="9"/>
        <v>0</v>
      </c>
    </row>
    <row r="37" spans="2:42" x14ac:dyDescent="0.2">
      <c r="B37" s="230"/>
      <c r="C37" s="230"/>
      <c r="D37" s="230" t="s">
        <v>10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</row>
    <row r="38" spans="2:42" x14ac:dyDescent="0.2">
      <c r="B38" s="232" t="s">
        <v>400</v>
      </c>
      <c r="C38" s="232"/>
      <c r="D38" s="230">
        <v>1</v>
      </c>
      <c r="E38" s="230">
        <v>2</v>
      </c>
      <c r="F38" s="230">
        <v>3</v>
      </c>
      <c r="G38" s="230">
        <v>4</v>
      </c>
      <c r="H38" s="230">
        <v>5</v>
      </c>
      <c r="I38" s="230">
        <v>6</v>
      </c>
      <c r="J38" s="230">
        <v>7</v>
      </c>
      <c r="K38" s="230">
        <v>8</v>
      </c>
      <c r="L38" s="230">
        <v>9</v>
      </c>
      <c r="M38" s="230">
        <v>10</v>
      </c>
      <c r="N38" s="230">
        <v>11</v>
      </c>
      <c r="O38" s="230">
        <v>12</v>
      </c>
      <c r="P38" s="230">
        <v>13</v>
      </c>
      <c r="Q38" s="230">
        <v>14</v>
      </c>
      <c r="R38" s="230">
        <v>15</v>
      </c>
      <c r="S38" s="230">
        <v>16</v>
      </c>
      <c r="T38" s="230">
        <v>17</v>
      </c>
      <c r="U38" s="230">
        <v>18</v>
      </c>
      <c r="V38" s="230">
        <v>19</v>
      </c>
      <c r="W38" s="230">
        <v>20</v>
      </c>
      <c r="X38" s="230">
        <v>21</v>
      </c>
      <c r="Y38" s="230">
        <v>22</v>
      </c>
      <c r="Z38" s="230">
        <v>23</v>
      </c>
      <c r="AA38" s="230">
        <v>24</v>
      </c>
      <c r="AB38" s="230">
        <v>25</v>
      </c>
      <c r="AC38" s="230">
        <v>26</v>
      </c>
      <c r="AD38" s="230">
        <v>27</v>
      </c>
      <c r="AE38" s="230">
        <v>28</v>
      </c>
      <c r="AF38" s="230">
        <v>29</v>
      </c>
      <c r="AG38" s="230">
        <v>30</v>
      </c>
      <c r="AH38" s="230">
        <v>31</v>
      </c>
      <c r="AI38" s="230">
        <v>32</v>
      </c>
      <c r="AJ38" s="230">
        <v>33</v>
      </c>
      <c r="AK38" s="230">
        <v>34</v>
      </c>
      <c r="AL38" s="230">
        <v>35</v>
      </c>
      <c r="AM38" s="230">
        <v>36</v>
      </c>
      <c r="AN38" s="230">
        <v>37</v>
      </c>
      <c r="AO38" s="230">
        <v>38</v>
      </c>
      <c r="AP38" s="230">
        <v>39</v>
      </c>
    </row>
    <row r="39" spans="2:42" x14ac:dyDescent="0.2">
      <c r="B39" s="233" t="s">
        <v>33</v>
      </c>
      <c r="C39" s="234" t="s">
        <v>9</v>
      </c>
      <c r="D39" s="301">
        <f t="shared" ref="D39:AP39" si="10">D4</f>
        <v>2026</v>
      </c>
      <c r="E39" s="301">
        <f t="shared" si="10"/>
        <v>2027</v>
      </c>
      <c r="F39" s="301">
        <f t="shared" si="10"/>
        <v>2028</v>
      </c>
      <c r="G39" s="301">
        <f t="shared" si="10"/>
        <v>2029</v>
      </c>
      <c r="H39" s="301">
        <f t="shared" si="10"/>
        <v>2030</v>
      </c>
      <c r="I39" s="301">
        <f t="shared" si="10"/>
        <v>2031</v>
      </c>
      <c r="J39" s="301">
        <f t="shared" si="10"/>
        <v>2032</v>
      </c>
      <c r="K39" s="301">
        <f t="shared" si="10"/>
        <v>2033</v>
      </c>
      <c r="L39" s="301">
        <f t="shared" si="10"/>
        <v>2034</v>
      </c>
      <c r="M39" s="301">
        <f t="shared" si="10"/>
        <v>2035</v>
      </c>
      <c r="N39" s="301">
        <f t="shared" si="10"/>
        <v>2036</v>
      </c>
      <c r="O39" s="301">
        <f t="shared" si="10"/>
        <v>2037</v>
      </c>
      <c r="P39" s="301">
        <f t="shared" si="10"/>
        <v>2038</v>
      </c>
      <c r="Q39" s="301">
        <f t="shared" si="10"/>
        <v>2039</v>
      </c>
      <c r="R39" s="301">
        <f t="shared" si="10"/>
        <v>2040</v>
      </c>
      <c r="S39" s="301">
        <f t="shared" si="10"/>
        <v>2041</v>
      </c>
      <c r="T39" s="301">
        <f t="shared" si="10"/>
        <v>2042</v>
      </c>
      <c r="U39" s="301">
        <f t="shared" si="10"/>
        <v>2043</v>
      </c>
      <c r="V39" s="301">
        <f t="shared" si="10"/>
        <v>2044</v>
      </c>
      <c r="W39" s="301">
        <f t="shared" si="10"/>
        <v>2045</v>
      </c>
      <c r="X39" s="301">
        <f t="shared" si="10"/>
        <v>2046</v>
      </c>
      <c r="Y39" s="301">
        <f t="shared" si="10"/>
        <v>2047</v>
      </c>
      <c r="Z39" s="301">
        <f t="shared" si="10"/>
        <v>2048</v>
      </c>
      <c r="AA39" s="301">
        <f t="shared" si="10"/>
        <v>2049</v>
      </c>
      <c r="AB39" s="301">
        <f t="shared" si="10"/>
        <v>2050</v>
      </c>
      <c r="AC39" s="301">
        <f t="shared" si="10"/>
        <v>2051</v>
      </c>
      <c r="AD39" s="301">
        <f t="shared" si="10"/>
        <v>2052</v>
      </c>
      <c r="AE39" s="301">
        <f t="shared" si="10"/>
        <v>2053</v>
      </c>
      <c r="AF39" s="301">
        <f t="shared" si="10"/>
        <v>2054</v>
      </c>
      <c r="AG39" s="301">
        <f t="shared" si="10"/>
        <v>2055</v>
      </c>
      <c r="AH39" s="301">
        <f t="shared" si="10"/>
        <v>2056</v>
      </c>
      <c r="AI39" s="301">
        <f t="shared" si="10"/>
        <v>2057</v>
      </c>
      <c r="AJ39" s="301">
        <f t="shared" si="10"/>
        <v>2058</v>
      </c>
      <c r="AK39" s="301">
        <f t="shared" si="10"/>
        <v>2059</v>
      </c>
      <c r="AL39" s="301">
        <f t="shared" si="10"/>
        <v>2060</v>
      </c>
      <c r="AM39" s="301">
        <f t="shared" si="10"/>
        <v>2061</v>
      </c>
      <c r="AN39" s="301">
        <f t="shared" si="10"/>
        <v>2062</v>
      </c>
      <c r="AO39" s="301">
        <f t="shared" si="10"/>
        <v>2063</v>
      </c>
      <c r="AP39" s="301">
        <f t="shared" si="10"/>
        <v>2064</v>
      </c>
    </row>
    <row r="40" spans="2:42" x14ac:dyDescent="0.2">
      <c r="B40" s="230" t="s">
        <v>390</v>
      </c>
      <c r="C40" s="235">
        <f>SUM(D40:AP40)</f>
        <v>0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</row>
    <row r="41" spans="2:42" x14ac:dyDescent="0.2">
      <c r="B41" s="230" t="s">
        <v>391</v>
      </c>
      <c r="C41" s="235">
        <f t="shared" ref="C41:C43" si="11">SUM(D41:AP41)</f>
        <v>0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</row>
    <row r="42" spans="2:42" x14ac:dyDescent="0.2">
      <c r="B42" s="230" t="s">
        <v>392</v>
      </c>
      <c r="C42" s="235">
        <f t="shared" si="11"/>
        <v>0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6">
        <v>0</v>
      </c>
      <c r="Q42" s="236">
        <v>0</v>
      </c>
      <c r="R42" s="236">
        <v>0</v>
      </c>
      <c r="S42" s="236">
        <v>0</v>
      </c>
      <c r="T42" s="236">
        <v>0</v>
      </c>
      <c r="U42" s="236">
        <v>0</v>
      </c>
      <c r="V42" s="236">
        <v>0</v>
      </c>
      <c r="W42" s="236">
        <v>0</v>
      </c>
      <c r="X42" s="236">
        <v>0</v>
      </c>
      <c r="Y42" s="236">
        <v>0</v>
      </c>
      <c r="Z42" s="236">
        <v>0</v>
      </c>
      <c r="AA42" s="236">
        <v>0</v>
      </c>
      <c r="AB42" s="236">
        <v>0</v>
      </c>
      <c r="AC42" s="236">
        <v>0</v>
      </c>
      <c r="AD42" s="236">
        <v>0</v>
      </c>
      <c r="AE42" s="236">
        <v>0</v>
      </c>
      <c r="AF42" s="236">
        <v>0</v>
      </c>
      <c r="AG42" s="236">
        <v>0</v>
      </c>
      <c r="AH42" s="236">
        <v>0</v>
      </c>
      <c r="AI42" s="236">
        <v>0</v>
      </c>
      <c r="AJ42" s="236">
        <v>0</v>
      </c>
      <c r="AK42" s="236">
        <v>0</v>
      </c>
      <c r="AL42" s="236">
        <v>0</v>
      </c>
      <c r="AM42" s="236">
        <v>0</v>
      </c>
      <c r="AN42" s="236">
        <v>0</v>
      </c>
      <c r="AO42" s="236">
        <v>0</v>
      </c>
      <c r="AP42" s="236">
        <v>0</v>
      </c>
    </row>
    <row r="43" spans="2:42" x14ac:dyDescent="0.2">
      <c r="B43" s="230" t="s">
        <v>138</v>
      </c>
      <c r="C43" s="235">
        <f t="shared" si="11"/>
        <v>0</v>
      </c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</row>
    <row r="46" spans="2:42" x14ac:dyDescent="0.2">
      <c r="B46" s="230"/>
      <c r="C46" s="230"/>
      <c r="D46" s="230" t="s">
        <v>10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</row>
    <row r="47" spans="2:42" x14ac:dyDescent="0.2">
      <c r="B47" s="232" t="s">
        <v>401</v>
      </c>
      <c r="C47" s="232"/>
      <c r="D47" s="230">
        <v>1</v>
      </c>
      <c r="E47" s="230">
        <v>2</v>
      </c>
      <c r="F47" s="230">
        <v>3</v>
      </c>
      <c r="G47" s="230">
        <v>4</v>
      </c>
      <c r="H47" s="230">
        <v>5</v>
      </c>
      <c r="I47" s="230">
        <v>6</v>
      </c>
      <c r="J47" s="230">
        <v>7</v>
      </c>
      <c r="K47" s="230">
        <v>8</v>
      </c>
      <c r="L47" s="230">
        <v>9</v>
      </c>
      <c r="M47" s="230">
        <v>10</v>
      </c>
      <c r="N47" s="230">
        <v>11</v>
      </c>
      <c r="O47" s="230">
        <v>12</v>
      </c>
      <c r="P47" s="230">
        <v>13</v>
      </c>
      <c r="Q47" s="230">
        <v>14</v>
      </c>
      <c r="R47" s="230">
        <v>15</v>
      </c>
      <c r="S47" s="230">
        <v>16</v>
      </c>
      <c r="T47" s="230">
        <v>17</v>
      </c>
      <c r="U47" s="230">
        <v>18</v>
      </c>
      <c r="V47" s="230">
        <v>19</v>
      </c>
      <c r="W47" s="230">
        <v>20</v>
      </c>
      <c r="X47" s="230">
        <v>21</v>
      </c>
      <c r="Y47" s="230">
        <v>22</v>
      </c>
      <c r="Z47" s="230">
        <v>23</v>
      </c>
      <c r="AA47" s="230">
        <v>24</v>
      </c>
      <c r="AB47" s="230">
        <v>25</v>
      </c>
      <c r="AC47" s="230">
        <v>26</v>
      </c>
      <c r="AD47" s="230">
        <v>27</v>
      </c>
      <c r="AE47" s="230">
        <v>28</v>
      </c>
      <c r="AF47" s="230">
        <v>29</v>
      </c>
      <c r="AG47" s="230">
        <v>30</v>
      </c>
      <c r="AH47" s="230">
        <v>31</v>
      </c>
      <c r="AI47" s="230">
        <v>32</v>
      </c>
      <c r="AJ47" s="230">
        <v>33</v>
      </c>
      <c r="AK47" s="230">
        <v>34</v>
      </c>
      <c r="AL47" s="230">
        <v>35</v>
      </c>
      <c r="AM47" s="230">
        <v>36</v>
      </c>
      <c r="AN47" s="230">
        <v>37</v>
      </c>
      <c r="AO47" s="230">
        <v>38</v>
      </c>
      <c r="AP47" s="230">
        <v>39</v>
      </c>
    </row>
    <row r="48" spans="2:42" x14ac:dyDescent="0.2">
      <c r="B48" s="233" t="s">
        <v>34</v>
      </c>
      <c r="C48" s="234" t="s">
        <v>9</v>
      </c>
      <c r="D48" s="301">
        <f t="shared" ref="D48:AP48" si="12">D4</f>
        <v>2026</v>
      </c>
      <c r="E48" s="301">
        <f t="shared" si="12"/>
        <v>2027</v>
      </c>
      <c r="F48" s="301">
        <f t="shared" si="12"/>
        <v>2028</v>
      </c>
      <c r="G48" s="301">
        <f t="shared" si="12"/>
        <v>2029</v>
      </c>
      <c r="H48" s="301">
        <f t="shared" si="12"/>
        <v>2030</v>
      </c>
      <c r="I48" s="301">
        <f t="shared" si="12"/>
        <v>2031</v>
      </c>
      <c r="J48" s="301">
        <f t="shared" si="12"/>
        <v>2032</v>
      </c>
      <c r="K48" s="301">
        <f t="shared" si="12"/>
        <v>2033</v>
      </c>
      <c r="L48" s="301">
        <f t="shared" si="12"/>
        <v>2034</v>
      </c>
      <c r="M48" s="301">
        <f t="shared" si="12"/>
        <v>2035</v>
      </c>
      <c r="N48" s="301">
        <f t="shared" si="12"/>
        <v>2036</v>
      </c>
      <c r="O48" s="301">
        <f t="shared" si="12"/>
        <v>2037</v>
      </c>
      <c r="P48" s="301">
        <f t="shared" si="12"/>
        <v>2038</v>
      </c>
      <c r="Q48" s="301">
        <f t="shared" si="12"/>
        <v>2039</v>
      </c>
      <c r="R48" s="301">
        <f t="shared" si="12"/>
        <v>2040</v>
      </c>
      <c r="S48" s="301">
        <f t="shared" si="12"/>
        <v>2041</v>
      </c>
      <c r="T48" s="301">
        <f t="shared" si="12"/>
        <v>2042</v>
      </c>
      <c r="U48" s="301">
        <f t="shared" si="12"/>
        <v>2043</v>
      </c>
      <c r="V48" s="301">
        <f t="shared" si="12"/>
        <v>2044</v>
      </c>
      <c r="W48" s="301">
        <f t="shared" si="12"/>
        <v>2045</v>
      </c>
      <c r="X48" s="301">
        <f t="shared" si="12"/>
        <v>2046</v>
      </c>
      <c r="Y48" s="301">
        <f t="shared" si="12"/>
        <v>2047</v>
      </c>
      <c r="Z48" s="301">
        <f t="shared" si="12"/>
        <v>2048</v>
      </c>
      <c r="AA48" s="301">
        <f t="shared" si="12"/>
        <v>2049</v>
      </c>
      <c r="AB48" s="301">
        <f t="shared" si="12"/>
        <v>2050</v>
      </c>
      <c r="AC48" s="301">
        <f t="shared" si="12"/>
        <v>2051</v>
      </c>
      <c r="AD48" s="301">
        <f t="shared" si="12"/>
        <v>2052</v>
      </c>
      <c r="AE48" s="301">
        <f t="shared" si="12"/>
        <v>2053</v>
      </c>
      <c r="AF48" s="301">
        <f t="shared" si="12"/>
        <v>2054</v>
      </c>
      <c r="AG48" s="301">
        <f t="shared" si="12"/>
        <v>2055</v>
      </c>
      <c r="AH48" s="301">
        <f t="shared" si="12"/>
        <v>2056</v>
      </c>
      <c r="AI48" s="301">
        <f t="shared" si="12"/>
        <v>2057</v>
      </c>
      <c r="AJ48" s="301">
        <f t="shared" si="12"/>
        <v>2058</v>
      </c>
      <c r="AK48" s="301">
        <f t="shared" si="12"/>
        <v>2059</v>
      </c>
      <c r="AL48" s="301">
        <f t="shared" si="12"/>
        <v>2060</v>
      </c>
      <c r="AM48" s="301">
        <f t="shared" si="12"/>
        <v>2061</v>
      </c>
      <c r="AN48" s="301">
        <f t="shared" si="12"/>
        <v>2062</v>
      </c>
      <c r="AO48" s="301">
        <f t="shared" si="12"/>
        <v>2063</v>
      </c>
      <c r="AP48" s="301">
        <f t="shared" si="12"/>
        <v>2064</v>
      </c>
    </row>
    <row r="49" spans="2:42" x14ac:dyDescent="0.2">
      <c r="B49" s="230" t="s">
        <v>390</v>
      </c>
      <c r="C49" s="235">
        <f>SUM(D49:AP49)</f>
        <v>0</v>
      </c>
      <c r="D49" s="236">
        <v>0</v>
      </c>
      <c r="E49" s="236">
        <v>0</v>
      </c>
      <c r="F49" s="236">
        <v>0</v>
      </c>
      <c r="G49" s="236">
        <v>0</v>
      </c>
      <c r="H49" s="236">
        <v>0</v>
      </c>
      <c r="I49" s="236">
        <v>0</v>
      </c>
      <c r="J49" s="236">
        <v>0</v>
      </c>
      <c r="K49" s="236">
        <v>0</v>
      </c>
      <c r="L49" s="236">
        <v>0</v>
      </c>
      <c r="M49" s="236">
        <v>0</v>
      </c>
      <c r="N49" s="236">
        <v>0</v>
      </c>
      <c r="O49" s="236">
        <v>0</v>
      </c>
      <c r="P49" s="236">
        <v>0</v>
      </c>
      <c r="Q49" s="236">
        <v>0</v>
      </c>
      <c r="R49" s="236">
        <v>0</v>
      </c>
      <c r="S49" s="236">
        <v>0</v>
      </c>
      <c r="T49" s="236">
        <v>0</v>
      </c>
      <c r="U49" s="236">
        <v>0</v>
      </c>
      <c r="V49" s="236">
        <v>0</v>
      </c>
      <c r="W49" s="236">
        <v>0</v>
      </c>
      <c r="X49" s="236">
        <v>0</v>
      </c>
      <c r="Y49" s="236">
        <v>0</v>
      </c>
      <c r="Z49" s="236">
        <v>0</v>
      </c>
      <c r="AA49" s="236">
        <v>0</v>
      </c>
      <c r="AB49" s="236">
        <v>0</v>
      </c>
      <c r="AC49" s="236">
        <v>0</v>
      </c>
      <c r="AD49" s="236">
        <v>0</v>
      </c>
      <c r="AE49" s="236">
        <v>0</v>
      </c>
      <c r="AF49" s="236">
        <v>0</v>
      </c>
      <c r="AG49" s="236">
        <v>0</v>
      </c>
      <c r="AH49" s="236">
        <v>0</v>
      </c>
      <c r="AI49" s="236">
        <v>0</v>
      </c>
      <c r="AJ49" s="236">
        <v>0</v>
      </c>
      <c r="AK49" s="236">
        <v>0</v>
      </c>
      <c r="AL49" s="236">
        <v>0</v>
      </c>
      <c r="AM49" s="236">
        <v>0</v>
      </c>
      <c r="AN49" s="236">
        <v>0</v>
      </c>
      <c r="AO49" s="236">
        <v>0</v>
      </c>
      <c r="AP49" s="236">
        <v>0</v>
      </c>
    </row>
    <row r="50" spans="2:42" x14ac:dyDescent="0.2">
      <c r="B50" s="230" t="s">
        <v>391</v>
      </c>
      <c r="C50" s="235">
        <f t="shared" ref="C50:C52" si="13">SUM(D50:AP50)</f>
        <v>0</v>
      </c>
      <c r="D50" s="236">
        <v>0</v>
      </c>
      <c r="E50" s="236">
        <v>0</v>
      </c>
      <c r="F50" s="236">
        <v>0</v>
      </c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0</v>
      </c>
      <c r="Q50" s="236">
        <v>0</v>
      </c>
      <c r="R50" s="236">
        <v>0</v>
      </c>
      <c r="S50" s="236">
        <v>0</v>
      </c>
      <c r="T50" s="236">
        <v>0</v>
      </c>
      <c r="U50" s="236">
        <v>0</v>
      </c>
      <c r="V50" s="236">
        <v>0</v>
      </c>
      <c r="W50" s="236">
        <v>0</v>
      </c>
      <c r="X50" s="236">
        <v>0</v>
      </c>
      <c r="Y50" s="236">
        <v>0</v>
      </c>
      <c r="Z50" s="236">
        <v>0</v>
      </c>
      <c r="AA50" s="236">
        <v>0</v>
      </c>
      <c r="AB50" s="236">
        <v>0</v>
      </c>
      <c r="AC50" s="236">
        <v>0</v>
      </c>
      <c r="AD50" s="236">
        <v>0</v>
      </c>
      <c r="AE50" s="236">
        <v>0</v>
      </c>
      <c r="AF50" s="236">
        <v>0</v>
      </c>
      <c r="AG50" s="236">
        <v>0</v>
      </c>
      <c r="AH50" s="236">
        <v>0</v>
      </c>
      <c r="AI50" s="236">
        <v>0</v>
      </c>
      <c r="AJ50" s="236">
        <v>0</v>
      </c>
      <c r="AK50" s="236">
        <v>0</v>
      </c>
      <c r="AL50" s="236">
        <v>0</v>
      </c>
      <c r="AM50" s="236">
        <v>0</v>
      </c>
      <c r="AN50" s="236">
        <v>0</v>
      </c>
      <c r="AO50" s="236">
        <v>0</v>
      </c>
      <c r="AP50" s="236">
        <v>0</v>
      </c>
    </row>
    <row r="51" spans="2:42" x14ac:dyDescent="0.2">
      <c r="B51" s="230" t="s">
        <v>392</v>
      </c>
      <c r="C51" s="235">
        <f t="shared" si="13"/>
        <v>0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6">
        <v>0</v>
      </c>
      <c r="K51" s="236">
        <v>0</v>
      </c>
      <c r="L51" s="236">
        <v>0</v>
      </c>
      <c r="M51" s="236">
        <v>0</v>
      </c>
      <c r="N51" s="236">
        <v>0</v>
      </c>
      <c r="O51" s="236">
        <v>0</v>
      </c>
      <c r="P51" s="236">
        <v>0</v>
      </c>
      <c r="Q51" s="236">
        <v>0</v>
      </c>
      <c r="R51" s="236">
        <v>0</v>
      </c>
      <c r="S51" s="236">
        <v>0</v>
      </c>
      <c r="T51" s="236">
        <v>0</v>
      </c>
      <c r="U51" s="236">
        <v>0</v>
      </c>
      <c r="V51" s="236">
        <v>0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236">
        <v>0</v>
      </c>
      <c r="AC51" s="236">
        <v>0</v>
      </c>
      <c r="AD51" s="236">
        <v>0</v>
      </c>
      <c r="AE51" s="236">
        <v>0</v>
      </c>
      <c r="AF51" s="236">
        <v>0</v>
      </c>
      <c r="AG51" s="236">
        <v>0</v>
      </c>
      <c r="AH51" s="236">
        <v>0</v>
      </c>
      <c r="AI51" s="236">
        <v>0</v>
      </c>
      <c r="AJ51" s="236">
        <v>0</v>
      </c>
      <c r="AK51" s="236">
        <v>0</v>
      </c>
      <c r="AL51" s="236">
        <v>0</v>
      </c>
      <c r="AM51" s="236">
        <v>0</v>
      </c>
      <c r="AN51" s="236">
        <v>0</v>
      </c>
      <c r="AO51" s="236">
        <v>0</v>
      </c>
      <c r="AP51" s="236">
        <v>0</v>
      </c>
    </row>
    <row r="52" spans="2:42" x14ac:dyDescent="0.2">
      <c r="B52" s="230" t="s">
        <v>138</v>
      </c>
      <c r="C52" s="235">
        <f t="shared" si="13"/>
        <v>0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</row>
    <row r="55" spans="2:42" x14ac:dyDescent="0.2">
      <c r="B55" s="230"/>
      <c r="C55" s="230"/>
      <c r="D55" s="230" t="s">
        <v>10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</row>
    <row r="56" spans="2:42" x14ac:dyDescent="0.2">
      <c r="B56" s="232" t="s">
        <v>402</v>
      </c>
      <c r="C56" s="232"/>
      <c r="D56" s="230">
        <v>1</v>
      </c>
      <c r="E56" s="230">
        <v>2</v>
      </c>
      <c r="F56" s="230">
        <v>3</v>
      </c>
      <c r="G56" s="230">
        <v>4</v>
      </c>
      <c r="H56" s="230">
        <v>5</v>
      </c>
      <c r="I56" s="230">
        <v>6</v>
      </c>
      <c r="J56" s="230">
        <v>7</v>
      </c>
      <c r="K56" s="230">
        <v>8</v>
      </c>
      <c r="L56" s="230">
        <v>9</v>
      </c>
      <c r="M56" s="230">
        <v>10</v>
      </c>
      <c r="N56" s="230">
        <v>11</v>
      </c>
      <c r="O56" s="230">
        <v>12</v>
      </c>
      <c r="P56" s="230">
        <v>13</v>
      </c>
      <c r="Q56" s="230">
        <v>14</v>
      </c>
      <c r="R56" s="230">
        <v>15</v>
      </c>
      <c r="S56" s="230">
        <v>16</v>
      </c>
      <c r="T56" s="230">
        <v>17</v>
      </c>
      <c r="U56" s="230">
        <v>18</v>
      </c>
      <c r="V56" s="230">
        <v>19</v>
      </c>
      <c r="W56" s="230">
        <v>20</v>
      </c>
      <c r="X56" s="230">
        <v>21</v>
      </c>
      <c r="Y56" s="230">
        <v>22</v>
      </c>
      <c r="Z56" s="230">
        <v>23</v>
      </c>
      <c r="AA56" s="230">
        <v>24</v>
      </c>
      <c r="AB56" s="230">
        <v>25</v>
      </c>
      <c r="AC56" s="230">
        <v>26</v>
      </c>
      <c r="AD56" s="230">
        <v>27</v>
      </c>
      <c r="AE56" s="230">
        <v>28</v>
      </c>
      <c r="AF56" s="230">
        <v>29</v>
      </c>
      <c r="AG56" s="230">
        <v>30</v>
      </c>
      <c r="AH56" s="230">
        <v>31</v>
      </c>
      <c r="AI56" s="230">
        <v>32</v>
      </c>
      <c r="AJ56" s="230">
        <v>33</v>
      </c>
      <c r="AK56" s="230">
        <v>34</v>
      </c>
      <c r="AL56" s="230">
        <v>35</v>
      </c>
      <c r="AM56" s="230">
        <v>36</v>
      </c>
      <c r="AN56" s="230">
        <v>37</v>
      </c>
      <c r="AO56" s="230">
        <v>38</v>
      </c>
      <c r="AP56" s="230">
        <v>39</v>
      </c>
    </row>
    <row r="57" spans="2:42" x14ac:dyDescent="0.2">
      <c r="B57" s="233" t="s">
        <v>63</v>
      </c>
      <c r="C57" s="234" t="s">
        <v>9</v>
      </c>
      <c r="D57" s="301">
        <f t="shared" ref="D57:AP57" si="14">D4</f>
        <v>2026</v>
      </c>
      <c r="E57" s="301">
        <f t="shared" si="14"/>
        <v>2027</v>
      </c>
      <c r="F57" s="301">
        <f t="shared" si="14"/>
        <v>2028</v>
      </c>
      <c r="G57" s="301">
        <f t="shared" si="14"/>
        <v>2029</v>
      </c>
      <c r="H57" s="301">
        <f t="shared" si="14"/>
        <v>2030</v>
      </c>
      <c r="I57" s="301">
        <f t="shared" si="14"/>
        <v>2031</v>
      </c>
      <c r="J57" s="301">
        <f t="shared" si="14"/>
        <v>2032</v>
      </c>
      <c r="K57" s="301">
        <f t="shared" si="14"/>
        <v>2033</v>
      </c>
      <c r="L57" s="301">
        <f t="shared" si="14"/>
        <v>2034</v>
      </c>
      <c r="M57" s="301">
        <f t="shared" si="14"/>
        <v>2035</v>
      </c>
      <c r="N57" s="301">
        <f t="shared" si="14"/>
        <v>2036</v>
      </c>
      <c r="O57" s="301">
        <f t="shared" si="14"/>
        <v>2037</v>
      </c>
      <c r="P57" s="301">
        <f t="shared" si="14"/>
        <v>2038</v>
      </c>
      <c r="Q57" s="301">
        <f t="shared" si="14"/>
        <v>2039</v>
      </c>
      <c r="R57" s="301">
        <f t="shared" si="14"/>
        <v>2040</v>
      </c>
      <c r="S57" s="301">
        <f t="shared" si="14"/>
        <v>2041</v>
      </c>
      <c r="T57" s="301">
        <f t="shared" si="14"/>
        <v>2042</v>
      </c>
      <c r="U57" s="301">
        <f t="shared" si="14"/>
        <v>2043</v>
      </c>
      <c r="V57" s="301">
        <f t="shared" si="14"/>
        <v>2044</v>
      </c>
      <c r="W57" s="301">
        <f t="shared" si="14"/>
        <v>2045</v>
      </c>
      <c r="X57" s="301">
        <f t="shared" si="14"/>
        <v>2046</v>
      </c>
      <c r="Y57" s="301">
        <f t="shared" si="14"/>
        <v>2047</v>
      </c>
      <c r="Z57" s="301">
        <f t="shared" si="14"/>
        <v>2048</v>
      </c>
      <c r="AA57" s="301">
        <f t="shared" si="14"/>
        <v>2049</v>
      </c>
      <c r="AB57" s="301">
        <f t="shared" si="14"/>
        <v>2050</v>
      </c>
      <c r="AC57" s="301">
        <f t="shared" si="14"/>
        <v>2051</v>
      </c>
      <c r="AD57" s="301">
        <f t="shared" si="14"/>
        <v>2052</v>
      </c>
      <c r="AE57" s="301">
        <f t="shared" si="14"/>
        <v>2053</v>
      </c>
      <c r="AF57" s="301">
        <f t="shared" si="14"/>
        <v>2054</v>
      </c>
      <c r="AG57" s="301">
        <f t="shared" si="14"/>
        <v>2055</v>
      </c>
      <c r="AH57" s="301">
        <f t="shared" si="14"/>
        <v>2056</v>
      </c>
      <c r="AI57" s="301">
        <f t="shared" si="14"/>
        <v>2057</v>
      </c>
      <c r="AJ57" s="301">
        <f t="shared" si="14"/>
        <v>2058</v>
      </c>
      <c r="AK57" s="301">
        <f t="shared" si="14"/>
        <v>2059</v>
      </c>
      <c r="AL57" s="301">
        <f t="shared" si="14"/>
        <v>2060</v>
      </c>
      <c r="AM57" s="301">
        <f t="shared" si="14"/>
        <v>2061</v>
      </c>
      <c r="AN57" s="301">
        <f t="shared" si="14"/>
        <v>2062</v>
      </c>
      <c r="AO57" s="301">
        <f t="shared" si="14"/>
        <v>2063</v>
      </c>
      <c r="AP57" s="301">
        <f t="shared" si="14"/>
        <v>2064</v>
      </c>
    </row>
    <row r="58" spans="2:42" x14ac:dyDescent="0.2">
      <c r="B58" s="230" t="s">
        <v>390</v>
      </c>
      <c r="C58" s="235">
        <f>SUM(D58:AP58)</f>
        <v>0</v>
      </c>
      <c r="D58" s="235">
        <f t="shared" ref="D58:AP61" si="15">D40-D49</f>
        <v>0</v>
      </c>
      <c r="E58" s="235">
        <f t="shared" si="15"/>
        <v>0</v>
      </c>
      <c r="F58" s="235">
        <f t="shared" si="15"/>
        <v>0</v>
      </c>
      <c r="G58" s="235">
        <f t="shared" si="15"/>
        <v>0</v>
      </c>
      <c r="H58" s="235">
        <f t="shared" si="15"/>
        <v>0</v>
      </c>
      <c r="I58" s="235">
        <f t="shared" si="15"/>
        <v>0</v>
      </c>
      <c r="J58" s="235">
        <f t="shared" si="15"/>
        <v>0</v>
      </c>
      <c r="K58" s="235">
        <f t="shared" si="15"/>
        <v>0</v>
      </c>
      <c r="L58" s="235">
        <f t="shared" si="15"/>
        <v>0</v>
      </c>
      <c r="M58" s="235">
        <f t="shared" si="15"/>
        <v>0</v>
      </c>
      <c r="N58" s="235">
        <f t="shared" si="15"/>
        <v>0</v>
      </c>
      <c r="O58" s="235">
        <f t="shared" si="15"/>
        <v>0</v>
      </c>
      <c r="P58" s="235">
        <f t="shared" si="15"/>
        <v>0</v>
      </c>
      <c r="Q58" s="235">
        <f t="shared" si="15"/>
        <v>0</v>
      </c>
      <c r="R58" s="235">
        <f t="shared" si="15"/>
        <v>0</v>
      </c>
      <c r="S58" s="235">
        <f t="shared" si="15"/>
        <v>0</v>
      </c>
      <c r="T58" s="235">
        <f t="shared" si="15"/>
        <v>0</v>
      </c>
      <c r="U58" s="235">
        <f t="shared" si="15"/>
        <v>0</v>
      </c>
      <c r="V58" s="235">
        <f t="shared" si="15"/>
        <v>0</v>
      </c>
      <c r="W58" s="235">
        <f t="shared" si="15"/>
        <v>0</v>
      </c>
      <c r="X58" s="235">
        <f t="shared" si="15"/>
        <v>0</v>
      </c>
      <c r="Y58" s="235">
        <f t="shared" si="15"/>
        <v>0</v>
      </c>
      <c r="Z58" s="235">
        <f t="shared" si="15"/>
        <v>0</v>
      </c>
      <c r="AA58" s="235">
        <f t="shared" si="15"/>
        <v>0</v>
      </c>
      <c r="AB58" s="235">
        <f t="shared" si="15"/>
        <v>0</v>
      </c>
      <c r="AC58" s="235">
        <f t="shared" si="15"/>
        <v>0</v>
      </c>
      <c r="AD58" s="235">
        <f t="shared" si="15"/>
        <v>0</v>
      </c>
      <c r="AE58" s="235">
        <f t="shared" si="15"/>
        <v>0</v>
      </c>
      <c r="AF58" s="235">
        <f t="shared" si="15"/>
        <v>0</v>
      </c>
      <c r="AG58" s="235">
        <f t="shared" si="15"/>
        <v>0</v>
      </c>
      <c r="AH58" s="235">
        <f t="shared" si="15"/>
        <v>0</v>
      </c>
      <c r="AI58" s="235">
        <f t="shared" si="15"/>
        <v>0</v>
      </c>
      <c r="AJ58" s="235">
        <f t="shared" si="15"/>
        <v>0</v>
      </c>
      <c r="AK58" s="235">
        <f t="shared" si="15"/>
        <v>0</v>
      </c>
      <c r="AL58" s="235">
        <f t="shared" si="15"/>
        <v>0</v>
      </c>
      <c r="AM58" s="235">
        <f t="shared" si="15"/>
        <v>0</v>
      </c>
      <c r="AN58" s="235">
        <f t="shared" si="15"/>
        <v>0</v>
      </c>
      <c r="AO58" s="235">
        <f t="shared" si="15"/>
        <v>0</v>
      </c>
      <c r="AP58" s="235">
        <f t="shared" si="15"/>
        <v>0</v>
      </c>
    </row>
    <row r="59" spans="2:42" x14ac:dyDescent="0.2">
      <c r="B59" s="230" t="s">
        <v>391</v>
      </c>
      <c r="C59" s="235">
        <f t="shared" ref="C59:C61" si="16">SUM(D59:AP59)</f>
        <v>0</v>
      </c>
      <c r="D59" s="235">
        <f t="shared" si="15"/>
        <v>0</v>
      </c>
      <c r="E59" s="235">
        <f t="shared" si="15"/>
        <v>0</v>
      </c>
      <c r="F59" s="235">
        <f t="shared" si="15"/>
        <v>0</v>
      </c>
      <c r="G59" s="235">
        <f t="shared" si="15"/>
        <v>0</v>
      </c>
      <c r="H59" s="235">
        <f t="shared" si="15"/>
        <v>0</v>
      </c>
      <c r="I59" s="235">
        <f t="shared" si="15"/>
        <v>0</v>
      </c>
      <c r="J59" s="235">
        <f t="shared" si="15"/>
        <v>0</v>
      </c>
      <c r="K59" s="235">
        <f t="shared" si="15"/>
        <v>0</v>
      </c>
      <c r="L59" s="235">
        <f t="shared" si="15"/>
        <v>0</v>
      </c>
      <c r="M59" s="235">
        <f t="shared" si="15"/>
        <v>0</v>
      </c>
      <c r="N59" s="235">
        <f t="shared" si="15"/>
        <v>0</v>
      </c>
      <c r="O59" s="235">
        <f t="shared" si="15"/>
        <v>0</v>
      </c>
      <c r="P59" s="235">
        <f t="shared" si="15"/>
        <v>0</v>
      </c>
      <c r="Q59" s="235">
        <f t="shared" si="15"/>
        <v>0</v>
      </c>
      <c r="R59" s="235">
        <f t="shared" si="15"/>
        <v>0</v>
      </c>
      <c r="S59" s="235">
        <f t="shared" si="15"/>
        <v>0</v>
      </c>
      <c r="T59" s="235">
        <f t="shared" si="15"/>
        <v>0</v>
      </c>
      <c r="U59" s="235">
        <f t="shared" si="15"/>
        <v>0</v>
      </c>
      <c r="V59" s="235">
        <f t="shared" si="15"/>
        <v>0</v>
      </c>
      <c r="W59" s="235">
        <f t="shared" si="15"/>
        <v>0</v>
      </c>
      <c r="X59" s="235">
        <f t="shared" si="15"/>
        <v>0</v>
      </c>
      <c r="Y59" s="235">
        <f t="shared" si="15"/>
        <v>0</v>
      </c>
      <c r="Z59" s="235">
        <f t="shared" si="15"/>
        <v>0</v>
      </c>
      <c r="AA59" s="235">
        <f t="shared" si="15"/>
        <v>0</v>
      </c>
      <c r="AB59" s="235">
        <f t="shared" si="15"/>
        <v>0</v>
      </c>
      <c r="AC59" s="235">
        <f t="shared" si="15"/>
        <v>0</v>
      </c>
      <c r="AD59" s="235">
        <f t="shared" si="15"/>
        <v>0</v>
      </c>
      <c r="AE59" s="235">
        <f t="shared" si="15"/>
        <v>0</v>
      </c>
      <c r="AF59" s="235">
        <f t="shared" si="15"/>
        <v>0</v>
      </c>
      <c r="AG59" s="235">
        <f t="shared" si="15"/>
        <v>0</v>
      </c>
      <c r="AH59" s="235">
        <f t="shared" si="15"/>
        <v>0</v>
      </c>
      <c r="AI59" s="235">
        <f t="shared" si="15"/>
        <v>0</v>
      </c>
      <c r="AJ59" s="235">
        <f t="shared" si="15"/>
        <v>0</v>
      </c>
      <c r="AK59" s="235">
        <f t="shared" si="15"/>
        <v>0</v>
      </c>
      <c r="AL59" s="235">
        <f t="shared" si="15"/>
        <v>0</v>
      </c>
      <c r="AM59" s="235">
        <f t="shared" si="15"/>
        <v>0</v>
      </c>
      <c r="AN59" s="235">
        <f t="shared" si="15"/>
        <v>0</v>
      </c>
      <c r="AO59" s="235">
        <f t="shared" si="15"/>
        <v>0</v>
      </c>
      <c r="AP59" s="235">
        <f t="shared" si="15"/>
        <v>0</v>
      </c>
    </row>
    <row r="60" spans="2:42" x14ac:dyDescent="0.2">
      <c r="B60" s="230" t="s">
        <v>392</v>
      </c>
      <c r="C60" s="235">
        <f t="shared" si="16"/>
        <v>0</v>
      </c>
      <c r="D60" s="235">
        <f t="shared" si="15"/>
        <v>0</v>
      </c>
      <c r="E60" s="235">
        <f t="shared" si="15"/>
        <v>0</v>
      </c>
      <c r="F60" s="235">
        <f t="shared" si="15"/>
        <v>0</v>
      </c>
      <c r="G60" s="235">
        <f t="shared" si="15"/>
        <v>0</v>
      </c>
      <c r="H60" s="235">
        <f t="shared" si="15"/>
        <v>0</v>
      </c>
      <c r="I60" s="235">
        <f t="shared" si="15"/>
        <v>0</v>
      </c>
      <c r="J60" s="235">
        <f t="shared" si="15"/>
        <v>0</v>
      </c>
      <c r="K60" s="235">
        <f t="shared" si="15"/>
        <v>0</v>
      </c>
      <c r="L60" s="235">
        <f t="shared" si="15"/>
        <v>0</v>
      </c>
      <c r="M60" s="235">
        <f t="shared" si="15"/>
        <v>0</v>
      </c>
      <c r="N60" s="235">
        <f t="shared" si="15"/>
        <v>0</v>
      </c>
      <c r="O60" s="235">
        <f t="shared" si="15"/>
        <v>0</v>
      </c>
      <c r="P60" s="235">
        <f t="shared" si="15"/>
        <v>0</v>
      </c>
      <c r="Q60" s="235">
        <f t="shared" si="15"/>
        <v>0</v>
      </c>
      <c r="R60" s="235">
        <f t="shared" si="15"/>
        <v>0</v>
      </c>
      <c r="S60" s="235">
        <f t="shared" si="15"/>
        <v>0</v>
      </c>
      <c r="T60" s="235">
        <f t="shared" si="15"/>
        <v>0</v>
      </c>
      <c r="U60" s="235">
        <f t="shared" si="15"/>
        <v>0</v>
      </c>
      <c r="V60" s="235">
        <f t="shared" si="15"/>
        <v>0</v>
      </c>
      <c r="W60" s="235">
        <f t="shared" si="15"/>
        <v>0</v>
      </c>
      <c r="X60" s="235">
        <f t="shared" si="15"/>
        <v>0</v>
      </c>
      <c r="Y60" s="235">
        <f t="shared" si="15"/>
        <v>0</v>
      </c>
      <c r="Z60" s="235">
        <f t="shared" si="15"/>
        <v>0</v>
      </c>
      <c r="AA60" s="235">
        <f t="shared" si="15"/>
        <v>0</v>
      </c>
      <c r="AB60" s="235">
        <f t="shared" si="15"/>
        <v>0</v>
      </c>
      <c r="AC60" s="235">
        <f t="shared" si="15"/>
        <v>0</v>
      </c>
      <c r="AD60" s="235">
        <f t="shared" si="15"/>
        <v>0</v>
      </c>
      <c r="AE60" s="235">
        <f t="shared" si="15"/>
        <v>0</v>
      </c>
      <c r="AF60" s="235">
        <f t="shared" si="15"/>
        <v>0</v>
      </c>
      <c r="AG60" s="235">
        <f t="shared" si="15"/>
        <v>0</v>
      </c>
      <c r="AH60" s="235">
        <f t="shared" si="15"/>
        <v>0</v>
      </c>
      <c r="AI60" s="235">
        <f t="shared" si="15"/>
        <v>0</v>
      </c>
      <c r="AJ60" s="235">
        <f t="shared" si="15"/>
        <v>0</v>
      </c>
      <c r="AK60" s="235">
        <f t="shared" si="15"/>
        <v>0</v>
      </c>
      <c r="AL60" s="235">
        <f t="shared" si="15"/>
        <v>0</v>
      </c>
      <c r="AM60" s="235">
        <f t="shared" si="15"/>
        <v>0</v>
      </c>
      <c r="AN60" s="235">
        <f t="shared" si="15"/>
        <v>0</v>
      </c>
      <c r="AO60" s="235">
        <f t="shared" si="15"/>
        <v>0</v>
      </c>
      <c r="AP60" s="235">
        <f t="shared" si="15"/>
        <v>0</v>
      </c>
    </row>
    <row r="61" spans="2:42" x14ac:dyDescent="0.2">
      <c r="B61" s="230" t="s">
        <v>138</v>
      </c>
      <c r="C61" s="235">
        <f t="shared" si="16"/>
        <v>0</v>
      </c>
      <c r="D61" s="235">
        <f t="shared" si="15"/>
        <v>0</v>
      </c>
      <c r="E61" s="235">
        <f t="shared" si="15"/>
        <v>0</v>
      </c>
      <c r="F61" s="235">
        <f t="shared" si="15"/>
        <v>0</v>
      </c>
      <c r="G61" s="235">
        <f t="shared" si="15"/>
        <v>0</v>
      </c>
      <c r="H61" s="235">
        <f t="shared" si="15"/>
        <v>0</v>
      </c>
      <c r="I61" s="235">
        <f t="shared" si="15"/>
        <v>0</v>
      </c>
      <c r="J61" s="235">
        <f t="shared" si="15"/>
        <v>0</v>
      </c>
      <c r="K61" s="235">
        <f t="shared" si="15"/>
        <v>0</v>
      </c>
      <c r="L61" s="235">
        <f t="shared" si="15"/>
        <v>0</v>
      </c>
      <c r="M61" s="235">
        <f t="shared" si="15"/>
        <v>0</v>
      </c>
      <c r="N61" s="235">
        <f t="shared" si="15"/>
        <v>0</v>
      </c>
      <c r="O61" s="235">
        <f t="shared" si="15"/>
        <v>0</v>
      </c>
      <c r="P61" s="235">
        <f t="shared" si="15"/>
        <v>0</v>
      </c>
      <c r="Q61" s="235">
        <f t="shared" si="15"/>
        <v>0</v>
      </c>
      <c r="R61" s="235">
        <f t="shared" si="15"/>
        <v>0</v>
      </c>
      <c r="S61" s="235">
        <f t="shared" si="15"/>
        <v>0</v>
      </c>
      <c r="T61" s="235">
        <f t="shared" si="15"/>
        <v>0</v>
      </c>
      <c r="U61" s="235">
        <f t="shared" si="15"/>
        <v>0</v>
      </c>
      <c r="V61" s="235">
        <f t="shared" si="15"/>
        <v>0</v>
      </c>
      <c r="W61" s="235">
        <f t="shared" si="15"/>
        <v>0</v>
      </c>
      <c r="X61" s="235">
        <f t="shared" si="15"/>
        <v>0</v>
      </c>
      <c r="Y61" s="235">
        <f t="shared" si="15"/>
        <v>0</v>
      </c>
      <c r="Z61" s="235">
        <f t="shared" si="15"/>
        <v>0</v>
      </c>
      <c r="AA61" s="235">
        <f t="shared" si="15"/>
        <v>0</v>
      </c>
      <c r="AB61" s="235">
        <f t="shared" si="15"/>
        <v>0</v>
      </c>
      <c r="AC61" s="235">
        <f t="shared" si="15"/>
        <v>0</v>
      </c>
      <c r="AD61" s="235">
        <f t="shared" si="15"/>
        <v>0</v>
      </c>
      <c r="AE61" s="235">
        <f t="shared" si="15"/>
        <v>0</v>
      </c>
      <c r="AF61" s="235">
        <f t="shared" si="15"/>
        <v>0</v>
      </c>
      <c r="AG61" s="235">
        <f t="shared" si="15"/>
        <v>0</v>
      </c>
      <c r="AH61" s="235">
        <f t="shared" si="15"/>
        <v>0</v>
      </c>
      <c r="AI61" s="235">
        <f t="shared" si="15"/>
        <v>0</v>
      </c>
      <c r="AJ61" s="235">
        <f t="shared" si="15"/>
        <v>0</v>
      </c>
      <c r="AK61" s="235">
        <f t="shared" si="15"/>
        <v>0</v>
      </c>
      <c r="AL61" s="235">
        <f t="shared" si="15"/>
        <v>0</v>
      </c>
      <c r="AM61" s="235">
        <f t="shared" si="15"/>
        <v>0</v>
      </c>
      <c r="AN61" s="235">
        <f t="shared" si="15"/>
        <v>0</v>
      </c>
      <c r="AO61" s="235">
        <f t="shared" si="15"/>
        <v>0</v>
      </c>
      <c r="AP61" s="235">
        <f t="shared" si="15"/>
        <v>0</v>
      </c>
    </row>
    <row r="62" spans="2:42" x14ac:dyDescent="0.2"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</row>
    <row r="64" spans="2:42" ht="22.5" x14ac:dyDescent="0.2">
      <c r="B64" s="254" t="s">
        <v>403</v>
      </c>
      <c r="C64" s="249" t="s">
        <v>9</v>
      </c>
    </row>
    <row r="65" spans="2:42" x14ac:dyDescent="0.2">
      <c r="B65" s="245" t="s">
        <v>390</v>
      </c>
      <c r="C65" s="235">
        <f>SUM(D65:AP65)</f>
        <v>0</v>
      </c>
      <c r="D65" s="235">
        <f>D58*'Parametre EMU550'!$C$187</f>
        <v>0</v>
      </c>
      <c r="E65" s="235">
        <f>E58*'Parametre EMU550'!$C$187</f>
        <v>0</v>
      </c>
      <c r="F65" s="235">
        <f>F58*'Parametre EMU550'!$C$187</f>
        <v>0</v>
      </c>
      <c r="G65" s="235">
        <f>G58*'Parametre EMU550'!$C$187</f>
        <v>0</v>
      </c>
      <c r="H65" s="235">
        <f>H58*'Parametre EMU550'!$C$187</f>
        <v>0</v>
      </c>
      <c r="I65" s="235">
        <f>I58*'Parametre EMU550'!$C$187</f>
        <v>0</v>
      </c>
      <c r="J65" s="235">
        <f>J58*'Parametre EMU550'!$C$187</f>
        <v>0</v>
      </c>
      <c r="K65" s="235">
        <f>K58*'Parametre EMU550'!$C$187</f>
        <v>0</v>
      </c>
      <c r="L65" s="235">
        <f>L58*'Parametre EMU550'!$C$187</f>
        <v>0</v>
      </c>
      <c r="M65" s="235">
        <f>M58*'Parametre EMU550'!$C$187</f>
        <v>0</v>
      </c>
      <c r="N65" s="235">
        <f>N58*'Parametre EMU550'!$C$187</f>
        <v>0</v>
      </c>
      <c r="O65" s="235">
        <f>O58*'Parametre EMU550'!$C$187</f>
        <v>0</v>
      </c>
      <c r="P65" s="235">
        <f>P58*'Parametre EMU550'!$C$187</f>
        <v>0</v>
      </c>
      <c r="Q65" s="235">
        <f>Q58*'Parametre EMU550'!$C$187</f>
        <v>0</v>
      </c>
      <c r="R65" s="235">
        <f>R58*'Parametre EMU550'!$C$187</f>
        <v>0</v>
      </c>
      <c r="S65" s="235">
        <f>S58*'Parametre EMU550'!$C$187</f>
        <v>0</v>
      </c>
      <c r="T65" s="235">
        <f>T58*'Parametre EMU550'!$C$187</f>
        <v>0</v>
      </c>
      <c r="U65" s="235">
        <f>U58*'Parametre EMU550'!$C$187</f>
        <v>0</v>
      </c>
      <c r="V65" s="235">
        <f>V58*'Parametre EMU550'!$C$187</f>
        <v>0</v>
      </c>
      <c r="W65" s="235">
        <f>W58*'Parametre EMU550'!$C$187</f>
        <v>0</v>
      </c>
      <c r="X65" s="235">
        <f>X58*'Parametre EMU550'!$C$187</f>
        <v>0</v>
      </c>
      <c r="Y65" s="235">
        <f>Y58*'Parametre EMU550'!$C$187</f>
        <v>0</v>
      </c>
      <c r="Z65" s="235">
        <f>Z58*'Parametre EMU550'!$C$187</f>
        <v>0</v>
      </c>
      <c r="AA65" s="235">
        <f>AA58*'Parametre EMU550'!$C$187</f>
        <v>0</v>
      </c>
      <c r="AB65" s="235">
        <f>AB58*'Parametre EMU550'!$C$187</f>
        <v>0</v>
      </c>
      <c r="AC65" s="235">
        <f>AC58*'Parametre EMU550'!$C$187</f>
        <v>0</v>
      </c>
      <c r="AD65" s="235">
        <f>AD58*'Parametre EMU550'!$C$187</f>
        <v>0</v>
      </c>
      <c r="AE65" s="235">
        <f>AE58*'Parametre EMU550'!$C$187</f>
        <v>0</v>
      </c>
      <c r="AF65" s="235">
        <f>AF58*'Parametre EMU550'!$C$187</f>
        <v>0</v>
      </c>
      <c r="AG65" s="235">
        <f>AG58*'Parametre EMU550'!$C$187</f>
        <v>0</v>
      </c>
      <c r="AH65" s="235">
        <f>AH58*'Parametre EMU550'!$C$187</f>
        <v>0</v>
      </c>
      <c r="AI65" s="235">
        <f>AI58*'Parametre EMU550'!$C$187</f>
        <v>0</v>
      </c>
      <c r="AJ65" s="235">
        <f>AJ58*'Parametre EMU550'!$C$187</f>
        <v>0</v>
      </c>
      <c r="AK65" s="235">
        <f>AK58*'Parametre EMU550'!$C$187</f>
        <v>0</v>
      </c>
      <c r="AL65" s="235">
        <f>AL58*'Parametre EMU550'!$C$187</f>
        <v>0</v>
      </c>
      <c r="AM65" s="235">
        <f>AM58*'Parametre EMU550'!$C$187</f>
        <v>0</v>
      </c>
      <c r="AN65" s="235">
        <f>AN58*'Parametre EMU550'!$C$187</f>
        <v>0</v>
      </c>
      <c r="AO65" s="235">
        <f>AO58*'Parametre EMU550'!$C$187</f>
        <v>0</v>
      </c>
      <c r="AP65" s="235">
        <f>AP58*'Parametre EMU550'!$C$187</f>
        <v>0</v>
      </c>
    </row>
    <row r="66" spans="2:42" x14ac:dyDescent="0.2">
      <c r="B66" s="245" t="s">
        <v>391</v>
      </c>
      <c r="C66" s="235">
        <f t="shared" ref="C66:C69" si="17">SUM(D66:AP66)</f>
        <v>0</v>
      </c>
      <c r="D66" s="235">
        <f>D59*'Parametre EMU550'!$C$188</f>
        <v>0</v>
      </c>
      <c r="E66" s="235">
        <f>E59*'Parametre EMU550'!$C$188</f>
        <v>0</v>
      </c>
      <c r="F66" s="235">
        <f>F59*'Parametre EMU550'!$C$188</f>
        <v>0</v>
      </c>
      <c r="G66" s="235">
        <f>G59*'Parametre EMU550'!$C$188</f>
        <v>0</v>
      </c>
      <c r="H66" s="235">
        <f>H59*'Parametre EMU550'!$C$188</f>
        <v>0</v>
      </c>
      <c r="I66" s="235">
        <f>I59*'Parametre EMU550'!$C$188</f>
        <v>0</v>
      </c>
      <c r="J66" s="235">
        <f>J59*'Parametre EMU550'!$C$188</f>
        <v>0</v>
      </c>
      <c r="K66" s="235">
        <f>K59*'Parametre EMU550'!$C$188</f>
        <v>0</v>
      </c>
      <c r="L66" s="235">
        <f>L59*'Parametre EMU550'!$C$188</f>
        <v>0</v>
      </c>
      <c r="M66" s="235">
        <f>M59*'Parametre EMU550'!$C$188</f>
        <v>0</v>
      </c>
      <c r="N66" s="235">
        <f>N59*'Parametre EMU550'!$C$188</f>
        <v>0</v>
      </c>
      <c r="O66" s="235">
        <f>O59*'Parametre EMU550'!$C$188</f>
        <v>0</v>
      </c>
      <c r="P66" s="235">
        <f>P59*'Parametre EMU550'!$C$188</f>
        <v>0</v>
      </c>
      <c r="Q66" s="235">
        <f>Q59*'Parametre EMU550'!$C$188</f>
        <v>0</v>
      </c>
      <c r="R66" s="235">
        <f>R59*'Parametre EMU550'!$C$188</f>
        <v>0</v>
      </c>
      <c r="S66" s="235">
        <f>S59*'Parametre EMU550'!$C$188</f>
        <v>0</v>
      </c>
      <c r="T66" s="235">
        <f>T59*'Parametre EMU550'!$C$188</f>
        <v>0</v>
      </c>
      <c r="U66" s="235">
        <f>U59*'Parametre EMU550'!$C$188</f>
        <v>0</v>
      </c>
      <c r="V66" s="235">
        <f>V59*'Parametre EMU550'!$C$188</f>
        <v>0</v>
      </c>
      <c r="W66" s="235">
        <f>W59*'Parametre EMU550'!$C$188</f>
        <v>0</v>
      </c>
      <c r="X66" s="235">
        <f>X59*'Parametre EMU550'!$C$188</f>
        <v>0</v>
      </c>
      <c r="Y66" s="235">
        <f>Y59*'Parametre EMU550'!$C$188</f>
        <v>0</v>
      </c>
      <c r="Z66" s="235">
        <f>Z59*'Parametre EMU550'!$C$188</f>
        <v>0</v>
      </c>
      <c r="AA66" s="235">
        <f>AA59*'Parametre EMU550'!$C$188</f>
        <v>0</v>
      </c>
      <c r="AB66" s="235">
        <f>AB59*'Parametre EMU550'!$C$188</f>
        <v>0</v>
      </c>
      <c r="AC66" s="235">
        <f>AC59*'Parametre EMU550'!$C$188</f>
        <v>0</v>
      </c>
      <c r="AD66" s="235">
        <f>AD59*'Parametre EMU550'!$C$188</f>
        <v>0</v>
      </c>
      <c r="AE66" s="235">
        <f>AE59*'Parametre EMU550'!$C$188</f>
        <v>0</v>
      </c>
      <c r="AF66" s="235">
        <f>AF59*'Parametre EMU550'!$C$188</f>
        <v>0</v>
      </c>
      <c r="AG66" s="235">
        <f>AG59*'Parametre EMU550'!$C$188</f>
        <v>0</v>
      </c>
      <c r="AH66" s="235">
        <f>AH59*'Parametre EMU550'!$C$188</f>
        <v>0</v>
      </c>
      <c r="AI66" s="235">
        <f>AI59*'Parametre EMU550'!$C$188</f>
        <v>0</v>
      </c>
      <c r="AJ66" s="235">
        <f>AJ59*'Parametre EMU550'!$C$188</f>
        <v>0</v>
      </c>
      <c r="AK66" s="235">
        <f>AK59*'Parametre EMU550'!$C$188</f>
        <v>0</v>
      </c>
      <c r="AL66" s="235">
        <f>AL59*'Parametre EMU550'!$C$188</f>
        <v>0</v>
      </c>
      <c r="AM66" s="235">
        <f>AM59*'Parametre EMU550'!$C$188</f>
        <v>0</v>
      </c>
      <c r="AN66" s="235">
        <f>AN59*'Parametre EMU550'!$C$188</f>
        <v>0</v>
      </c>
      <c r="AO66" s="235">
        <f>AO59*'Parametre EMU550'!$C$188</f>
        <v>0</v>
      </c>
      <c r="AP66" s="235">
        <f>AP59*'Parametre EMU550'!$C$188</f>
        <v>0</v>
      </c>
    </row>
    <row r="67" spans="2:42" x14ac:dyDescent="0.2">
      <c r="B67" s="230" t="s">
        <v>392</v>
      </c>
      <c r="C67" s="235">
        <f t="shared" si="17"/>
        <v>0</v>
      </c>
      <c r="D67" s="235">
        <f>D60*'Parametre EMU550'!$C$189</f>
        <v>0</v>
      </c>
      <c r="E67" s="235">
        <f>E60*'Parametre EMU550'!$C$189</f>
        <v>0</v>
      </c>
      <c r="F67" s="235">
        <f>F60*'Parametre EMU550'!$C$189</f>
        <v>0</v>
      </c>
      <c r="G67" s="235">
        <f>G60*'Parametre EMU550'!$C$189</f>
        <v>0</v>
      </c>
      <c r="H67" s="235">
        <f>H60*'Parametre EMU550'!$C$189</f>
        <v>0</v>
      </c>
      <c r="I67" s="235">
        <f>I60*'Parametre EMU550'!$C$189</f>
        <v>0</v>
      </c>
      <c r="J67" s="235">
        <f>J60*'Parametre EMU550'!$C$189</f>
        <v>0</v>
      </c>
      <c r="K67" s="235">
        <f>K60*'Parametre EMU550'!$C$189</f>
        <v>0</v>
      </c>
      <c r="L67" s="235">
        <f>L60*'Parametre EMU550'!$C$189</f>
        <v>0</v>
      </c>
      <c r="M67" s="235">
        <f>M60*'Parametre EMU550'!$C$189</f>
        <v>0</v>
      </c>
      <c r="N67" s="235">
        <f>N60*'Parametre EMU550'!$C$189</f>
        <v>0</v>
      </c>
      <c r="O67" s="235">
        <f>O60*'Parametre EMU550'!$C$189</f>
        <v>0</v>
      </c>
      <c r="P67" s="235">
        <f>P60*'Parametre EMU550'!$C$189</f>
        <v>0</v>
      </c>
      <c r="Q67" s="235">
        <f>Q60*'Parametre EMU550'!$C$189</f>
        <v>0</v>
      </c>
      <c r="R67" s="235">
        <f>R60*'Parametre EMU550'!$C$189</f>
        <v>0</v>
      </c>
      <c r="S67" s="235">
        <f>S60*'Parametre EMU550'!$C$189</f>
        <v>0</v>
      </c>
      <c r="T67" s="235">
        <f>T60*'Parametre EMU550'!$C$189</f>
        <v>0</v>
      </c>
      <c r="U67" s="235">
        <f>U60*'Parametre EMU550'!$C$189</f>
        <v>0</v>
      </c>
      <c r="V67" s="235">
        <f>V60*'Parametre EMU550'!$C$189</f>
        <v>0</v>
      </c>
      <c r="W67" s="235">
        <f>W60*'Parametre EMU550'!$C$189</f>
        <v>0</v>
      </c>
      <c r="X67" s="235">
        <f>X60*'Parametre EMU550'!$C$189</f>
        <v>0</v>
      </c>
      <c r="Y67" s="235">
        <f>Y60*'Parametre EMU550'!$C$189</f>
        <v>0</v>
      </c>
      <c r="Z67" s="235">
        <f>Z60*'Parametre EMU550'!$C$189</f>
        <v>0</v>
      </c>
      <c r="AA67" s="235">
        <f>AA60*'Parametre EMU550'!$C$189</f>
        <v>0</v>
      </c>
      <c r="AB67" s="235">
        <f>AB60*'Parametre EMU550'!$C$189</f>
        <v>0</v>
      </c>
      <c r="AC67" s="235">
        <f>AC60*'Parametre EMU550'!$C$189</f>
        <v>0</v>
      </c>
      <c r="AD67" s="235">
        <f>AD60*'Parametre EMU550'!$C$189</f>
        <v>0</v>
      </c>
      <c r="AE67" s="235">
        <f>AE60*'Parametre EMU550'!$C$189</f>
        <v>0</v>
      </c>
      <c r="AF67" s="235">
        <f>AF60*'Parametre EMU550'!$C$189</f>
        <v>0</v>
      </c>
      <c r="AG67" s="235">
        <f>AG60*'Parametre EMU550'!$C$189</f>
        <v>0</v>
      </c>
      <c r="AH67" s="235">
        <f>AH60*'Parametre EMU550'!$C$189</f>
        <v>0</v>
      </c>
      <c r="AI67" s="235">
        <f>AI60*'Parametre EMU550'!$C$189</f>
        <v>0</v>
      </c>
      <c r="AJ67" s="235">
        <f>AJ60*'Parametre EMU550'!$C$189</f>
        <v>0</v>
      </c>
      <c r="AK67" s="235">
        <f>AK60*'Parametre EMU550'!$C$189</f>
        <v>0</v>
      </c>
      <c r="AL67" s="235">
        <f>AL60*'Parametre EMU550'!$C$189</f>
        <v>0</v>
      </c>
      <c r="AM67" s="235">
        <f>AM60*'Parametre EMU550'!$C$189</f>
        <v>0</v>
      </c>
      <c r="AN67" s="235">
        <f>AN60*'Parametre EMU550'!$C$189</f>
        <v>0</v>
      </c>
      <c r="AO67" s="235">
        <f>AO60*'Parametre EMU550'!$C$189</f>
        <v>0</v>
      </c>
      <c r="AP67" s="235">
        <f>AP60*'Parametre EMU550'!$C$189</f>
        <v>0</v>
      </c>
    </row>
    <row r="68" spans="2:42" x14ac:dyDescent="0.2">
      <c r="B68" s="245" t="s">
        <v>138</v>
      </c>
      <c r="C68" s="235">
        <f t="shared" si="17"/>
        <v>0</v>
      </c>
      <c r="D68" s="235">
        <f>D61*'Parametre EMU550'!$C$190</f>
        <v>0</v>
      </c>
      <c r="E68" s="235">
        <f>E61*'Parametre EMU550'!$C$190</f>
        <v>0</v>
      </c>
      <c r="F68" s="235">
        <f>F61*'Parametre EMU550'!$C$190</f>
        <v>0</v>
      </c>
      <c r="G68" s="235">
        <f>G61*'Parametre EMU550'!$C$190</f>
        <v>0</v>
      </c>
      <c r="H68" s="235">
        <f>H61*'Parametre EMU550'!$C$190</f>
        <v>0</v>
      </c>
      <c r="I68" s="235">
        <f>I61*'Parametre EMU550'!$C$190</f>
        <v>0</v>
      </c>
      <c r="J68" s="235">
        <f>J61*'Parametre EMU550'!$C$190</f>
        <v>0</v>
      </c>
      <c r="K68" s="235">
        <f>K61*'Parametre EMU550'!$C$190</f>
        <v>0</v>
      </c>
      <c r="L68" s="235">
        <f>L61*'Parametre EMU550'!$C$190</f>
        <v>0</v>
      </c>
      <c r="M68" s="235">
        <f>M61*'Parametre EMU550'!$C$190</f>
        <v>0</v>
      </c>
      <c r="N68" s="235">
        <f>N61*'Parametre EMU550'!$C$190</f>
        <v>0</v>
      </c>
      <c r="O68" s="235">
        <f>O61*'Parametre EMU550'!$C$190</f>
        <v>0</v>
      </c>
      <c r="P68" s="235">
        <f>P61*'Parametre EMU550'!$C$190</f>
        <v>0</v>
      </c>
      <c r="Q68" s="235">
        <f>Q61*'Parametre EMU550'!$C$190</f>
        <v>0</v>
      </c>
      <c r="R68" s="235">
        <f>R61*'Parametre EMU550'!$C$190</f>
        <v>0</v>
      </c>
      <c r="S68" s="235">
        <f>S61*'Parametre EMU550'!$C$190</f>
        <v>0</v>
      </c>
      <c r="T68" s="235">
        <f>T61*'Parametre EMU550'!$C$190</f>
        <v>0</v>
      </c>
      <c r="U68" s="235">
        <f>U61*'Parametre EMU550'!$C$190</f>
        <v>0</v>
      </c>
      <c r="V68" s="235">
        <f>V61*'Parametre EMU550'!$C$190</f>
        <v>0</v>
      </c>
      <c r="W68" s="235">
        <f>W61*'Parametre EMU550'!$C$190</f>
        <v>0</v>
      </c>
      <c r="X68" s="235">
        <f>X61*'Parametre EMU550'!$C$190</f>
        <v>0</v>
      </c>
      <c r="Y68" s="235">
        <f>Y61*'Parametre EMU550'!$C$190</f>
        <v>0</v>
      </c>
      <c r="Z68" s="235">
        <f>Z61*'Parametre EMU550'!$C$190</f>
        <v>0</v>
      </c>
      <c r="AA68" s="235">
        <f>AA61*'Parametre EMU550'!$C$190</f>
        <v>0</v>
      </c>
      <c r="AB68" s="235">
        <f>AB61*'Parametre EMU550'!$C$190</f>
        <v>0</v>
      </c>
      <c r="AC68" s="235">
        <f>AC61*'Parametre EMU550'!$C$190</f>
        <v>0</v>
      </c>
      <c r="AD68" s="235">
        <f>AD61*'Parametre EMU550'!$C$190</f>
        <v>0</v>
      </c>
      <c r="AE68" s="235">
        <f>AE61*'Parametre EMU550'!$C$190</f>
        <v>0</v>
      </c>
      <c r="AF68" s="235">
        <f>AF61*'Parametre EMU550'!$C$190</f>
        <v>0</v>
      </c>
      <c r="AG68" s="235">
        <f>AG61*'Parametre EMU550'!$C$190</f>
        <v>0</v>
      </c>
      <c r="AH68" s="235">
        <f>AH61*'Parametre EMU550'!$C$190</f>
        <v>0</v>
      </c>
      <c r="AI68" s="235">
        <f>AI61*'Parametre EMU550'!$C$190</f>
        <v>0</v>
      </c>
      <c r="AJ68" s="235">
        <f>AJ61*'Parametre EMU550'!$C$190</f>
        <v>0</v>
      </c>
      <c r="AK68" s="235">
        <f>AK61*'Parametre EMU550'!$C$190</f>
        <v>0</v>
      </c>
      <c r="AL68" s="235">
        <f>AL61*'Parametre EMU550'!$C$190</f>
        <v>0</v>
      </c>
      <c r="AM68" s="235">
        <f>AM61*'Parametre EMU550'!$C$190</f>
        <v>0</v>
      </c>
      <c r="AN68" s="235">
        <f>AN61*'Parametre EMU550'!$C$190</f>
        <v>0</v>
      </c>
      <c r="AO68" s="235">
        <f>AO61*'Parametre EMU550'!$C$190</f>
        <v>0</v>
      </c>
      <c r="AP68" s="235">
        <f>AP61*'Parametre EMU550'!$C$190</f>
        <v>0</v>
      </c>
    </row>
    <row r="69" spans="2:42" x14ac:dyDescent="0.2">
      <c r="B69" s="246" t="s">
        <v>9</v>
      </c>
      <c r="C69" s="248">
        <f t="shared" si="17"/>
        <v>0</v>
      </c>
      <c r="D69" s="248">
        <f t="shared" ref="D69" si="18">SUM(D65:D68)</f>
        <v>0</v>
      </c>
      <c r="E69" s="248">
        <f t="shared" ref="E69:AP69" si="19">SUM(E65:E68)</f>
        <v>0</v>
      </c>
      <c r="F69" s="248">
        <f t="shared" si="19"/>
        <v>0</v>
      </c>
      <c r="G69" s="248">
        <f t="shared" si="19"/>
        <v>0</v>
      </c>
      <c r="H69" s="248">
        <f t="shared" si="19"/>
        <v>0</v>
      </c>
      <c r="I69" s="248">
        <f t="shared" si="19"/>
        <v>0</v>
      </c>
      <c r="J69" s="248">
        <f t="shared" si="19"/>
        <v>0</v>
      </c>
      <c r="K69" s="248">
        <f t="shared" si="19"/>
        <v>0</v>
      </c>
      <c r="L69" s="248">
        <f t="shared" si="19"/>
        <v>0</v>
      </c>
      <c r="M69" s="248">
        <f t="shared" si="19"/>
        <v>0</v>
      </c>
      <c r="N69" s="248">
        <f t="shared" si="19"/>
        <v>0</v>
      </c>
      <c r="O69" s="248">
        <f t="shared" si="19"/>
        <v>0</v>
      </c>
      <c r="P69" s="248">
        <f t="shared" si="19"/>
        <v>0</v>
      </c>
      <c r="Q69" s="248">
        <f t="shared" si="19"/>
        <v>0</v>
      </c>
      <c r="R69" s="248">
        <f t="shared" si="19"/>
        <v>0</v>
      </c>
      <c r="S69" s="248">
        <f t="shared" si="19"/>
        <v>0</v>
      </c>
      <c r="T69" s="248">
        <f t="shared" si="19"/>
        <v>0</v>
      </c>
      <c r="U69" s="248">
        <f t="shared" si="19"/>
        <v>0</v>
      </c>
      <c r="V69" s="248">
        <f t="shared" si="19"/>
        <v>0</v>
      </c>
      <c r="W69" s="248">
        <f t="shared" si="19"/>
        <v>0</v>
      </c>
      <c r="X69" s="248">
        <f t="shared" si="19"/>
        <v>0</v>
      </c>
      <c r="Y69" s="248">
        <f t="shared" si="19"/>
        <v>0</v>
      </c>
      <c r="Z69" s="248">
        <f t="shared" si="19"/>
        <v>0</v>
      </c>
      <c r="AA69" s="248">
        <f t="shared" si="19"/>
        <v>0</v>
      </c>
      <c r="AB69" s="248">
        <f t="shared" si="19"/>
        <v>0</v>
      </c>
      <c r="AC69" s="248">
        <f t="shared" si="19"/>
        <v>0</v>
      </c>
      <c r="AD69" s="248">
        <f t="shared" si="19"/>
        <v>0</v>
      </c>
      <c r="AE69" s="248">
        <f t="shared" si="19"/>
        <v>0</v>
      </c>
      <c r="AF69" s="248">
        <f t="shared" si="19"/>
        <v>0</v>
      </c>
      <c r="AG69" s="248">
        <f t="shared" si="19"/>
        <v>0</v>
      </c>
      <c r="AH69" s="248">
        <f t="shared" si="19"/>
        <v>0</v>
      </c>
      <c r="AI69" s="248">
        <f t="shared" si="19"/>
        <v>0</v>
      </c>
      <c r="AJ69" s="248">
        <f t="shared" si="19"/>
        <v>0</v>
      </c>
      <c r="AK69" s="248">
        <f t="shared" si="19"/>
        <v>0</v>
      </c>
      <c r="AL69" s="248">
        <f t="shared" si="19"/>
        <v>0</v>
      </c>
      <c r="AM69" s="248">
        <f t="shared" si="19"/>
        <v>0</v>
      </c>
      <c r="AN69" s="248">
        <f t="shared" si="19"/>
        <v>0</v>
      </c>
      <c r="AO69" s="248">
        <f t="shared" si="19"/>
        <v>0</v>
      </c>
      <c r="AP69" s="248">
        <f t="shared" si="19"/>
        <v>0</v>
      </c>
    </row>
    <row r="72" spans="2:42" ht="33.75" x14ac:dyDescent="0.2">
      <c r="B72" s="254" t="s">
        <v>404</v>
      </c>
      <c r="C72" s="249" t="s">
        <v>9</v>
      </c>
    </row>
    <row r="73" spans="2:42" x14ac:dyDescent="0.2">
      <c r="B73" s="250" t="s">
        <v>9</v>
      </c>
      <c r="C73" s="251">
        <f>SUM(D73:AP73)</f>
        <v>0</v>
      </c>
      <c r="D73" s="252">
        <f t="shared" ref="D73:AP73" si="20">D69+D34</f>
        <v>0</v>
      </c>
      <c r="E73" s="252">
        <f t="shared" si="20"/>
        <v>0</v>
      </c>
      <c r="F73" s="252">
        <f t="shared" si="20"/>
        <v>0</v>
      </c>
      <c r="G73" s="252">
        <f t="shared" si="20"/>
        <v>0</v>
      </c>
      <c r="H73" s="252">
        <f t="shared" si="20"/>
        <v>0</v>
      </c>
      <c r="I73" s="252">
        <f t="shared" si="20"/>
        <v>0</v>
      </c>
      <c r="J73" s="252">
        <f t="shared" si="20"/>
        <v>0</v>
      </c>
      <c r="K73" s="252">
        <f t="shared" si="20"/>
        <v>0</v>
      </c>
      <c r="L73" s="252">
        <f t="shared" si="20"/>
        <v>0</v>
      </c>
      <c r="M73" s="252">
        <f t="shared" si="20"/>
        <v>0</v>
      </c>
      <c r="N73" s="252">
        <f t="shared" si="20"/>
        <v>0</v>
      </c>
      <c r="O73" s="252">
        <f t="shared" si="20"/>
        <v>0</v>
      </c>
      <c r="P73" s="252">
        <f t="shared" si="20"/>
        <v>0</v>
      </c>
      <c r="Q73" s="252">
        <f t="shared" si="20"/>
        <v>0</v>
      </c>
      <c r="R73" s="252">
        <f t="shared" si="20"/>
        <v>0</v>
      </c>
      <c r="S73" s="252">
        <f t="shared" si="20"/>
        <v>0</v>
      </c>
      <c r="T73" s="252">
        <f t="shared" si="20"/>
        <v>0</v>
      </c>
      <c r="U73" s="252">
        <f t="shared" si="20"/>
        <v>0</v>
      </c>
      <c r="V73" s="252">
        <f t="shared" si="20"/>
        <v>0</v>
      </c>
      <c r="W73" s="252">
        <f t="shared" si="20"/>
        <v>0</v>
      </c>
      <c r="X73" s="252">
        <f t="shared" si="20"/>
        <v>0</v>
      </c>
      <c r="Y73" s="252">
        <f t="shared" si="20"/>
        <v>0</v>
      </c>
      <c r="Z73" s="252">
        <f t="shared" si="20"/>
        <v>0</v>
      </c>
      <c r="AA73" s="252">
        <f t="shared" si="20"/>
        <v>0</v>
      </c>
      <c r="AB73" s="252">
        <f t="shared" si="20"/>
        <v>0</v>
      </c>
      <c r="AC73" s="252">
        <f t="shared" si="20"/>
        <v>0</v>
      </c>
      <c r="AD73" s="252">
        <f t="shared" si="20"/>
        <v>0</v>
      </c>
      <c r="AE73" s="252">
        <f t="shared" si="20"/>
        <v>0</v>
      </c>
      <c r="AF73" s="252">
        <f t="shared" si="20"/>
        <v>0</v>
      </c>
      <c r="AG73" s="252">
        <f t="shared" si="20"/>
        <v>0</v>
      </c>
      <c r="AH73" s="252">
        <f t="shared" si="20"/>
        <v>0</v>
      </c>
      <c r="AI73" s="252">
        <f t="shared" si="20"/>
        <v>0</v>
      </c>
      <c r="AJ73" s="252">
        <f t="shared" si="20"/>
        <v>0</v>
      </c>
      <c r="AK73" s="252">
        <f t="shared" si="20"/>
        <v>0</v>
      </c>
      <c r="AL73" s="252">
        <f t="shared" si="20"/>
        <v>0</v>
      </c>
      <c r="AM73" s="252">
        <f t="shared" si="20"/>
        <v>0</v>
      </c>
      <c r="AN73" s="252">
        <f t="shared" si="20"/>
        <v>0</v>
      </c>
      <c r="AO73" s="252">
        <f t="shared" si="20"/>
        <v>0</v>
      </c>
      <c r="AP73" s="252">
        <f t="shared" si="20"/>
        <v>0</v>
      </c>
    </row>
    <row r="76" spans="2:42" x14ac:dyDescent="0.2">
      <c r="B76" s="253"/>
    </row>
    <row r="77" spans="2:42" x14ac:dyDescent="0.2">
      <c r="B77" s="253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6C1B-C25D-475B-8ACE-E9844F69E06C}">
  <sheetPr>
    <tabColor rgb="FFCCFF99"/>
  </sheetPr>
  <dimension ref="B2:AP26"/>
  <sheetViews>
    <sheetView zoomScale="90" zoomScaleNormal="90" workbookViewId="0"/>
  </sheetViews>
  <sheetFormatPr defaultColWidth="9.140625" defaultRowHeight="11.25" x14ac:dyDescent="0.2"/>
  <cols>
    <col min="1" max="1" width="2.85546875" style="255" customWidth="1"/>
    <col min="2" max="2" width="34.5703125" style="255" bestFit="1" customWidth="1"/>
    <col min="3" max="3" width="7.140625" style="255" bestFit="1" customWidth="1"/>
    <col min="4" max="42" width="5.5703125" style="255" bestFit="1" customWidth="1"/>
    <col min="43" max="16384" width="9.140625" style="255"/>
  </cols>
  <sheetData>
    <row r="2" spans="2:42" x14ac:dyDescent="0.2"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 t="s">
        <v>429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x14ac:dyDescent="0.2">
      <c r="B4" s="259" t="s">
        <v>33</v>
      </c>
      <c r="C4" s="260" t="s">
        <v>9</v>
      </c>
      <c r="D4" s="261">
        <f>'Parametre EMU550'!C13</f>
        <v>2026</v>
      </c>
      <c r="E4" s="261">
        <f>$D$4+D3</f>
        <v>2027</v>
      </c>
      <c r="F4" s="261">
        <f>$D$4+E3</f>
        <v>2028</v>
      </c>
      <c r="G4" s="261">
        <f t="shared" ref="G4:AP4" si="0">$D$4+F3</f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x14ac:dyDescent="0.2">
      <c r="B5" s="256" t="s">
        <v>60</v>
      </c>
      <c r="C5" s="262">
        <f>SUM(D5:AP5)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</row>
    <row r="6" spans="2:42" x14ac:dyDescent="0.2">
      <c r="B6" s="256" t="s">
        <v>61</v>
      </c>
      <c r="C6" s="262">
        <f t="shared" ref="C6:C8" si="1">SUM(D6:AP6)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</row>
    <row r="7" spans="2:42" x14ac:dyDescent="0.2">
      <c r="B7" s="256" t="s">
        <v>62</v>
      </c>
      <c r="C7" s="262">
        <f t="shared" si="1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</row>
    <row r="8" spans="2:42" x14ac:dyDescent="0.2">
      <c r="B8" s="257" t="s">
        <v>9</v>
      </c>
      <c r="C8" s="264">
        <f t="shared" si="1"/>
        <v>0</v>
      </c>
      <c r="D8" s="264">
        <f t="shared" ref="D8:AP8" si="2">SUM(D5:D7)</f>
        <v>0</v>
      </c>
      <c r="E8" s="264">
        <f t="shared" si="2"/>
        <v>0</v>
      </c>
      <c r="F8" s="264">
        <f t="shared" si="2"/>
        <v>0</v>
      </c>
      <c r="G8" s="264">
        <f t="shared" si="2"/>
        <v>0</v>
      </c>
      <c r="H8" s="264">
        <f t="shared" si="2"/>
        <v>0</v>
      </c>
      <c r="I8" s="264">
        <f t="shared" si="2"/>
        <v>0</v>
      </c>
      <c r="J8" s="264">
        <f t="shared" si="2"/>
        <v>0</v>
      </c>
      <c r="K8" s="264">
        <f t="shared" si="2"/>
        <v>0</v>
      </c>
      <c r="L8" s="264">
        <f t="shared" si="2"/>
        <v>0</v>
      </c>
      <c r="M8" s="264">
        <f t="shared" si="2"/>
        <v>0</v>
      </c>
      <c r="N8" s="264">
        <f t="shared" si="2"/>
        <v>0</v>
      </c>
      <c r="O8" s="264">
        <f t="shared" si="2"/>
        <v>0</v>
      </c>
      <c r="P8" s="264">
        <f t="shared" si="2"/>
        <v>0</v>
      </c>
      <c r="Q8" s="264">
        <f t="shared" si="2"/>
        <v>0</v>
      </c>
      <c r="R8" s="264">
        <f t="shared" si="2"/>
        <v>0</v>
      </c>
      <c r="S8" s="264">
        <f t="shared" si="2"/>
        <v>0</v>
      </c>
      <c r="T8" s="264">
        <f t="shared" si="2"/>
        <v>0</v>
      </c>
      <c r="U8" s="264">
        <f t="shared" si="2"/>
        <v>0</v>
      </c>
      <c r="V8" s="264">
        <f t="shared" si="2"/>
        <v>0</v>
      </c>
      <c r="W8" s="264">
        <f t="shared" si="2"/>
        <v>0</v>
      </c>
      <c r="X8" s="264">
        <f t="shared" si="2"/>
        <v>0</v>
      </c>
      <c r="Y8" s="264">
        <f t="shared" si="2"/>
        <v>0</v>
      </c>
      <c r="Z8" s="264">
        <f t="shared" si="2"/>
        <v>0</v>
      </c>
      <c r="AA8" s="264">
        <f t="shared" si="2"/>
        <v>0</v>
      </c>
      <c r="AB8" s="264">
        <f t="shared" si="2"/>
        <v>0</v>
      </c>
      <c r="AC8" s="264">
        <f t="shared" si="2"/>
        <v>0</v>
      </c>
      <c r="AD8" s="264">
        <f t="shared" si="2"/>
        <v>0</v>
      </c>
      <c r="AE8" s="264">
        <f t="shared" si="2"/>
        <v>0</v>
      </c>
      <c r="AF8" s="264">
        <f t="shared" si="2"/>
        <v>0</v>
      </c>
      <c r="AG8" s="264">
        <f t="shared" si="2"/>
        <v>0</v>
      </c>
      <c r="AH8" s="264">
        <f t="shared" si="2"/>
        <v>0</v>
      </c>
      <c r="AI8" s="264">
        <f t="shared" si="2"/>
        <v>0</v>
      </c>
      <c r="AJ8" s="264">
        <f t="shared" si="2"/>
        <v>0</v>
      </c>
      <c r="AK8" s="264">
        <f t="shared" si="2"/>
        <v>0</v>
      </c>
      <c r="AL8" s="264">
        <f t="shared" si="2"/>
        <v>0</v>
      </c>
      <c r="AM8" s="264">
        <f t="shared" si="2"/>
        <v>0</v>
      </c>
      <c r="AN8" s="264">
        <f t="shared" si="2"/>
        <v>0</v>
      </c>
      <c r="AO8" s="264">
        <f t="shared" si="2"/>
        <v>0</v>
      </c>
      <c r="AP8" s="264">
        <f t="shared" si="2"/>
        <v>0</v>
      </c>
    </row>
    <row r="11" spans="2:42" x14ac:dyDescent="0.2">
      <c r="C11" s="256"/>
      <c r="D11" s="256" t="s">
        <v>10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</row>
    <row r="12" spans="2:42" x14ac:dyDescent="0.2">
      <c r="B12" s="257" t="s">
        <v>430</v>
      </c>
      <c r="C12" s="257"/>
      <c r="D12" s="258">
        <v>1</v>
      </c>
      <c r="E12" s="258">
        <v>2</v>
      </c>
      <c r="F12" s="258">
        <v>3</v>
      </c>
      <c r="G12" s="258">
        <v>4</v>
      </c>
      <c r="H12" s="258">
        <v>5</v>
      </c>
      <c r="I12" s="258">
        <v>6</v>
      </c>
      <c r="J12" s="258">
        <v>7</v>
      </c>
      <c r="K12" s="258">
        <v>8</v>
      </c>
      <c r="L12" s="258">
        <v>9</v>
      </c>
      <c r="M12" s="258">
        <v>10</v>
      </c>
      <c r="N12" s="258">
        <v>11</v>
      </c>
      <c r="O12" s="258">
        <v>12</v>
      </c>
      <c r="P12" s="258">
        <v>13</v>
      </c>
      <c r="Q12" s="258">
        <v>14</v>
      </c>
      <c r="R12" s="258">
        <v>15</v>
      </c>
      <c r="S12" s="258">
        <v>16</v>
      </c>
      <c r="T12" s="258">
        <v>17</v>
      </c>
      <c r="U12" s="258">
        <v>18</v>
      </c>
      <c r="V12" s="258">
        <v>19</v>
      </c>
      <c r="W12" s="258">
        <v>20</v>
      </c>
      <c r="X12" s="258">
        <v>21</v>
      </c>
      <c r="Y12" s="258">
        <v>22</v>
      </c>
      <c r="Z12" s="258">
        <v>23</v>
      </c>
      <c r="AA12" s="258">
        <v>24</v>
      </c>
      <c r="AB12" s="258">
        <v>25</v>
      </c>
      <c r="AC12" s="258">
        <v>26</v>
      </c>
      <c r="AD12" s="258">
        <v>27</v>
      </c>
      <c r="AE12" s="258">
        <v>28</v>
      </c>
      <c r="AF12" s="258">
        <v>29</v>
      </c>
      <c r="AG12" s="258">
        <v>30</v>
      </c>
      <c r="AH12" s="258">
        <v>31</v>
      </c>
      <c r="AI12" s="258">
        <v>32</v>
      </c>
      <c r="AJ12" s="258">
        <v>33</v>
      </c>
      <c r="AK12" s="258">
        <v>34</v>
      </c>
      <c r="AL12" s="258">
        <v>35</v>
      </c>
      <c r="AM12" s="258">
        <v>36</v>
      </c>
      <c r="AN12" s="258">
        <v>37</v>
      </c>
      <c r="AO12" s="258">
        <v>38</v>
      </c>
      <c r="AP12" s="258">
        <v>39</v>
      </c>
    </row>
    <row r="13" spans="2:42" x14ac:dyDescent="0.2">
      <c r="B13" s="259" t="s">
        <v>34</v>
      </c>
      <c r="C13" s="260" t="s">
        <v>9</v>
      </c>
      <c r="D13" s="261">
        <f>D4</f>
        <v>2026</v>
      </c>
      <c r="E13" s="261">
        <f t="shared" ref="E13:AP13" si="3">E4</f>
        <v>2027</v>
      </c>
      <c r="F13" s="261">
        <f t="shared" si="3"/>
        <v>2028</v>
      </c>
      <c r="G13" s="261">
        <f t="shared" si="3"/>
        <v>2029</v>
      </c>
      <c r="H13" s="261">
        <f t="shared" si="3"/>
        <v>2030</v>
      </c>
      <c r="I13" s="261">
        <f t="shared" si="3"/>
        <v>2031</v>
      </c>
      <c r="J13" s="261">
        <f t="shared" si="3"/>
        <v>2032</v>
      </c>
      <c r="K13" s="261">
        <f t="shared" si="3"/>
        <v>2033</v>
      </c>
      <c r="L13" s="261">
        <f t="shared" si="3"/>
        <v>2034</v>
      </c>
      <c r="M13" s="261">
        <f t="shared" si="3"/>
        <v>2035</v>
      </c>
      <c r="N13" s="261">
        <f t="shared" si="3"/>
        <v>2036</v>
      </c>
      <c r="O13" s="261">
        <f t="shared" si="3"/>
        <v>2037</v>
      </c>
      <c r="P13" s="261">
        <f t="shared" si="3"/>
        <v>2038</v>
      </c>
      <c r="Q13" s="261">
        <f t="shared" si="3"/>
        <v>2039</v>
      </c>
      <c r="R13" s="261">
        <f t="shared" si="3"/>
        <v>2040</v>
      </c>
      <c r="S13" s="261">
        <f t="shared" si="3"/>
        <v>2041</v>
      </c>
      <c r="T13" s="261">
        <f t="shared" si="3"/>
        <v>2042</v>
      </c>
      <c r="U13" s="261">
        <f t="shared" si="3"/>
        <v>2043</v>
      </c>
      <c r="V13" s="261">
        <f t="shared" si="3"/>
        <v>2044</v>
      </c>
      <c r="W13" s="261">
        <f t="shared" si="3"/>
        <v>2045</v>
      </c>
      <c r="X13" s="261">
        <f t="shared" si="3"/>
        <v>2046</v>
      </c>
      <c r="Y13" s="261">
        <f t="shared" si="3"/>
        <v>2047</v>
      </c>
      <c r="Z13" s="261">
        <f t="shared" si="3"/>
        <v>2048</v>
      </c>
      <c r="AA13" s="261">
        <f t="shared" si="3"/>
        <v>2049</v>
      </c>
      <c r="AB13" s="261">
        <f t="shared" si="3"/>
        <v>2050</v>
      </c>
      <c r="AC13" s="261">
        <f t="shared" si="3"/>
        <v>2051</v>
      </c>
      <c r="AD13" s="261">
        <f t="shared" si="3"/>
        <v>2052</v>
      </c>
      <c r="AE13" s="261">
        <f t="shared" si="3"/>
        <v>2053</v>
      </c>
      <c r="AF13" s="261">
        <f t="shared" si="3"/>
        <v>2054</v>
      </c>
      <c r="AG13" s="261">
        <f t="shared" si="3"/>
        <v>2055</v>
      </c>
      <c r="AH13" s="261">
        <f t="shared" si="3"/>
        <v>2056</v>
      </c>
      <c r="AI13" s="261">
        <f t="shared" si="3"/>
        <v>2057</v>
      </c>
      <c r="AJ13" s="261">
        <f t="shared" si="3"/>
        <v>2058</v>
      </c>
      <c r="AK13" s="261">
        <f t="shared" si="3"/>
        <v>2059</v>
      </c>
      <c r="AL13" s="261">
        <f t="shared" si="3"/>
        <v>2060</v>
      </c>
      <c r="AM13" s="261">
        <f t="shared" si="3"/>
        <v>2061</v>
      </c>
      <c r="AN13" s="261">
        <f t="shared" si="3"/>
        <v>2062</v>
      </c>
      <c r="AO13" s="261">
        <f t="shared" si="3"/>
        <v>2063</v>
      </c>
      <c r="AP13" s="261">
        <f t="shared" si="3"/>
        <v>2064</v>
      </c>
    </row>
    <row r="14" spans="2:42" x14ac:dyDescent="0.2">
      <c r="B14" s="256" t="s">
        <v>60</v>
      </c>
      <c r="C14" s="262">
        <f>SUM(D14:AP14)</f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0</v>
      </c>
      <c r="AN14" s="263">
        <v>0</v>
      </c>
      <c r="AO14" s="263">
        <v>0</v>
      </c>
      <c r="AP14" s="263">
        <v>0</v>
      </c>
    </row>
    <row r="15" spans="2:42" x14ac:dyDescent="0.2">
      <c r="B15" s="256" t="s">
        <v>61</v>
      </c>
      <c r="C15" s="262">
        <f t="shared" ref="C15:C17" si="4">SUM(D15:AP15)</f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0</v>
      </c>
      <c r="AN15" s="263">
        <v>0</v>
      </c>
      <c r="AO15" s="263">
        <v>0</v>
      </c>
      <c r="AP15" s="263">
        <v>0</v>
      </c>
    </row>
    <row r="16" spans="2:42" x14ac:dyDescent="0.2">
      <c r="B16" s="256" t="s">
        <v>62</v>
      </c>
      <c r="C16" s="262">
        <f t="shared" si="4"/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</row>
    <row r="17" spans="2:42" x14ac:dyDescent="0.2">
      <c r="B17" s="257" t="s">
        <v>9</v>
      </c>
      <c r="C17" s="264">
        <f t="shared" si="4"/>
        <v>0</v>
      </c>
      <c r="D17" s="264">
        <f t="shared" ref="D17:AP17" si="5">SUM(D14:D16)</f>
        <v>0</v>
      </c>
      <c r="E17" s="264">
        <f t="shared" si="5"/>
        <v>0</v>
      </c>
      <c r="F17" s="264">
        <f t="shared" si="5"/>
        <v>0</v>
      </c>
      <c r="G17" s="264">
        <f t="shared" si="5"/>
        <v>0</v>
      </c>
      <c r="H17" s="264">
        <f t="shared" si="5"/>
        <v>0</v>
      </c>
      <c r="I17" s="264">
        <f t="shared" si="5"/>
        <v>0</v>
      </c>
      <c r="J17" s="264">
        <f t="shared" si="5"/>
        <v>0</v>
      </c>
      <c r="K17" s="264">
        <f t="shared" si="5"/>
        <v>0</v>
      </c>
      <c r="L17" s="264">
        <f t="shared" si="5"/>
        <v>0</v>
      </c>
      <c r="M17" s="264">
        <f t="shared" si="5"/>
        <v>0</v>
      </c>
      <c r="N17" s="264">
        <f t="shared" si="5"/>
        <v>0</v>
      </c>
      <c r="O17" s="264">
        <f t="shared" si="5"/>
        <v>0</v>
      </c>
      <c r="P17" s="264">
        <f t="shared" si="5"/>
        <v>0</v>
      </c>
      <c r="Q17" s="264">
        <f t="shared" si="5"/>
        <v>0</v>
      </c>
      <c r="R17" s="264">
        <f t="shared" si="5"/>
        <v>0</v>
      </c>
      <c r="S17" s="264">
        <f t="shared" si="5"/>
        <v>0</v>
      </c>
      <c r="T17" s="264">
        <f t="shared" si="5"/>
        <v>0</v>
      </c>
      <c r="U17" s="264">
        <f t="shared" si="5"/>
        <v>0</v>
      </c>
      <c r="V17" s="264">
        <f t="shared" si="5"/>
        <v>0</v>
      </c>
      <c r="W17" s="264">
        <f t="shared" si="5"/>
        <v>0</v>
      </c>
      <c r="X17" s="264">
        <f t="shared" si="5"/>
        <v>0</v>
      </c>
      <c r="Y17" s="264">
        <f t="shared" si="5"/>
        <v>0</v>
      </c>
      <c r="Z17" s="264">
        <f t="shared" si="5"/>
        <v>0</v>
      </c>
      <c r="AA17" s="264">
        <f t="shared" si="5"/>
        <v>0</v>
      </c>
      <c r="AB17" s="264">
        <f t="shared" si="5"/>
        <v>0</v>
      </c>
      <c r="AC17" s="264">
        <f t="shared" si="5"/>
        <v>0</v>
      </c>
      <c r="AD17" s="264">
        <f t="shared" si="5"/>
        <v>0</v>
      </c>
      <c r="AE17" s="264">
        <f t="shared" si="5"/>
        <v>0</v>
      </c>
      <c r="AF17" s="264">
        <f t="shared" si="5"/>
        <v>0</v>
      </c>
      <c r="AG17" s="264">
        <f t="shared" si="5"/>
        <v>0</v>
      </c>
      <c r="AH17" s="264">
        <f t="shared" si="5"/>
        <v>0</v>
      </c>
      <c r="AI17" s="264">
        <f t="shared" si="5"/>
        <v>0</v>
      </c>
      <c r="AJ17" s="264">
        <f t="shared" si="5"/>
        <v>0</v>
      </c>
      <c r="AK17" s="264">
        <f t="shared" si="5"/>
        <v>0</v>
      </c>
      <c r="AL17" s="264">
        <f t="shared" si="5"/>
        <v>0</v>
      </c>
      <c r="AM17" s="264">
        <f t="shared" si="5"/>
        <v>0</v>
      </c>
      <c r="AN17" s="264">
        <f t="shared" si="5"/>
        <v>0</v>
      </c>
      <c r="AO17" s="264">
        <f t="shared" si="5"/>
        <v>0</v>
      </c>
      <c r="AP17" s="264">
        <f t="shared" si="5"/>
        <v>0</v>
      </c>
    </row>
    <row r="20" spans="2:42" x14ac:dyDescent="0.2">
      <c r="C20" s="256"/>
      <c r="D20" s="256" t="s">
        <v>10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</row>
    <row r="21" spans="2:42" x14ac:dyDescent="0.2">
      <c r="B21" s="257" t="s">
        <v>431</v>
      </c>
      <c r="C21" s="257"/>
      <c r="D21" s="258">
        <v>1</v>
      </c>
      <c r="E21" s="258">
        <v>2</v>
      </c>
      <c r="F21" s="258">
        <v>3</v>
      </c>
      <c r="G21" s="258">
        <v>4</v>
      </c>
      <c r="H21" s="258">
        <v>5</v>
      </c>
      <c r="I21" s="258">
        <v>6</v>
      </c>
      <c r="J21" s="258">
        <v>7</v>
      </c>
      <c r="K21" s="258">
        <v>8</v>
      </c>
      <c r="L21" s="258">
        <v>9</v>
      </c>
      <c r="M21" s="258">
        <v>10</v>
      </c>
      <c r="N21" s="258">
        <v>11</v>
      </c>
      <c r="O21" s="258">
        <v>12</v>
      </c>
      <c r="P21" s="258">
        <v>13</v>
      </c>
      <c r="Q21" s="258">
        <v>14</v>
      </c>
      <c r="R21" s="258">
        <v>15</v>
      </c>
      <c r="S21" s="258">
        <v>16</v>
      </c>
      <c r="T21" s="258">
        <v>17</v>
      </c>
      <c r="U21" s="258">
        <v>18</v>
      </c>
      <c r="V21" s="258">
        <v>19</v>
      </c>
      <c r="W21" s="258">
        <v>20</v>
      </c>
      <c r="X21" s="258">
        <v>21</v>
      </c>
      <c r="Y21" s="258">
        <v>22</v>
      </c>
      <c r="Z21" s="258">
        <v>23</v>
      </c>
      <c r="AA21" s="258">
        <v>24</v>
      </c>
      <c r="AB21" s="258">
        <v>25</v>
      </c>
      <c r="AC21" s="258">
        <v>26</v>
      </c>
      <c r="AD21" s="258">
        <v>27</v>
      </c>
      <c r="AE21" s="258">
        <v>28</v>
      </c>
      <c r="AF21" s="258">
        <v>29</v>
      </c>
      <c r="AG21" s="258">
        <v>30</v>
      </c>
      <c r="AH21" s="258">
        <v>31</v>
      </c>
      <c r="AI21" s="258">
        <v>32</v>
      </c>
      <c r="AJ21" s="258">
        <v>33</v>
      </c>
      <c r="AK21" s="258">
        <v>34</v>
      </c>
      <c r="AL21" s="258">
        <v>35</v>
      </c>
      <c r="AM21" s="258">
        <v>36</v>
      </c>
      <c r="AN21" s="258">
        <v>37</v>
      </c>
      <c r="AO21" s="258">
        <v>38</v>
      </c>
      <c r="AP21" s="258">
        <v>39</v>
      </c>
    </row>
    <row r="22" spans="2:42" x14ac:dyDescent="0.2">
      <c r="B22" s="259" t="s">
        <v>63</v>
      </c>
      <c r="C22" s="260" t="s">
        <v>9</v>
      </c>
      <c r="D22" s="261">
        <f>D4</f>
        <v>2026</v>
      </c>
      <c r="E22" s="261">
        <f t="shared" ref="E22:AP22" si="6">E4</f>
        <v>2027</v>
      </c>
      <c r="F22" s="261">
        <f t="shared" si="6"/>
        <v>2028</v>
      </c>
      <c r="G22" s="261">
        <f t="shared" si="6"/>
        <v>2029</v>
      </c>
      <c r="H22" s="261">
        <f t="shared" si="6"/>
        <v>2030</v>
      </c>
      <c r="I22" s="261">
        <f t="shared" si="6"/>
        <v>2031</v>
      </c>
      <c r="J22" s="261">
        <f t="shared" si="6"/>
        <v>2032</v>
      </c>
      <c r="K22" s="261">
        <f t="shared" si="6"/>
        <v>2033</v>
      </c>
      <c r="L22" s="261">
        <f t="shared" si="6"/>
        <v>2034</v>
      </c>
      <c r="M22" s="261">
        <f t="shared" si="6"/>
        <v>2035</v>
      </c>
      <c r="N22" s="261">
        <f t="shared" si="6"/>
        <v>2036</v>
      </c>
      <c r="O22" s="261">
        <f t="shared" si="6"/>
        <v>2037</v>
      </c>
      <c r="P22" s="261">
        <f t="shared" si="6"/>
        <v>2038</v>
      </c>
      <c r="Q22" s="261">
        <f t="shared" si="6"/>
        <v>2039</v>
      </c>
      <c r="R22" s="261">
        <f t="shared" si="6"/>
        <v>2040</v>
      </c>
      <c r="S22" s="261">
        <f t="shared" si="6"/>
        <v>2041</v>
      </c>
      <c r="T22" s="261">
        <f t="shared" si="6"/>
        <v>2042</v>
      </c>
      <c r="U22" s="261">
        <f t="shared" si="6"/>
        <v>2043</v>
      </c>
      <c r="V22" s="261">
        <f t="shared" si="6"/>
        <v>2044</v>
      </c>
      <c r="W22" s="261">
        <f t="shared" si="6"/>
        <v>2045</v>
      </c>
      <c r="X22" s="261">
        <f t="shared" si="6"/>
        <v>2046</v>
      </c>
      <c r="Y22" s="261">
        <f t="shared" si="6"/>
        <v>2047</v>
      </c>
      <c r="Z22" s="261">
        <f t="shared" si="6"/>
        <v>2048</v>
      </c>
      <c r="AA22" s="261">
        <f t="shared" si="6"/>
        <v>2049</v>
      </c>
      <c r="AB22" s="261">
        <f t="shared" si="6"/>
        <v>2050</v>
      </c>
      <c r="AC22" s="261">
        <f t="shared" si="6"/>
        <v>2051</v>
      </c>
      <c r="AD22" s="261">
        <f t="shared" si="6"/>
        <v>2052</v>
      </c>
      <c r="AE22" s="261">
        <f t="shared" si="6"/>
        <v>2053</v>
      </c>
      <c r="AF22" s="261">
        <f t="shared" si="6"/>
        <v>2054</v>
      </c>
      <c r="AG22" s="261">
        <f t="shared" si="6"/>
        <v>2055</v>
      </c>
      <c r="AH22" s="261">
        <f t="shared" si="6"/>
        <v>2056</v>
      </c>
      <c r="AI22" s="261">
        <f t="shared" si="6"/>
        <v>2057</v>
      </c>
      <c r="AJ22" s="261">
        <f t="shared" si="6"/>
        <v>2058</v>
      </c>
      <c r="AK22" s="261">
        <f t="shared" si="6"/>
        <v>2059</v>
      </c>
      <c r="AL22" s="261">
        <f t="shared" si="6"/>
        <v>2060</v>
      </c>
      <c r="AM22" s="261">
        <f t="shared" si="6"/>
        <v>2061</v>
      </c>
      <c r="AN22" s="261">
        <f t="shared" si="6"/>
        <v>2062</v>
      </c>
      <c r="AO22" s="261">
        <f t="shared" si="6"/>
        <v>2063</v>
      </c>
      <c r="AP22" s="261">
        <f t="shared" si="6"/>
        <v>2064</v>
      </c>
    </row>
    <row r="23" spans="2:42" x14ac:dyDescent="0.2">
      <c r="B23" s="256" t="s">
        <v>60</v>
      </c>
      <c r="C23" s="262">
        <f>SUM(D23:AP23)</f>
        <v>0</v>
      </c>
      <c r="D23" s="262">
        <f t="shared" ref="D23:AP25" si="7">D5-D14</f>
        <v>0</v>
      </c>
      <c r="E23" s="262">
        <f t="shared" si="7"/>
        <v>0</v>
      </c>
      <c r="F23" s="262">
        <f t="shared" si="7"/>
        <v>0</v>
      </c>
      <c r="G23" s="262">
        <f t="shared" si="7"/>
        <v>0</v>
      </c>
      <c r="H23" s="262">
        <f t="shared" si="7"/>
        <v>0</v>
      </c>
      <c r="I23" s="262">
        <f t="shared" si="7"/>
        <v>0</v>
      </c>
      <c r="J23" s="262">
        <f t="shared" si="7"/>
        <v>0</v>
      </c>
      <c r="K23" s="262">
        <f t="shared" si="7"/>
        <v>0</v>
      </c>
      <c r="L23" s="262">
        <f t="shared" si="7"/>
        <v>0</v>
      </c>
      <c r="M23" s="262">
        <f t="shared" si="7"/>
        <v>0</v>
      </c>
      <c r="N23" s="262">
        <f t="shared" si="7"/>
        <v>0</v>
      </c>
      <c r="O23" s="262">
        <f t="shared" si="7"/>
        <v>0</v>
      </c>
      <c r="P23" s="262">
        <f t="shared" si="7"/>
        <v>0</v>
      </c>
      <c r="Q23" s="262">
        <f t="shared" si="7"/>
        <v>0</v>
      </c>
      <c r="R23" s="262">
        <f t="shared" si="7"/>
        <v>0</v>
      </c>
      <c r="S23" s="262">
        <f t="shared" si="7"/>
        <v>0</v>
      </c>
      <c r="T23" s="262">
        <f t="shared" si="7"/>
        <v>0</v>
      </c>
      <c r="U23" s="262">
        <f t="shared" si="7"/>
        <v>0</v>
      </c>
      <c r="V23" s="262">
        <f t="shared" si="7"/>
        <v>0</v>
      </c>
      <c r="W23" s="262">
        <f t="shared" si="7"/>
        <v>0</v>
      </c>
      <c r="X23" s="262">
        <f t="shared" si="7"/>
        <v>0</v>
      </c>
      <c r="Y23" s="262">
        <f t="shared" si="7"/>
        <v>0</v>
      </c>
      <c r="Z23" s="262">
        <f t="shared" si="7"/>
        <v>0</v>
      </c>
      <c r="AA23" s="262">
        <f t="shared" si="7"/>
        <v>0</v>
      </c>
      <c r="AB23" s="262">
        <f t="shared" si="7"/>
        <v>0</v>
      </c>
      <c r="AC23" s="262">
        <f t="shared" si="7"/>
        <v>0</v>
      </c>
      <c r="AD23" s="262">
        <f t="shared" si="7"/>
        <v>0</v>
      </c>
      <c r="AE23" s="262">
        <f t="shared" si="7"/>
        <v>0</v>
      </c>
      <c r="AF23" s="262">
        <f t="shared" si="7"/>
        <v>0</v>
      </c>
      <c r="AG23" s="262">
        <f t="shared" si="7"/>
        <v>0</v>
      </c>
      <c r="AH23" s="262">
        <f t="shared" si="7"/>
        <v>0</v>
      </c>
      <c r="AI23" s="262">
        <f t="shared" si="7"/>
        <v>0</v>
      </c>
      <c r="AJ23" s="262">
        <f t="shared" si="7"/>
        <v>0</v>
      </c>
      <c r="AK23" s="262">
        <f t="shared" si="7"/>
        <v>0</v>
      </c>
      <c r="AL23" s="262">
        <f t="shared" si="7"/>
        <v>0</v>
      </c>
      <c r="AM23" s="262">
        <f t="shared" si="7"/>
        <v>0</v>
      </c>
      <c r="AN23" s="262">
        <f t="shared" si="7"/>
        <v>0</v>
      </c>
      <c r="AO23" s="262">
        <f t="shared" si="7"/>
        <v>0</v>
      </c>
      <c r="AP23" s="262">
        <f t="shared" si="7"/>
        <v>0</v>
      </c>
    </row>
    <row r="24" spans="2:42" x14ac:dyDescent="0.2">
      <c r="B24" s="256" t="s">
        <v>61</v>
      </c>
      <c r="C24" s="262">
        <f t="shared" ref="C24:C26" si="8">SUM(D24:AP24)</f>
        <v>0</v>
      </c>
      <c r="D24" s="262">
        <f t="shared" si="7"/>
        <v>0</v>
      </c>
      <c r="E24" s="262">
        <f t="shared" si="7"/>
        <v>0</v>
      </c>
      <c r="F24" s="262">
        <f t="shared" si="7"/>
        <v>0</v>
      </c>
      <c r="G24" s="262">
        <f t="shared" si="7"/>
        <v>0</v>
      </c>
      <c r="H24" s="262">
        <f t="shared" si="7"/>
        <v>0</v>
      </c>
      <c r="I24" s="262">
        <f t="shared" si="7"/>
        <v>0</v>
      </c>
      <c r="J24" s="262">
        <f t="shared" si="7"/>
        <v>0</v>
      </c>
      <c r="K24" s="262">
        <f t="shared" si="7"/>
        <v>0</v>
      </c>
      <c r="L24" s="262">
        <f t="shared" si="7"/>
        <v>0</v>
      </c>
      <c r="M24" s="262">
        <f t="shared" si="7"/>
        <v>0</v>
      </c>
      <c r="N24" s="262">
        <f t="shared" si="7"/>
        <v>0</v>
      </c>
      <c r="O24" s="262">
        <f t="shared" si="7"/>
        <v>0</v>
      </c>
      <c r="P24" s="262">
        <f t="shared" si="7"/>
        <v>0</v>
      </c>
      <c r="Q24" s="262">
        <f t="shared" si="7"/>
        <v>0</v>
      </c>
      <c r="R24" s="262">
        <f t="shared" si="7"/>
        <v>0</v>
      </c>
      <c r="S24" s="262">
        <f t="shared" si="7"/>
        <v>0</v>
      </c>
      <c r="T24" s="262">
        <f t="shared" si="7"/>
        <v>0</v>
      </c>
      <c r="U24" s="262">
        <f t="shared" si="7"/>
        <v>0</v>
      </c>
      <c r="V24" s="262">
        <f t="shared" si="7"/>
        <v>0</v>
      </c>
      <c r="W24" s="262">
        <f t="shared" si="7"/>
        <v>0</v>
      </c>
      <c r="X24" s="262">
        <f t="shared" si="7"/>
        <v>0</v>
      </c>
      <c r="Y24" s="262">
        <f t="shared" si="7"/>
        <v>0</v>
      </c>
      <c r="Z24" s="262">
        <f t="shared" si="7"/>
        <v>0</v>
      </c>
      <c r="AA24" s="262">
        <f t="shared" si="7"/>
        <v>0</v>
      </c>
      <c r="AB24" s="262">
        <f t="shared" si="7"/>
        <v>0</v>
      </c>
      <c r="AC24" s="262">
        <f t="shared" si="7"/>
        <v>0</v>
      </c>
      <c r="AD24" s="262">
        <f t="shared" si="7"/>
        <v>0</v>
      </c>
      <c r="AE24" s="262">
        <f t="shared" si="7"/>
        <v>0</v>
      </c>
      <c r="AF24" s="262">
        <f t="shared" si="7"/>
        <v>0</v>
      </c>
      <c r="AG24" s="262">
        <f t="shared" si="7"/>
        <v>0</v>
      </c>
      <c r="AH24" s="262">
        <f t="shared" si="7"/>
        <v>0</v>
      </c>
      <c r="AI24" s="262">
        <f t="shared" si="7"/>
        <v>0</v>
      </c>
      <c r="AJ24" s="262">
        <f t="shared" si="7"/>
        <v>0</v>
      </c>
      <c r="AK24" s="262">
        <f t="shared" si="7"/>
        <v>0</v>
      </c>
      <c r="AL24" s="262">
        <f t="shared" si="7"/>
        <v>0</v>
      </c>
      <c r="AM24" s="262">
        <f t="shared" si="7"/>
        <v>0</v>
      </c>
      <c r="AN24" s="262">
        <f t="shared" si="7"/>
        <v>0</v>
      </c>
      <c r="AO24" s="262">
        <f t="shared" si="7"/>
        <v>0</v>
      </c>
      <c r="AP24" s="262">
        <f t="shared" si="7"/>
        <v>0</v>
      </c>
    </row>
    <row r="25" spans="2:42" x14ac:dyDescent="0.2">
      <c r="B25" s="256" t="s">
        <v>62</v>
      </c>
      <c r="C25" s="262">
        <f t="shared" si="8"/>
        <v>0</v>
      </c>
      <c r="D25" s="265">
        <f t="shared" si="7"/>
        <v>0</v>
      </c>
      <c r="E25" s="262">
        <f t="shared" si="7"/>
        <v>0</v>
      </c>
      <c r="F25" s="262">
        <f t="shared" si="7"/>
        <v>0</v>
      </c>
      <c r="G25" s="262">
        <f t="shared" si="7"/>
        <v>0</v>
      </c>
      <c r="H25" s="262">
        <f t="shared" si="7"/>
        <v>0</v>
      </c>
      <c r="I25" s="262">
        <f t="shared" si="7"/>
        <v>0</v>
      </c>
      <c r="J25" s="262">
        <f t="shared" si="7"/>
        <v>0</v>
      </c>
      <c r="K25" s="262">
        <f t="shared" si="7"/>
        <v>0</v>
      </c>
      <c r="L25" s="262">
        <f t="shared" si="7"/>
        <v>0</v>
      </c>
      <c r="M25" s="262">
        <f t="shared" si="7"/>
        <v>0</v>
      </c>
      <c r="N25" s="262">
        <f t="shared" si="7"/>
        <v>0</v>
      </c>
      <c r="O25" s="262">
        <f t="shared" si="7"/>
        <v>0</v>
      </c>
      <c r="P25" s="262">
        <f t="shared" si="7"/>
        <v>0</v>
      </c>
      <c r="Q25" s="262">
        <f t="shared" si="7"/>
        <v>0</v>
      </c>
      <c r="R25" s="262">
        <f t="shared" si="7"/>
        <v>0</v>
      </c>
      <c r="S25" s="262">
        <f t="shared" si="7"/>
        <v>0</v>
      </c>
      <c r="T25" s="262">
        <f t="shared" si="7"/>
        <v>0</v>
      </c>
      <c r="U25" s="262">
        <f t="shared" si="7"/>
        <v>0</v>
      </c>
      <c r="V25" s="262">
        <f t="shared" si="7"/>
        <v>0</v>
      </c>
      <c r="W25" s="262">
        <f t="shared" si="7"/>
        <v>0</v>
      </c>
      <c r="X25" s="262">
        <f t="shared" si="7"/>
        <v>0</v>
      </c>
      <c r="Y25" s="262">
        <f t="shared" si="7"/>
        <v>0</v>
      </c>
      <c r="Z25" s="262">
        <f t="shared" si="7"/>
        <v>0</v>
      </c>
      <c r="AA25" s="262">
        <f t="shared" si="7"/>
        <v>0</v>
      </c>
      <c r="AB25" s="262">
        <f t="shared" si="7"/>
        <v>0</v>
      </c>
      <c r="AC25" s="262">
        <f t="shared" si="7"/>
        <v>0</v>
      </c>
      <c r="AD25" s="262">
        <f t="shared" si="7"/>
        <v>0</v>
      </c>
      <c r="AE25" s="262">
        <f t="shared" si="7"/>
        <v>0</v>
      </c>
      <c r="AF25" s="262">
        <f t="shared" si="7"/>
        <v>0</v>
      </c>
      <c r="AG25" s="262">
        <f t="shared" si="7"/>
        <v>0</v>
      </c>
      <c r="AH25" s="262">
        <f t="shared" si="7"/>
        <v>0</v>
      </c>
      <c r="AI25" s="262">
        <f t="shared" si="7"/>
        <v>0</v>
      </c>
      <c r="AJ25" s="262">
        <f t="shared" si="7"/>
        <v>0</v>
      </c>
      <c r="AK25" s="262">
        <f t="shared" si="7"/>
        <v>0</v>
      </c>
      <c r="AL25" s="262">
        <f t="shared" si="7"/>
        <v>0</v>
      </c>
      <c r="AM25" s="262">
        <f t="shared" si="7"/>
        <v>0</v>
      </c>
      <c r="AN25" s="262">
        <f t="shared" si="7"/>
        <v>0</v>
      </c>
      <c r="AO25" s="262">
        <f t="shared" si="7"/>
        <v>0</v>
      </c>
      <c r="AP25" s="262">
        <f t="shared" si="7"/>
        <v>0</v>
      </c>
    </row>
    <row r="26" spans="2:42" x14ac:dyDescent="0.2">
      <c r="B26" s="266" t="s">
        <v>59</v>
      </c>
      <c r="C26" s="267">
        <f t="shared" si="8"/>
        <v>0</v>
      </c>
      <c r="D26" s="267">
        <f t="shared" ref="D26:AP26" si="9">SUM(D23:D25)</f>
        <v>0</v>
      </c>
      <c r="E26" s="267">
        <f t="shared" si="9"/>
        <v>0</v>
      </c>
      <c r="F26" s="267">
        <f t="shared" si="9"/>
        <v>0</v>
      </c>
      <c r="G26" s="267">
        <f t="shared" si="9"/>
        <v>0</v>
      </c>
      <c r="H26" s="267">
        <f t="shared" si="9"/>
        <v>0</v>
      </c>
      <c r="I26" s="267">
        <f t="shared" si="9"/>
        <v>0</v>
      </c>
      <c r="J26" s="267">
        <f t="shared" si="9"/>
        <v>0</v>
      </c>
      <c r="K26" s="267">
        <f t="shared" si="9"/>
        <v>0</v>
      </c>
      <c r="L26" s="267">
        <f t="shared" si="9"/>
        <v>0</v>
      </c>
      <c r="M26" s="267">
        <f t="shared" si="9"/>
        <v>0</v>
      </c>
      <c r="N26" s="267">
        <f t="shared" si="9"/>
        <v>0</v>
      </c>
      <c r="O26" s="267">
        <f t="shared" si="9"/>
        <v>0</v>
      </c>
      <c r="P26" s="267">
        <f t="shared" si="9"/>
        <v>0</v>
      </c>
      <c r="Q26" s="267">
        <f t="shared" si="9"/>
        <v>0</v>
      </c>
      <c r="R26" s="267">
        <f t="shared" si="9"/>
        <v>0</v>
      </c>
      <c r="S26" s="267">
        <f t="shared" si="9"/>
        <v>0</v>
      </c>
      <c r="T26" s="267">
        <f t="shared" si="9"/>
        <v>0</v>
      </c>
      <c r="U26" s="267">
        <f t="shared" si="9"/>
        <v>0</v>
      </c>
      <c r="V26" s="267">
        <f t="shared" si="9"/>
        <v>0</v>
      </c>
      <c r="W26" s="267">
        <f t="shared" si="9"/>
        <v>0</v>
      </c>
      <c r="X26" s="267">
        <f t="shared" si="9"/>
        <v>0</v>
      </c>
      <c r="Y26" s="267">
        <f t="shared" si="9"/>
        <v>0</v>
      </c>
      <c r="Z26" s="267">
        <f t="shared" si="9"/>
        <v>0</v>
      </c>
      <c r="AA26" s="267">
        <f t="shared" si="9"/>
        <v>0</v>
      </c>
      <c r="AB26" s="267">
        <f t="shared" si="9"/>
        <v>0</v>
      </c>
      <c r="AC26" s="267">
        <f t="shared" si="9"/>
        <v>0</v>
      </c>
      <c r="AD26" s="267">
        <f t="shared" si="9"/>
        <v>0</v>
      </c>
      <c r="AE26" s="267">
        <f t="shared" si="9"/>
        <v>0</v>
      </c>
      <c r="AF26" s="267">
        <f t="shared" si="9"/>
        <v>0</v>
      </c>
      <c r="AG26" s="267">
        <f t="shared" si="9"/>
        <v>0</v>
      </c>
      <c r="AH26" s="267">
        <f t="shared" si="9"/>
        <v>0</v>
      </c>
      <c r="AI26" s="267">
        <f t="shared" si="9"/>
        <v>0</v>
      </c>
      <c r="AJ26" s="267">
        <f t="shared" si="9"/>
        <v>0</v>
      </c>
      <c r="AK26" s="267">
        <f t="shared" si="9"/>
        <v>0</v>
      </c>
      <c r="AL26" s="267">
        <f t="shared" si="9"/>
        <v>0</v>
      </c>
      <c r="AM26" s="267">
        <f t="shared" si="9"/>
        <v>0</v>
      </c>
      <c r="AN26" s="267">
        <f t="shared" si="9"/>
        <v>0</v>
      </c>
      <c r="AO26" s="267">
        <f t="shared" si="9"/>
        <v>0</v>
      </c>
      <c r="AP26" s="267">
        <f t="shared" si="9"/>
        <v>0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82BB-392E-4FB2-91F8-C10A7E3CEB9C}">
  <sheetPr>
    <tabColor rgb="FF92D050"/>
  </sheetPr>
  <dimension ref="B2:AP82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84" style="255" bestFit="1" customWidth="1"/>
    <col min="3" max="3" width="7.140625" style="255" bestFit="1" customWidth="1"/>
    <col min="4" max="42" width="5.5703125" style="255" bestFit="1" customWidth="1"/>
    <col min="43" max="16384" width="9.140625" style="255"/>
  </cols>
  <sheetData>
    <row r="2" spans="2:42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 t="s">
        <v>442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x14ac:dyDescent="0.2">
      <c r="B4" s="259" t="s">
        <v>33</v>
      </c>
      <c r="C4" s="260" t="s">
        <v>9</v>
      </c>
      <c r="D4" s="261">
        <f>'Parametre EMU550'!C13</f>
        <v>2026</v>
      </c>
      <c r="E4" s="261">
        <f>D4+$D$3</f>
        <v>2027</v>
      </c>
      <c r="F4" s="261">
        <f t="shared" ref="F4:AP4" si="0">E4+$D$3</f>
        <v>2028</v>
      </c>
      <c r="G4" s="261">
        <f t="shared" si="0"/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x14ac:dyDescent="0.2">
      <c r="B5" s="761" t="s">
        <v>285</v>
      </c>
      <c r="C5" s="262">
        <f>SUM(D5:AP5)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</row>
    <row r="6" spans="2:42" x14ac:dyDescent="0.2">
      <c r="B6" s="761" t="s">
        <v>284</v>
      </c>
      <c r="C6" s="262">
        <f t="shared" ref="C6:C7" si="1">SUM(D6:AP6)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</row>
    <row r="7" spans="2:42" x14ac:dyDescent="0.2">
      <c r="B7" s="257" t="s">
        <v>9</v>
      </c>
      <c r="C7" s="264">
        <f t="shared" si="1"/>
        <v>0</v>
      </c>
      <c r="D7" s="264">
        <f t="shared" ref="D7:AP7" si="2">SUM(D5:D6)</f>
        <v>0</v>
      </c>
      <c r="E7" s="264">
        <f t="shared" si="2"/>
        <v>0</v>
      </c>
      <c r="F7" s="264">
        <f t="shared" si="2"/>
        <v>0</v>
      </c>
      <c r="G7" s="264">
        <f t="shared" si="2"/>
        <v>0</v>
      </c>
      <c r="H7" s="264">
        <f t="shared" si="2"/>
        <v>0</v>
      </c>
      <c r="I7" s="264">
        <f t="shared" si="2"/>
        <v>0</v>
      </c>
      <c r="J7" s="264">
        <f t="shared" si="2"/>
        <v>0</v>
      </c>
      <c r="K7" s="264">
        <f t="shared" si="2"/>
        <v>0</v>
      </c>
      <c r="L7" s="264">
        <f t="shared" si="2"/>
        <v>0</v>
      </c>
      <c r="M7" s="264">
        <f t="shared" si="2"/>
        <v>0</v>
      </c>
      <c r="N7" s="264">
        <f t="shared" si="2"/>
        <v>0</v>
      </c>
      <c r="O7" s="264">
        <f t="shared" si="2"/>
        <v>0</v>
      </c>
      <c r="P7" s="264">
        <f t="shared" si="2"/>
        <v>0</v>
      </c>
      <c r="Q7" s="264">
        <f t="shared" si="2"/>
        <v>0</v>
      </c>
      <c r="R7" s="264">
        <f t="shared" si="2"/>
        <v>0</v>
      </c>
      <c r="S7" s="264">
        <f t="shared" si="2"/>
        <v>0</v>
      </c>
      <c r="T7" s="264">
        <f t="shared" si="2"/>
        <v>0</v>
      </c>
      <c r="U7" s="264">
        <f t="shared" si="2"/>
        <v>0</v>
      </c>
      <c r="V7" s="264">
        <f t="shared" si="2"/>
        <v>0</v>
      </c>
      <c r="W7" s="264">
        <f t="shared" si="2"/>
        <v>0</v>
      </c>
      <c r="X7" s="264">
        <f t="shared" si="2"/>
        <v>0</v>
      </c>
      <c r="Y7" s="264">
        <f t="shared" si="2"/>
        <v>0</v>
      </c>
      <c r="Z7" s="264">
        <f t="shared" si="2"/>
        <v>0</v>
      </c>
      <c r="AA7" s="264">
        <f t="shared" si="2"/>
        <v>0</v>
      </c>
      <c r="AB7" s="264">
        <f t="shared" si="2"/>
        <v>0</v>
      </c>
      <c r="AC7" s="264">
        <f t="shared" si="2"/>
        <v>0</v>
      </c>
      <c r="AD7" s="264">
        <f t="shared" si="2"/>
        <v>0</v>
      </c>
      <c r="AE7" s="264">
        <f t="shared" si="2"/>
        <v>0</v>
      </c>
      <c r="AF7" s="264">
        <f t="shared" si="2"/>
        <v>0</v>
      </c>
      <c r="AG7" s="264">
        <f t="shared" si="2"/>
        <v>0</v>
      </c>
      <c r="AH7" s="264">
        <f t="shared" si="2"/>
        <v>0</v>
      </c>
      <c r="AI7" s="264">
        <f t="shared" si="2"/>
        <v>0</v>
      </c>
      <c r="AJ7" s="264">
        <f t="shared" si="2"/>
        <v>0</v>
      </c>
      <c r="AK7" s="264">
        <f t="shared" si="2"/>
        <v>0</v>
      </c>
      <c r="AL7" s="264">
        <f t="shared" si="2"/>
        <v>0</v>
      </c>
      <c r="AM7" s="264">
        <f t="shared" si="2"/>
        <v>0</v>
      </c>
      <c r="AN7" s="264">
        <f t="shared" si="2"/>
        <v>0</v>
      </c>
      <c r="AO7" s="264">
        <f t="shared" si="2"/>
        <v>0</v>
      </c>
      <c r="AP7" s="264">
        <f t="shared" si="2"/>
        <v>0</v>
      </c>
    </row>
    <row r="10" spans="2:42" x14ac:dyDescent="0.2">
      <c r="B10" s="256"/>
      <c r="C10" s="256"/>
      <c r="D10" s="256" t="s">
        <v>10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</row>
    <row r="11" spans="2:42" x14ac:dyDescent="0.2">
      <c r="B11" s="257" t="s">
        <v>443</v>
      </c>
      <c r="C11" s="257"/>
      <c r="D11" s="258">
        <v>1</v>
      </c>
      <c r="E11" s="258">
        <v>2</v>
      </c>
      <c r="F11" s="258">
        <v>3</v>
      </c>
      <c r="G11" s="258">
        <v>4</v>
      </c>
      <c r="H11" s="258">
        <v>5</v>
      </c>
      <c r="I11" s="258">
        <v>6</v>
      </c>
      <c r="J11" s="258">
        <v>7</v>
      </c>
      <c r="K11" s="258">
        <v>8</v>
      </c>
      <c r="L11" s="258">
        <v>9</v>
      </c>
      <c r="M11" s="258">
        <v>10</v>
      </c>
      <c r="N11" s="258">
        <v>11</v>
      </c>
      <c r="O11" s="258">
        <v>12</v>
      </c>
      <c r="P11" s="258">
        <v>13</v>
      </c>
      <c r="Q11" s="258">
        <v>14</v>
      </c>
      <c r="R11" s="258">
        <v>15</v>
      </c>
      <c r="S11" s="258">
        <v>16</v>
      </c>
      <c r="T11" s="258">
        <v>17</v>
      </c>
      <c r="U11" s="258">
        <v>18</v>
      </c>
      <c r="V11" s="258">
        <v>19</v>
      </c>
      <c r="W11" s="258">
        <v>20</v>
      </c>
      <c r="X11" s="258">
        <v>21</v>
      </c>
      <c r="Y11" s="258">
        <v>22</v>
      </c>
      <c r="Z11" s="258">
        <v>23</v>
      </c>
      <c r="AA11" s="258">
        <v>24</v>
      </c>
      <c r="AB11" s="258">
        <v>25</v>
      </c>
      <c r="AC11" s="258">
        <v>26</v>
      </c>
      <c r="AD11" s="258">
        <v>27</v>
      </c>
      <c r="AE11" s="258">
        <v>28</v>
      </c>
      <c r="AF11" s="258">
        <v>29</v>
      </c>
      <c r="AG11" s="258">
        <v>30</v>
      </c>
      <c r="AH11" s="258">
        <v>31</v>
      </c>
      <c r="AI11" s="258">
        <v>32</v>
      </c>
      <c r="AJ11" s="258">
        <v>33</v>
      </c>
      <c r="AK11" s="258">
        <v>34</v>
      </c>
      <c r="AL11" s="258">
        <v>35</v>
      </c>
      <c r="AM11" s="258">
        <v>36</v>
      </c>
      <c r="AN11" s="258">
        <v>37</v>
      </c>
      <c r="AO11" s="258">
        <v>38</v>
      </c>
      <c r="AP11" s="258">
        <v>39</v>
      </c>
    </row>
    <row r="12" spans="2:42" x14ac:dyDescent="0.2">
      <c r="B12" s="259" t="s">
        <v>34</v>
      </c>
      <c r="C12" s="260" t="s">
        <v>9</v>
      </c>
      <c r="D12" s="261">
        <f>D4</f>
        <v>2026</v>
      </c>
      <c r="E12" s="261">
        <f>D12+$D$3</f>
        <v>2027</v>
      </c>
      <c r="F12" s="261">
        <f t="shared" ref="F12:AP12" si="3">E12+$D$3</f>
        <v>2028</v>
      </c>
      <c r="G12" s="261">
        <f t="shared" si="3"/>
        <v>2029</v>
      </c>
      <c r="H12" s="261">
        <f t="shared" si="3"/>
        <v>2030</v>
      </c>
      <c r="I12" s="261">
        <f t="shared" si="3"/>
        <v>2031</v>
      </c>
      <c r="J12" s="261">
        <f t="shared" si="3"/>
        <v>2032</v>
      </c>
      <c r="K12" s="261">
        <f t="shared" si="3"/>
        <v>2033</v>
      </c>
      <c r="L12" s="261">
        <f t="shared" si="3"/>
        <v>2034</v>
      </c>
      <c r="M12" s="261">
        <f t="shared" si="3"/>
        <v>2035</v>
      </c>
      <c r="N12" s="261">
        <f t="shared" si="3"/>
        <v>2036</v>
      </c>
      <c r="O12" s="261">
        <f t="shared" si="3"/>
        <v>2037</v>
      </c>
      <c r="P12" s="261">
        <f t="shared" si="3"/>
        <v>2038</v>
      </c>
      <c r="Q12" s="261">
        <f t="shared" si="3"/>
        <v>2039</v>
      </c>
      <c r="R12" s="261">
        <f t="shared" si="3"/>
        <v>2040</v>
      </c>
      <c r="S12" s="261">
        <f t="shared" si="3"/>
        <v>2041</v>
      </c>
      <c r="T12" s="261">
        <f t="shared" si="3"/>
        <v>2042</v>
      </c>
      <c r="U12" s="261">
        <f t="shared" si="3"/>
        <v>2043</v>
      </c>
      <c r="V12" s="261">
        <f t="shared" si="3"/>
        <v>2044</v>
      </c>
      <c r="W12" s="261">
        <f t="shared" si="3"/>
        <v>2045</v>
      </c>
      <c r="X12" s="261">
        <f t="shared" si="3"/>
        <v>2046</v>
      </c>
      <c r="Y12" s="261">
        <f t="shared" si="3"/>
        <v>2047</v>
      </c>
      <c r="Z12" s="261">
        <f t="shared" si="3"/>
        <v>2048</v>
      </c>
      <c r="AA12" s="261">
        <f t="shared" si="3"/>
        <v>2049</v>
      </c>
      <c r="AB12" s="261">
        <f t="shared" si="3"/>
        <v>2050</v>
      </c>
      <c r="AC12" s="261">
        <f t="shared" si="3"/>
        <v>2051</v>
      </c>
      <c r="AD12" s="261">
        <f t="shared" si="3"/>
        <v>2052</v>
      </c>
      <c r="AE12" s="261">
        <f t="shared" si="3"/>
        <v>2053</v>
      </c>
      <c r="AF12" s="261">
        <f t="shared" si="3"/>
        <v>2054</v>
      </c>
      <c r="AG12" s="261">
        <f t="shared" si="3"/>
        <v>2055</v>
      </c>
      <c r="AH12" s="261">
        <f t="shared" si="3"/>
        <v>2056</v>
      </c>
      <c r="AI12" s="261">
        <f t="shared" si="3"/>
        <v>2057</v>
      </c>
      <c r="AJ12" s="261">
        <f t="shared" si="3"/>
        <v>2058</v>
      </c>
      <c r="AK12" s="261">
        <f t="shared" si="3"/>
        <v>2059</v>
      </c>
      <c r="AL12" s="261">
        <f t="shared" si="3"/>
        <v>2060</v>
      </c>
      <c r="AM12" s="261">
        <f t="shared" si="3"/>
        <v>2061</v>
      </c>
      <c r="AN12" s="261">
        <f t="shared" si="3"/>
        <v>2062</v>
      </c>
      <c r="AO12" s="261">
        <f t="shared" si="3"/>
        <v>2063</v>
      </c>
      <c r="AP12" s="261">
        <f t="shared" si="3"/>
        <v>2064</v>
      </c>
    </row>
    <row r="13" spans="2:42" x14ac:dyDescent="0.2">
      <c r="B13" s="761" t="s">
        <v>285</v>
      </c>
      <c r="C13" s="262">
        <f>SUM(D13:AP13)</f>
        <v>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0</v>
      </c>
      <c r="AE13" s="263">
        <v>0</v>
      </c>
      <c r="AF13" s="263">
        <v>0</v>
      </c>
      <c r="AG13" s="263">
        <v>0</v>
      </c>
      <c r="AH13" s="263">
        <v>0</v>
      </c>
      <c r="AI13" s="263">
        <v>0</v>
      </c>
      <c r="AJ13" s="263">
        <v>0</v>
      </c>
      <c r="AK13" s="263">
        <v>0</v>
      </c>
      <c r="AL13" s="263">
        <v>0</v>
      </c>
      <c r="AM13" s="263">
        <v>0</v>
      </c>
      <c r="AN13" s="263">
        <v>0</v>
      </c>
      <c r="AO13" s="263">
        <v>0</v>
      </c>
      <c r="AP13" s="263">
        <v>0</v>
      </c>
    </row>
    <row r="14" spans="2:42" x14ac:dyDescent="0.2">
      <c r="B14" s="761" t="s">
        <v>284</v>
      </c>
      <c r="C14" s="262">
        <f t="shared" ref="C14:C15" si="4">SUM(D14:AP14)</f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0</v>
      </c>
      <c r="AN14" s="263">
        <v>0</v>
      </c>
      <c r="AO14" s="263">
        <v>0</v>
      </c>
      <c r="AP14" s="263">
        <v>0</v>
      </c>
    </row>
    <row r="15" spans="2:42" x14ac:dyDescent="0.2">
      <c r="B15" s="257" t="s">
        <v>9</v>
      </c>
      <c r="C15" s="264">
        <f t="shared" si="4"/>
        <v>0</v>
      </c>
      <c r="D15" s="264">
        <f t="shared" ref="D15:AP15" si="5">SUM(D13:D14)</f>
        <v>0</v>
      </c>
      <c r="E15" s="264">
        <f t="shared" si="5"/>
        <v>0</v>
      </c>
      <c r="F15" s="264">
        <f t="shared" si="5"/>
        <v>0</v>
      </c>
      <c r="G15" s="264">
        <f t="shared" si="5"/>
        <v>0</v>
      </c>
      <c r="H15" s="264">
        <f t="shared" si="5"/>
        <v>0</v>
      </c>
      <c r="I15" s="264">
        <f t="shared" si="5"/>
        <v>0</v>
      </c>
      <c r="J15" s="264">
        <f t="shared" si="5"/>
        <v>0</v>
      </c>
      <c r="K15" s="264">
        <f t="shared" si="5"/>
        <v>0</v>
      </c>
      <c r="L15" s="264">
        <f t="shared" si="5"/>
        <v>0</v>
      </c>
      <c r="M15" s="264">
        <f t="shared" si="5"/>
        <v>0</v>
      </c>
      <c r="N15" s="264">
        <f t="shared" si="5"/>
        <v>0</v>
      </c>
      <c r="O15" s="264">
        <f t="shared" si="5"/>
        <v>0</v>
      </c>
      <c r="P15" s="264">
        <f t="shared" si="5"/>
        <v>0</v>
      </c>
      <c r="Q15" s="264">
        <f t="shared" si="5"/>
        <v>0</v>
      </c>
      <c r="R15" s="264">
        <f t="shared" si="5"/>
        <v>0</v>
      </c>
      <c r="S15" s="264">
        <f t="shared" si="5"/>
        <v>0</v>
      </c>
      <c r="T15" s="264">
        <f t="shared" si="5"/>
        <v>0</v>
      </c>
      <c r="U15" s="264">
        <f t="shared" si="5"/>
        <v>0</v>
      </c>
      <c r="V15" s="264">
        <f t="shared" si="5"/>
        <v>0</v>
      </c>
      <c r="W15" s="264">
        <f t="shared" si="5"/>
        <v>0</v>
      </c>
      <c r="X15" s="264">
        <f t="shared" si="5"/>
        <v>0</v>
      </c>
      <c r="Y15" s="264">
        <f t="shared" si="5"/>
        <v>0</v>
      </c>
      <c r="Z15" s="264">
        <f t="shared" si="5"/>
        <v>0</v>
      </c>
      <c r="AA15" s="264">
        <f t="shared" si="5"/>
        <v>0</v>
      </c>
      <c r="AB15" s="264">
        <f t="shared" si="5"/>
        <v>0</v>
      </c>
      <c r="AC15" s="264">
        <f t="shared" si="5"/>
        <v>0</v>
      </c>
      <c r="AD15" s="264">
        <f t="shared" si="5"/>
        <v>0</v>
      </c>
      <c r="AE15" s="264">
        <f t="shared" si="5"/>
        <v>0</v>
      </c>
      <c r="AF15" s="264">
        <f t="shared" si="5"/>
        <v>0</v>
      </c>
      <c r="AG15" s="264">
        <f t="shared" si="5"/>
        <v>0</v>
      </c>
      <c r="AH15" s="264">
        <f t="shared" si="5"/>
        <v>0</v>
      </c>
      <c r="AI15" s="264">
        <f t="shared" si="5"/>
        <v>0</v>
      </c>
      <c r="AJ15" s="264">
        <f t="shared" si="5"/>
        <v>0</v>
      </c>
      <c r="AK15" s="264">
        <f t="shared" si="5"/>
        <v>0</v>
      </c>
      <c r="AL15" s="264">
        <f t="shared" si="5"/>
        <v>0</v>
      </c>
      <c r="AM15" s="264">
        <f t="shared" si="5"/>
        <v>0</v>
      </c>
      <c r="AN15" s="264">
        <f t="shared" si="5"/>
        <v>0</v>
      </c>
      <c r="AO15" s="264">
        <f t="shared" si="5"/>
        <v>0</v>
      </c>
      <c r="AP15" s="264">
        <f t="shared" si="5"/>
        <v>0</v>
      </c>
    </row>
    <row r="18" spans="2:42" x14ac:dyDescent="0.2">
      <c r="B18" s="256"/>
      <c r="C18" s="256"/>
      <c r="D18" s="256" t="s">
        <v>10</v>
      </c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</row>
    <row r="19" spans="2:42" x14ac:dyDescent="0.2">
      <c r="B19" s="257" t="s">
        <v>444</v>
      </c>
      <c r="C19" s="257"/>
      <c r="D19" s="258">
        <v>1</v>
      </c>
      <c r="E19" s="258">
        <v>2</v>
      </c>
      <c r="F19" s="258">
        <v>3</v>
      </c>
      <c r="G19" s="258">
        <v>4</v>
      </c>
      <c r="H19" s="258">
        <v>5</v>
      </c>
      <c r="I19" s="258">
        <v>6</v>
      </c>
      <c r="J19" s="258">
        <v>7</v>
      </c>
      <c r="K19" s="258">
        <v>8</v>
      </c>
      <c r="L19" s="258">
        <v>9</v>
      </c>
      <c r="M19" s="258">
        <v>10</v>
      </c>
      <c r="N19" s="258">
        <v>11</v>
      </c>
      <c r="O19" s="258">
        <v>12</v>
      </c>
      <c r="P19" s="258">
        <v>13</v>
      </c>
      <c r="Q19" s="258">
        <v>14</v>
      </c>
      <c r="R19" s="258">
        <v>15</v>
      </c>
      <c r="S19" s="258">
        <v>16</v>
      </c>
      <c r="T19" s="258">
        <v>17</v>
      </c>
      <c r="U19" s="258">
        <v>18</v>
      </c>
      <c r="V19" s="258">
        <v>19</v>
      </c>
      <c r="W19" s="258">
        <v>20</v>
      </c>
      <c r="X19" s="258">
        <v>21</v>
      </c>
      <c r="Y19" s="258">
        <v>22</v>
      </c>
      <c r="Z19" s="258">
        <v>23</v>
      </c>
      <c r="AA19" s="258">
        <v>24</v>
      </c>
      <c r="AB19" s="258">
        <v>25</v>
      </c>
      <c r="AC19" s="258">
        <v>26</v>
      </c>
      <c r="AD19" s="258">
        <v>27</v>
      </c>
      <c r="AE19" s="258">
        <v>28</v>
      </c>
      <c r="AF19" s="258">
        <v>29</v>
      </c>
      <c r="AG19" s="258">
        <v>30</v>
      </c>
      <c r="AH19" s="258">
        <v>31</v>
      </c>
      <c r="AI19" s="258">
        <v>32</v>
      </c>
      <c r="AJ19" s="258">
        <v>33</v>
      </c>
      <c r="AK19" s="258">
        <v>34</v>
      </c>
      <c r="AL19" s="258">
        <v>35</v>
      </c>
      <c r="AM19" s="258">
        <v>36</v>
      </c>
      <c r="AN19" s="258">
        <v>37</v>
      </c>
      <c r="AO19" s="258">
        <v>38</v>
      </c>
      <c r="AP19" s="258">
        <v>39</v>
      </c>
    </row>
    <row r="20" spans="2:42" x14ac:dyDescent="0.2">
      <c r="B20" s="259" t="s">
        <v>63</v>
      </c>
      <c r="C20" s="260" t="s">
        <v>9</v>
      </c>
      <c r="D20" s="261">
        <f>D12</f>
        <v>2026</v>
      </c>
      <c r="E20" s="261">
        <f>D20+$D$3</f>
        <v>2027</v>
      </c>
      <c r="F20" s="261">
        <f t="shared" ref="F20:AP20" si="6">E20+$D$3</f>
        <v>2028</v>
      </c>
      <c r="G20" s="261">
        <f t="shared" si="6"/>
        <v>2029</v>
      </c>
      <c r="H20" s="261">
        <f t="shared" si="6"/>
        <v>2030</v>
      </c>
      <c r="I20" s="261">
        <f t="shared" si="6"/>
        <v>2031</v>
      </c>
      <c r="J20" s="261">
        <f t="shared" si="6"/>
        <v>2032</v>
      </c>
      <c r="K20" s="261">
        <f t="shared" si="6"/>
        <v>2033</v>
      </c>
      <c r="L20" s="261">
        <f t="shared" si="6"/>
        <v>2034</v>
      </c>
      <c r="M20" s="261">
        <f t="shared" si="6"/>
        <v>2035</v>
      </c>
      <c r="N20" s="261">
        <f t="shared" si="6"/>
        <v>2036</v>
      </c>
      <c r="O20" s="261">
        <f t="shared" si="6"/>
        <v>2037</v>
      </c>
      <c r="P20" s="261">
        <f t="shared" si="6"/>
        <v>2038</v>
      </c>
      <c r="Q20" s="261">
        <f t="shared" si="6"/>
        <v>2039</v>
      </c>
      <c r="R20" s="261">
        <f t="shared" si="6"/>
        <v>2040</v>
      </c>
      <c r="S20" s="261">
        <f t="shared" si="6"/>
        <v>2041</v>
      </c>
      <c r="T20" s="261">
        <f t="shared" si="6"/>
        <v>2042</v>
      </c>
      <c r="U20" s="261">
        <f t="shared" si="6"/>
        <v>2043</v>
      </c>
      <c r="V20" s="261">
        <f t="shared" si="6"/>
        <v>2044</v>
      </c>
      <c r="W20" s="261">
        <f t="shared" si="6"/>
        <v>2045</v>
      </c>
      <c r="X20" s="261">
        <f t="shared" si="6"/>
        <v>2046</v>
      </c>
      <c r="Y20" s="261">
        <f t="shared" si="6"/>
        <v>2047</v>
      </c>
      <c r="Z20" s="261">
        <f t="shared" si="6"/>
        <v>2048</v>
      </c>
      <c r="AA20" s="261">
        <f t="shared" si="6"/>
        <v>2049</v>
      </c>
      <c r="AB20" s="261">
        <f t="shared" si="6"/>
        <v>2050</v>
      </c>
      <c r="AC20" s="261">
        <f t="shared" si="6"/>
        <v>2051</v>
      </c>
      <c r="AD20" s="261">
        <f t="shared" si="6"/>
        <v>2052</v>
      </c>
      <c r="AE20" s="261">
        <f t="shared" si="6"/>
        <v>2053</v>
      </c>
      <c r="AF20" s="261">
        <f t="shared" si="6"/>
        <v>2054</v>
      </c>
      <c r="AG20" s="261">
        <f t="shared" si="6"/>
        <v>2055</v>
      </c>
      <c r="AH20" s="261">
        <f t="shared" si="6"/>
        <v>2056</v>
      </c>
      <c r="AI20" s="261">
        <f t="shared" si="6"/>
        <v>2057</v>
      </c>
      <c r="AJ20" s="261">
        <f t="shared" si="6"/>
        <v>2058</v>
      </c>
      <c r="AK20" s="261">
        <f t="shared" si="6"/>
        <v>2059</v>
      </c>
      <c r="AL20" s="261">
        <f t="shared" si="6"/>
        <v>2060</v>
      </c>
      <c r="AM20" s="261">
        <f t="shared" si="6"/>
        <v>2061</v>
      </c>
      <c r="AN20" s="261">
        <f t="shared" si="6"/>
        <v>2062</v>
      </c>
      <c r="AO20" s="261">
        <f t="shared" si="6"/>
        <v>2063</v>
      </c>
      <c r="AP20" s="261">
        <f t="shared" si="6"/>
        <v>2064</v>
      </c>
    </row>
    <row r="21" spans="2:42" x14ac:dyDescent="0.2">
      <c r="B21" s="761" t="s">
        <v>285</v>
      </c>
      <c r="C21" s="262">
        <f>SUM(D21:AP21)</f>
        <v>0</v>
      </c>
      <c r="D21" s="262">
        <f t="shared" ref="D21:AP22" si="7">D5-D13</f>
        <v>0</v>
      </c>
      <c r="E21" s="262">
        <f t="shared" si="7"/>
        <v>0</v>
      </c>
      <c r="F21" s="262">
        <f t="shared" si="7"/>
        <v>0</v>
      </c>
      <c r="G21" s="262">
        <f t="shared" si="7"/>
        <v>0</v>
      </c>
      <c r="H21" s="262">
        <f t="shared" si="7"/>
        <v>0</v>
      </c>
      <c r="I21" s="262">
        <f t="shared" si="7"/>
        <v>0</v>
      </c>
      <c r="J21" s="262">
        <f t="shared" si="7"/>
        <v>0</v>
      </c>
      <c r="K21" s="262">
        <f t="shared" si="7"/>
        <v>0</v>
      </c>
      <c r="L21" s="262">
        <f t="shared" si="7"/>
        <v>0</v>
      </c>
      <c r="M21" s="262">
        <f t="shared" si="7"/>
        <v>0</v>
      </c>
      <c r="N21" s="262">
        <f t="shared" si="7"/>
        <v>0</v>
      </c>
      <c r="O21" s="262">
        <f t="shared" si="7"/>
        <v>0</v>
      </c>
      <c r="P21" s="262">
        <f t="shared" si="7"/>
        <v>0</v>
      </c>
      <c r="Q21" s="262">
        <f t="shared" si="7"/>
        <v>0</v>
      </c>
      <c r="R21" s="262">
        <f t="shared" si="7"/>
        <v>0</v>
      </c>
      <c r="S21" s="262">
        <f t="shared" si="7"/>
        <v>0</v>
      </c>
      <c r="T21" s="262">
        <f t="shared" si="7"/>
        <v>0</v>
      </c>
      <c r="U21" s="262">
        <f t="shared" si="7"/>
        <v>0</v>
      </c>
      <c r="V21" s="262">
        <f t="shared" si="7"/>
        <v>0</v>
      </c>
      <c r="W21" s="262">
        <f t="shared" si="7"/>
        <v>0</v>
      </c>
      <c r="X21" s="262">
        <f t="shared" si="7"/>
        <v>0</v>
      </c>
      <c r="Y21" s="262">
        <f t="shared" si="7"/>
        <v>0</v>
      </c>
      <c r="Z21" s="262">
        <f t="shared" si="7"/>
        <v>0</v>
      </c>
      <c r="AA21" s="262">
        <f t="shared" si="7"/>
        <v>0</v>
      </c>
      <c r="AB21" s="262">
        <f t="shared" si="7"/>
        <v>0</v>
      </c>
      <c r="AC21" s="262">
        <f t="shared" si="7"/>
        <v>0</v>
      </c>
      <c r="AD21" s="262">
        <f t="shared" si="7"/>
        <v>0</v>
      </c>
      <c r="AE21" s="262">
        <f t="shared" si="7"/>
        <v>0</v>
      </c>
      <c r="AF21" s="262">
        <f t="shared" si="7"/>
        <v>0</v>
      </c>
      <c r="AG21" s="262">
        <f t="shared" si="7"/>
        <v>0</v>
      </c>
      <c r="AH21" s="262">
        <f t="shared" si="7"/>
        <v>0</v>
      </c>
      <c r="AI21" s="262">
        <f t="shared" si="7"/>
        <v>0</v>
      </c>
      <c r="AJ21" s="262">
        <f t="shared" si="7"/>
        <v>0</v>
      </c>
      <c r="AK21" s="262">
        <f t="shared" si="7"/>
        <v>0</v>
      </c>
      <c r="AL21" s="262">
        <f t="shared" si="7"/>
        <v>0</v>
      </c>
      <c r="AM21" s="262">
        <f t="shared" si="7"/>
        <v>0</v>
      </c>
      <c r="AN21" s="262">
        <f t="shared" si="7"/>
        <v>0</v>
      </c>
      <c r="AO21" s="262">
        <f t="shared" si="7"/>
        <v>0</v>
      </c>
      <c r="AP21" s="262">
        <f t="shared" si="7"/>
        <v>0</v>
      </c>
    </row>
    <row r="22" spans="2:42" x14ac:dyDescent="0.2">
      <c r="B22" s="761" t="s">
        <v>284</v>
      </c>
      <c r="C22" s="262">
        <f t="shared" ref="C22:C23" si="8">SUM(D22:AP22)</f>
        <v>0</v>
      </c>
      <c r="D22" s="262">
        <f t="shared" si="7"/>
        <v>0</v>
      </c>
      <c r="E22" s="262">
        <f t="shared" si="7"/>
        <v>0</v>
      </c>
      <c r="F22" s="262">
        <f t="shared" si="7"/>
        <v>0</v>
      </c>
      <c r="G22" s="262">
        <f t="shared" si="7"/>
        <v>0</v>
      </c>
      <c r="H22" s="262">
        <f t="shared" si="7"/>
        <v>0</v>
      </c>
      <c r="I22" s="262">
        <f t="shared" si="7"/>
        <v>0</v>
      </c>
      <c r="J22" s="262">
        <f t="shared" si="7"/>
        <v>0</v>
      </c>
      <c r="K22" s="262">
        <f t="shared" si="7"/>
        <v>0</v>
      </c>
      <c r="L22" s="262">
        <f t="shared" si="7"/>
        <v>0</v>
      </c>
      <c r="M22" s="262">
        <f t="shared" si="7"/>
        <v>0</v>
      </c>
      <c r="N22" s="262">
        <f t="shared" si="7"/>
        <v>0</v>
      </c>
      <c r="O22" s="262">
        <f t="shared" si="7"/>
        <v>0</v>
      </c>
      <c r="P22" s="262">
        <f t="shared" si="7"/>
        <v>0</v>
      </c>
      <c r="Q22" s="262">
        <f t="shared" si="7"/>
        <v>0</v>
      </c>
      <c r="R22" s="262">
        <f t="shared" si="7"/>
        <v>0</v>
      </c>
      <c r="S22" s="262">
        <f t="shared" si="7"/>
        <v>0</v>
      </c>
      <c r="T22" s="262">
        <f t="shared" si="7"/>
        <v>0</v>
      </c>
      <c r="U22" s="262">
        <f t="shared" si="7"/>
        <v>0</v>
      </c>
      <c r="V22" s="262">
        <f t="shared" si="7"/>
        <v>0</v>
      </c>
      <c r="W22" s="262">
        <f t="shared" si="7"/>
        <v>0</v>
      </c>
      <c r="X22" s="262">
        <f t="shared" si="7"/>
        <v>0</v>
      </c>
      <c r="Y22" s="262">
        <f t="shared" si="7"/>
        <v>0</v>
      </c>
      <c r="Z22" s="262">
        <f t="shared" si="7"/>
        <v>0</v>
      </c>
      <c r="AA22" s="262">
        <f t="shared" si="7"/>
        <v>0</v>
      </c>
      <c r="AB22" s="262">
        <f t="shared" si="7"/>
        <v>0</v>
      </c>
      <c r="AC22" s="262">
        <f t="shared" si="7"/>
        <v>0</v>
      </c>
      <c r="AD22" s="262">
        <f t="shared" si="7"/>
        <v>0</v>
      </c>
      <c r="AE22" s="262">
        <f t="shared" si="7"/>
        <v>0</v>
      </c>
      <c r="AF22" s="262">
        <f t="shared" si="7"/>
        <v>0</v>
      </c>
      <c r="AG22" s="262">
        <f t="shared" si="7"/>
        <v>0</v>
      </c>
      <c r="AH22" s="262">
        <f t="shared" si="7"/>
        <v>0</v>
      </c>
      <c r="AI22" s="262">
        <f t="shared" si="7"/>
        <v>0</v>
      </c>
      <c r="AJ22" s="262">
        <f t="shared" si="7"/>
        <v>0</v>
      </c>
      <c r="AK22" s="262">
        <f t="shared" si="7"/>
        <v>0</v>
      </c>
      <c r="AL22" s="262">
        <f t="shared" si="7"/>
        <v>0</v>
      </c>
      <c r="AM22" s="262">
        <f t="shared" si="7"/>
        <v>0</v>
      </c>
      <c r="AN22" s="262">
        <f t="shared" si="7"/>
        <v>0</v>
      </c>
      <c r="AO22" s="262">
        <f t="shared" si="7"/>
        <v>0</v>
      </c>
      <c r="AP22" s="262">
        <f t="shared" si="7"/>
        <v>0</v>
      </c>
    </row>
    <row r="23" spans="2:42" x14ac:dyDescent="0.2">
      <c r="B23" s="257" t="s">
        <v>9</v>
      </c>
      <c r="C23" s="264">
        <f t="shared" si="8"/>
        <v>0</v>
      </c>
      <c r="D23" s="264">
        <f t="shared" ref="D23:AP23" si="9">SUM(D21:D22)</f>
        <v>0</v>
      </c>
      <c r="E23" s="264">
        <f t="shared" si="9"/>
        <v>0</v>
      </c>
      <c r="F23" s="264">
        <f t="shared" si="9"/>
        <v>0</v>
      </c>
      <c r="G23" s="264">
        <f t="shared" si="9"/>
        <v>0</v>
      </c>
      <c r="H23" s="264">
        <f t="shared" si="9"/>
        <v>0</v>
      </c>
      <c r="I23" s="264">
        <f t="shared" si="9"/>
        <v>0</v>
      </c>
      <c r="J23" s="264">
        <f t="shared" si="9"/>
        <v>0</v>
      </c>
      <c r="K23" s="264">
        <f t="shared" si="9"/>
        <v>0</v>
      </c>
      <c r="L23" s="264">
        <f t="shared" si="9"/>
        <v>0</v>
      </c>
      <c r="M23" s="264">
        <f t="shared" si="9"/>
        <v>0</v>
      </c>
      <c r="N23" s="264">
        <f t="shared" si="9"/>
        <v>0</v>
      </c>
      <c r="O23" s="264">
        <f t="shared" si="9"/>
        <v>0</v>
      </c>
      <c r="P23" s="264">
        <f t="shared" si="9"/>
        <v>0</v>
      </c>
      <c r="Q23" s="264">
        <f t="shared" si="9"/>
        <v>0</v>
      </c>
      <c r="R23" s="264">
        <f t="shared" si="9"/>
        <v>0</v>
      </c>
      <c r="S23" s="264">
        <f t="shared" si="9"/>
        <v>0</v>
      </c>
      <c r="T23" s="264">
        <f t="shared" si="9"/>
        <v>0</v>
      </c>
      <c r="U23" s="264">
        <f t="shared" si="9"/>
        <v>0</v>
      </c>
      <c r="V23" s="264">
        <f t="shared" si="9"/>
        <v>0</v>
      </c>
      <c r="W23" s="264">
        <f t="shared" si="9"/>
        <v>0</v>
      </c>
      <c r="X23" s="264">
        <f t="shared" si="9"/>
        <v>0</v>
      </c>
      <c r="Y23" s="264">
        <f t="shared" si="9"/>
        <v>0</v>
      </c>
      <c r="Z23" s="264">
        <f t="shared" si="9"/>
        <v>0</v>
      </c>
      <c r="AA23" s="264">
        <f t="shared" si="9"/>
        <v>0</v>
      </c>
      <c r="AB23" s="264">
        <f t="shared" si="9"/>
        <v>0</v>
      </c>
      <c r="AC23" s="264">
        <f t="shared" si="9"/>
        <v>0</v>
      </c>
      <c r="AD23" s="264">
        <f t="shared" si="9"/>
        <v>0</v>
      </c>
      <c r="AE23" s="264">
        <f t="shared" si="9"/>
        <v>0</v>
      </c>
      <c r="AF23" s="264">
        <f t="shared" si="9"/>
        <v>0</v>
      </c>
      <c r="AG23" s="264">
        <f t="shared" si="9"/>
        <v>0</v>
      </c>
      <c r="AH23" s="264">
        <f t="shared" si="9"/>
        <v>0</v>
      </c>
      <c r="AI23" s="264">
        <f t="shared" si="9"/>
        <v>0</v>
      </c>
      <c r="AJ23" s="264">
        <f t="shared" si="9"/>
        <v>0</v>
      </c>
      <c r="AK23" s="264">
        <f t="shared" si="9"/>
        <v>0</v>
      </c>
      <c r="AL23" s="264">
        <f t="shared" si="9"/>
        <v>0</v>
      </c>
      <c r="AM23" s="264">
        <f t="shared" si="9"/>
        <v>0</v>
      </c>
      <c r="AN23" s="264">
        <f t="shared" si="9"/>
        <v>0</v>
      </c>
      <c r="AO23" s="264">
        <f t="shared" si="9"/>
        <v>0</v>
      </c>
      <c r="AP23" s="264">
        <f t="shared" si="9"/>
        <v>0</v>
      </c>
    </row>
    <row r="26" spans="2:42" x14ac:dyDescent="0.2">
      <c r="B26" s="256"/>
      <c r="C26" s="256"/>
      <c r="D26" s="256" t="s">
        <v>10</v>
      </c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</row>
    <row r="27" spans="2:42" x14ac:dyDescent="0.2">
      <c r="B27" s="257" t="s">
        <v>445</v>
      </c>
      <c r="C27" s="257"/>
      <c r="D27" s="258">
        <v>1</v>
      </c>
      <c r="E27" s="258">
        <v>2</v>
      </c>
      <c r="F27" s="258">
        <v>3</v>
      </c>
      <c r="G27" s="258">
        <v>4</v>
      </c>
      <c r="H27" s="258">
        <v>5</v>
      </c>
      <c r="I27" s="258">
        <v>6</v>
      </c>
      <c r="J27" s="258">
        <v>7</v>
      </c>
      <c r="K27" s="258">
        <v>8</v>
      </c>
      <c r="L27" s="258">
        <v>9</v>
      </c>
      <c r="M27" s="258">
        <v>10</v>
      </c>
      <c r="N27" s="258">
        <v>11</v>
      </c>
      <c r="O27" s="258">
        <v>12</v>
      </c>
      <c r="P27" s="258">
        <v>13</v>
      </c>
      <c r="Q27" s="258">
        <v>14</v>
      </c>
      <c r="R27" s="258">
        <v>15</v>
      </c>
      <c r="S27" s="258">
        <v>16</v>
      </c>
      <c r="T27" s="258">
        <v>17</v>
      </c>
      <c r="U27" s="258">
        <v>18</v>
      </c>
      <c r="V27" s="258">
        <v>19</v>
      </c>
      <c r="W27" s="258">
        <v>20</v>
      </c>
      <c r="X27" s="258">
        <v>21</v>
      </c>
      <c r="Y27" s="258">
        <v>22</v>
      </c>
      <c r="Z27" s="258">
        <v>23</v>
      </c>
      <c r="AA27" s="258">
        <v>24</v>
      </c>
      <c r="AB27" s="258">
        <v>25</v>
      </c>
      <c r="AC27" s="258">
        <v>26</v>
      </c>
      <c r="AD27" s="258">
        <v>27</v>
      </c>
      <c r="AE27" s="258">
        <v>28</v>
      </c>
      <c r="AF27" s="258">
        <v>29</v>
      </c>
      <c r="AG27" s="258">
        <v>30</v>
      </c>
      <c r="AH27" s="258">
        <v>31</v>
      </c>
      <c r="AI27" s="258">
        <v>32</v>
      </c>
      <c r="AJ27" s="258">
        <v>33</v>
      </c>
      <c r="AK27" s="258">
        <v>34</v>
      </c>
      <c r="AL27" s="258">
        <v>35</v>
      </c>
      <c r="AM27" s="258">
        <v>36</v>
      </c>
      <c r="AN27" s="258">
        <v>37</v>
      </c>
      <c r="AO27" s="258">
        <v>38</v>
      </c>
      <c r="AP27" s="258">
        <v>39</v>
      </c>
    </row>
    <row r="28" spans="2:42" x14ac:dyDescent="0.2">
      <c r="B28" s="259" t="s">
        <v>33</v>
      </c>
      <c r="C28" s="260" t="s">
        <v>9</v>
      </c>
      <c r="D28" s="261">
        <f>D4</f>
        <v>2026</v>
      </c>
      <c r="E28" s="261">
        <f>D28+$D$3</f>
        <v>2027</v>
      </c>
      <c r="F28" s="261">
        <f t="shared" ref="F28:AP28" si="10">E28+$D$3</f>
        <v>2028</v>
      </c>
      <c r="G28" s="261">
        <f t="shared" si="10"/>
        <v>2029</v>
      </c>
      <c r="H28" s="261">
        <f t="shared" si="10"/>
        <v>2030</v>
      </c>
      <c r="I28" s="261">
        <f t="shared" si="10"/>
        <v>2031</v>
      </c>
      <c r="J28" s="261">
        <f t="shared" si="10"/>
        <v>2032</v>
      </c>
      <c r="K28" s="261">
        <f t="shared" si="10"/>
        <v>2033</v>
      </c>
      <c r="L28" s="261">
        <f t="shared" si="10"/>
        <v>2034</v>
      </c>
      <c r="M28" s="261">
        <f t="shared" si="10"/>
        <v>2035</v>
      </c>
      <c r="N28" s="261">
        <f t="shared" si="10"/>
        <v>2036</v>
      </c>
      <c r="O28" s="261">
        <f t="shared" si="10"/>
        <v>2037</v>
      </c>
      <c r="P28" s="261">
        <f t="shared" si="10"/>
        <v>2038</v>
      </c>
      <c r="Q28" s="261">
        <f t="shared" si="10"/>
        <v>2039</v>
      </c>
      <c r="R28" s="261">
        <f t="shared" si="10"/>
        <v>2040</v>
      </c>
      <c r="S28" s="261">
        <f t="shared" si="10"/>
        <v>2041</v>
      </c>
      <c r="T28" s="261">
        <f t="shared" si="10"/>
        <v>2042</v>
      </c>
      <c r="U28" s="261">
        <f t="shared" si="10"/>
        <v>2043</v>
      </c>
      <c r="V28" s="261">
        <f t="shared" si="10"/>
        <v>2044</v>
      </c>
      <c r="W28" s="261">
        <f t="shared" si="10"/>
        <v>2045</v>
      </c>
      <c r="X28" s="261">
        <f t="shared" si="10"/>
        <v>2046</v>
      </c>
      <c r="Y28" s="261">
        <f t="shared" si="10"/>
        <v>2047</v>
      </c>
      <c r="Z28" s="261">
        <f t="shared" si="10"/>
        <v>2048</v>
      </c>
      <c r="AA28" s="261">
        <f t="shared" si="10"/>
        <v>2049</v>
      </c>
      <c r="AB28" s="261">
        <f t="shared" si="10"/>
        <v>2050</v>
      </c>
      <c r="AC28" s="261">
        <f t="shared" si="10"/>
        <v>2051</v>
      </c>
      <c r="AD28" s="261">
        <f t="shared" si="10"/>
        <v>2052</v>
      </c>
      <c r="AE28" s="261">
        <f t="shared" si="10"/>
        <v>2053</v>
      </c>
      <c r="AF28" s="261">
        <f t="shared" si="10"/>
        <v>2054</v>
      </c>
      <c r="AG28" s="261">
        <f t="shared" si="10"/>
        <v>2055</v>
      </c>
      <c r="AH28" s="261">
        <f t="shared" si="10"/>
        <v>2056</v>
      </c>
      <c r="AI28" s="261">
        <f t="shared" si="10"/>
        <v>2057</v>
      </c>
      <c r="AJ28" s="261">
        <f t="shared" si="10"/>
        <v>2058</v>
      </c>
      <c r="AK28" s="261">
        <f t="shared" si="10"/>
        <v>2059</v>
      </c>
      <c r="AL28" s="261">
        <f t="shared" si="10"/>
        <v>2060</v>
      </c>
      <c r="AM28" s="261">
        <f t="shared" si="10"/>
        <v>2061</v>
      </c>
      <c r="AN28" s="261">
        <f t="shared" si="10"/>
        <v>2062</v>
      </c>
      <c r="AO28" s="261">
        <f t="shared" si="10"/>
        <v>2063</v>
      </c>
      <c r="AP28" s="261">
        <f t="shared" si="10"/>
        <v>2064</v>
      </c>
    </row>
    <row r="29" spans="2:42" x14ac:dyDescent="0.2">
      <c r="B29" s="256" t="s">
        <v>405</v>
      </c>
      <c r="C29" s="262">
        <f>SUM(D29:AP29)</f>
        <v>0</v>
      </c>
      <c r="D29" s="263">
        <v>0</v>
      </c>
      <c r="E29" s="263">
        <v>0</v>
      </c>
      <c r="F29" s="263">
        <v>0</v>
      </c>
      <c r="G29" s="263">
        <v>0</v>
      </c>
      <c r="H29" s="263">
        <v>0</v>
      </c>
      <c r="I29" s="263">
        <v>0</v>
      </c>
      <c r="J29" s="263">
        <v>0</v>
      </c>
      <c r="K29" s="263">
        <v>0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0</v>
      </c>
      <c r="AN29" s="263">
        <v>0</v>
      </c>
      <c r="AO29" s="263">
        <v>0</v>
      </c>
      <c r="AP29" s="263">
        <v>0</v>
      </c>
    </row>
    <row r="30" spans="2:42" x14ac:dyDescent="0.2">
      <c r="B30" s="256" t="s">
        <v>406</v>
      </c>
      <c r="C30" s="262">
        <f t="shared" ref="C30:C36" si="11">SUM(D30:AP30)</f>
        <v>0</v>
      </c>
      <c r="D30" s="263">
        <v>0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63">
        <v>0</v>
      </c>
      <c r="Q30" s="263">
        <v>0</v>
      </c>
      <c r="R30" s="263">
        <v>0</v>
      </c>
      <c r="S30" s="263">
        <v>0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0</v>
      </c>
      <c r="AE30" s="263">
        <v>0</v>
      </c>
      <c r="AF30" s="263">
        <v>0</v>
      </c>
      <c r="AG30" s="263">
        <v>0</v>
      </c>
      <c r="AH30" s="263">
        <v>0</v>
      </c>
      <c r="AI30" s="263">
        <v>0</v>
      </c>
      <c r="AJ30" s="263">
        <v>0</v>
      </c>
      <c r="AK30" s="263">
        <v>0</v>
      </c>
      <c r="AL30" s="263">
        <v>0</v>
      </c>
      <c r="AM30" s="263">
        <v>0</v>
      </c>
      <c r="AN30" s="263">
        <v>0</v>
      </c>
      <c r="AO30" s="263">
        <v>0</v>
      </c>
      <c r="AP30" s="263">
        <v>0</v>
      </c>
    </row>
    <row r="31" spans="2:42" x14ac:dyDescent="0.2">
      <c r="B31" s="256" t="s">
        <v>407</v>
      </c>
      <c r="C31" s="262">
        <f t="shared" si="11"/>
        <v>0</v>
      </c>
      <c r="D31" s="263">
        <v>0</v>
      </c>
      <c r="E31" s="263">
        <v>0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63">
        <v>0</v>
      </c>
      <c r="Q31" s="263">
        <v>0</v>
      </c>
      <c r="R31" s="263">
        <v>0</v>
      </c>
      <c r="S31" s="263">
        <v>0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0</v>
      </c>
      <c r="AE31" s="263">
        <v>0</v>
      </c>
      <c r="AF31" s="263">
        <v>0</v>
      </c>
      <c r="AG31" s="263">
        <v>0</v>
      </c>
      <c r="AH31" s="263">
        <v>0</v>
      </c>
      <c r="AI31" s="263">
        <v>0</v>
      </c>
      <c r="AJ31" s="263">
        <v>0</v>
      </c>
      <c r="AK31" s="263">
        <v>0</v>
      </c>
      <c r="AL31" s="263">
        <v>0</v>
      </c>
      <c r="AM31" s="263">
        <v>0</v>
      </c>
      <c r="AN31" s="263">
        <v>0</v>
      </c>
      <c r="AO31" s="263">
        <v>0</v>
      </c>
      <c r="AP31" s="263">
        <v>0</v>
      </c>
    </row>
    <row r="32" spans="2:42" x14ac:dyDescent="0.2">
      <c r="B32" s="256" t="s">
        <v>408</v>
      </c>
      <c r="C32" s="262">
        <f t="shared" si="11"/>
        <v>0</v>
      </c>
      <c r="D32" s="263">
        <v>0</v>
      </c>
      <c r="E32" s="263">
        <v>0</v>
      </c>
      <c r="F32" s="263">
        <v>0</v>
      </c>
      <c r="G32" s="263">
        <v>0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0</v>
      </c>
      <c r="AN32" s="263">
        <v>0</v>
      </c>
      <c r="AO32" s="263">
        <v>0</v>
      </c>
      <c r="AP32" s="263">
        <v>0</v>
      </c>
    </row>
    <row r="33" spans="2:42" x14ac:dyDescent="0.2">
      <c r="B33" s="256" t="s">
        <v>136</v>
      </c>
      <c r="C33" s="262">
        <f t="shared" si="11"/>
        <v>0</v>
      </c>
      <c r="D33" s="263">
        <v>0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263">
        <v>0</v>
      </c>
      <c r="AM33" s="263">
        <v>0</v>
      </c>
      <c r="AN33" s="263">
        <v>0</v>
      </c>
      <c r="AO33" s="263">
        <v>0</v>
      </c>
      <c r="AP33" s="263">
        <v>0</v>
      </c>
    </row>
    <row r="34" spans="2:42" ht="11.85" customHeight="1" x14ac:dyDescent="0.2">
      <c r="B34" s="256" t="s">
        <v>133</v>
      </c>
      <c r="C34" s="262">
        <f t="shared" si="11"/>
        <v>0</v>
      </c>
      <c r="D34" s="263">
        <v>0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3">
        <v>0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  <c r="AP34" s="263">
        <v>0</v>
      </c>
    </row>
    <row r="35" spans="2:42" x14ac:dyDescent="0.2">
      <c r="B35" s="256" t="s">
        <v>137</v>
      </c>
      <c r="C35" s="262">
        <f t="shared" si="11"/>
        <v>0</v>
      </c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0</v>
      </c>
      <c r="AN35" s="263">
        <v>0</v>
      </c>
      <c r="AO35" s="263">
        <v>0</v>
      </c>
      <c r="AP35" s="263">
        <v>0</v>
      </c>
    </row>
    <row r="36" spans="2:42" x14ac:dyDescent="0.2">
      <c r="B36" s="257" t="s">
        <v>9</v>
      </c>
      <c r="C36" s="264">
        <f t="shared" si="11"/>
        <v>0</v>
      </c>
      <c r="D36" s="264">
        <f t="shared" ref="D36:AP36" si="12">SUM(D29:D35)</f>
        <v>0</v>
      </c>
      <c r="E36" s="264">
        <f t="shared" si="12"/>
        <v>0</v>
      </c>
      <c r="F36" s="264">
        <f t="shared" si="12"/>
        <v>0</v>
      </c>
      <c r="G36" s="264">
        <f t="shared" si="12"/>
        <v>0</v>
      </c>
      <c r="H36" s="264">
        <f t="shared" si="12"/>
        <v>0</v>
      </c>
      <c r="I36" s="264">
        <f t="shared" si="12"/>
        <v>0</v>
      </c>
      <c r="J36" s="264">
        <f t="shared" si="12"/>
        <v>0</v>
      </c>
      <c r="K36" s="264">
        <f t="shared" si="12"/>
        <v>0</v>
      </c>
      <c r="L36" s="264">
        <f t="shared" si="12"/>
        <v>0</v>
      </c>
      <c r="M36" s="264">
        <f t="shared" si="12"/>
        <v>0</v>
      </c>
      <c r="N36" s="264">
        <f t="shared" si="12"/>
        <v>0</v>
      </c>
      <c r="O36" s="264">
        <f t="shared" si="12"/>
        <v>0</v>
      </c>
      <c r="P36" s="264">
        <f t="shared" si="12"/>
        <v>0</v>
      </c>
      <c r="Q36" s="264">
        <f t="shared" si="12"/>
        <v>0</v>
      </c>
      <c r="R36" s="264">
        <f t="shared" si="12"/>
        <v>0</v>
      </c>
      <c r="S36" s="264">
        <f t="shared" si="12"/>
        <v>0</v>
      </c>
      <c r="T36" s="264">
        <f t="shared" si="12"/>
        <v>0</v>
      </c>
      <c r="U36" s="264">
        <f t="shared" si="12"/>
        <v>0</v>
      </c>
      <c r="V36" s="264">
        <f t="shared" si="12"/>
        <v>0</v>
      </c>
      <c r="W36" s="264">
        <f t="shared" si="12"/>
        <v>0</v>
      </c>
      <c r="X36" s="264">
        <f t="shared" si="12"/>
        <v>0</v>
      </c>
      <c r="Y36" s="264">
        <f t="shared" si="12"/>
        <v>0</v>
      </c>
      <c r="Z36" s="264">
        <f t="shared" si="12"/>
        <v>0</v>
      </c>
      <c r="AA36" s="264">
        <f t="shared" si="12"/>
        <v>0</v>
      </c>
      <c r="AB36" s="264">
        <f t="shared" si="12"/>
        <v>0</v>
      </c>
      <c r="AC36" s="264">
        <f t="shared" si="12"/>
        <v>0</v>
      </c>
      <c r="AD36" s="264">
        <f t="shared" si="12"/>
        <v>0</v>
      </c>
      <c r="AE36" s="264">
        <f t="shared" si="12"/>
        <v>0</v>
      </c>
      <c r="AF36" s="264">
        <f t="shared" si="12"/>
        <v>0</v>
      </c>
      <c r="AG36" s="264">
        <f t="shared" si="12"/>
        <v>0</v>
      </c>
      <c r="AH36" s="264">
        <f t="shared" si="12"/>
        <v>0</v>
      </c>
      <c r="AI36" s="264">
        <f t="shared" si="12"/>
        <v>0</v>
      </c>
      <c r="AJ36" s="264">
        <f t="shared" si="12"/>
        <v>0</v>
      </c>
      <c r="AK36" s="264">
        <f t="shared" si="12"/>
        <v>0</v>
      </c>
      <c r="AL36" s="264">
        <f t="shared" si="12"/>
        <v>0</v>
      </c>
      <c r="AM36" s="264">
        <f t="shared" si="12"/>
        <v>0</v>
      </c>
      <c r="AN36" s="264">
        <f t="shared" si="12"/>
        <v>0</v>
      </c>
      <c r="AO36" s="264">
        <f t="shared" si="12"/>
        <v>0</v>
      </c>
      <c r="AP36" s="264">
        <f t="shared" si="12"/>
        <v>0</v>
      </c>
    </row>
    <row r="39" spans="2:42" x14ac:dyDescent="0.2">
      <c r="B39" s="256"/>
      <c r="C39" s="256"/>
      <c r="D39" s="256" t="s">
        <v>10</v>
      </c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</row>
    <row r="40" spans="2:42" x14ac:dyDescent="0.2">
      <c r="B40" s="257" t="s">
        <v>446</v>
      </c>
      <c r="C40" s="257"/>
      <c r="D40" s="258">
        <v>1</v>
      </c>
      <c r="E40" s="258">
        <v>2</v>
      </c>
      <c r="F40" s="258">
        <v>3</v>
      </c>
      <c r="G40" s="258">
        <v>4</v>
      </c>
      <c r="H40" s="258">
        <v>5</v>
      </c>
      <c r="I40" s="258">
        <v>6</v>
      </c>
      <c r="J40" s="258">
        <v>7</v>
      </c>
      <c r="K40" s="258">
        <v>8</v>
      </c>
      <c r="L40" s="258">
        <v>9</v>
      </c>
      <c r="M40" s="258">
        <v>10</v>
      </c>
      <c r="N40" s="258">
        <v>11</v>
      </c>
      <c r="O40" s="258">
        <v>12</v>
      </c>
      <c r="P40" s="258">
        <v>13</v>
      </c>
      <c r="Q40" s="258">
        <v>14</v>
      </c>
      <c r="R40" s="258">
        <v>15</v>
      </c>
      <c r="S40" s="258">
        <v>16</v>
      </c>
      <c r="T40" s="258">
        <v>17</v>
      </c>
      <c r="U40" s="258">
        <v>18</v>
      </c>
      <c r="V40" s="258">
        <v>19</v>
      </c>
      <c r="W40" s="258">
        <v>20</v>
      </c>
      <c r="X40" s="258">
        <v>21</v>
      </c>
      <c r="Y40" s="258">
        <v>22</v>
      </c>
      <c r="Z40" s="258">
        <v>23</v>
      </c>
      <c r="AA40" s="258">
        <v>24</v>
      </c>
      <c r="AB40" s="258">
        <v>25</v>
      </c>
      <c r="AC40" s="258">
        <v>26</v>
      </c>
      <c r="AD40" s="258">
        <v>27</v>
      </c>
      <c r="AE40" s="258">
        <v>28</v>
      </c>
      <c r="AF40" s="258">
        <v>29</v>
      </c>
      <c r="AG40" s="258">
        <v>30</v>
      </c>
      <c r="AH40" s="258">
        <v>31</v>
      </c>
      <c r="AI40" s="258">
        <v>32</v>
      </c>
      <c r="AJ40" s="258">
        <v>33</v>
      </c>
      <c r="AK40" s="258">
        <v>34</v>
      </c>
      <c r="AL40" s="258">
        <v>35</v>
      </c>
      <c r="AM40" s="258">
        <v>36</v>
      </c>
      <c r="AN40" s="258">
        <v>37</v>
      </c>
      <c r="AO40" s="258">
        <v>38</v>
      </c>
      <c r="AP40" s="258">
        <v>39</v>
      </c>
    </row>
    <row r="41" spans="2:42" x14ac:dyDescent="0.2">
      <c r="B41" s="259" t="s">
        <v>34</v>
      </c>
      <c r="C41" s="260" t="s">
        <v>9</v>
      </c>
      <c r="D41" s="261">
        <f t="shared" ref="D41:AP41" si="13">D4</f>
        <v>2026</v>
      </c>
      <c r="E41" s="261">
        <f t="shared" si="13"/>
        <v>2027</v>
      </c>
      <c r="F41" s="261">
        <f t="shared" si="13"/>
        <v>2028</v>
      </c>
      <c r="G41" s="261">
        <f t="shared" si="13"/>
        <v>2029</v>
      </c>
      <c r="H41" s="261">
        <f t="shared" si="13"/>
        <v>2030</v>
      </c>
      <c r="I41" s="261">
        <f t="shared" si="13"/>
        <v>2031</v>
      </c>
      <c r="J41" s="261">
        <f t="shared" si="13"/>
        <v>2032</v>
      </c>
      <c r="K41" s="261">
        <f t="shared" si="13"/>
        <v>2033</v>
      </c>
      <c r="L41" s="261">
        <f t="shared" si="13"/>
        <v>2034</v>
      </c>
      <c r="M41" s="261">
        <f t="shared" si="13"/>
        <v>2035</v>
      </c>
      <c r="N41" s="261">
        <f t="shared" si="13"/>
        <v>2036</v>
      </c>
      <c r="O41" s="261">
        <f t="shared" si="13"/>
        <v>2037</v>
      </c>
      <c r="P41" s="261">
        <f t="shared" si="13"/>
        <v>2038</v>
      </c>
      <c r="Q41" s="261">
        <f t="shared" si="13"/>
        <v>2039</v>
      </c>
      <c r="R41" s="261">
        <f t="shared" si="13"/>
        <v>2040</v>
      </c>
      <c r="S41" s="261">
        <f t="shared" si="13"/>
        <v>2041</v>
      </c>
      <c r="T41" s="261">
        <f t="shared" si="13"/>
        <v>2042</v>
      </c>
      <c r="U41" s="261">
        <f t="shared" si="13"/>
        <v>2043</v>
      </c>
      <c r="V41" s="261">
        <f t="shared" si="13"/>
        <v>2044</v>
      </c>
      <c r="W41" s="261">
        <f t="shared" si="13"/>
        <v>2045</v>
      </c>
      <c r="X41" s="261">
        <f t="shared" si="13"/>
        <v>2046</v>
      </c>
      <c r="Y41" s="261">
        <f t="shared" si="13"/>
        <v>2047</v>
      </c>
      <c r="Z41" s="261">
        <f t="shared" si="13"/>
        <v>2048</v>
      </c>
      <c r="AA41" s="261">
        <f t="shared" si="13"/>
        <v>2049</v>
      </c>
      <c r="AB41" s="261">
        <f t="shared" si="13"/>
        <v>2050</v>
      </c>
      <c r="AC41" s="261">
        <f t="shared" si="13"/>
        <v>2051</v>
      </c>
      <c r="AD41" s="261">
        <f t="shared" si="13"/>
        <v>2052</v>
      </c>
      <c r="AE41" s="261">
        <f t="shared" si="13"/>
        <v>2053</v>
      </c>
      <c r="AF41" s="261">
        <f t="shared" si="13"/>
        <v>2054</v>
      </c>
      <c r="AG41" s="261">
        <f t="shared" si="13"/>
        <v>2055</v>
      </c>
      <c r="AH41" s="261">
        <f t="shared" si="13"/>
        <v>2056</v>
      </c>
      <c r="AI41" s="261">
        <f t="shared" si="13"/>
        <v>2057</v>
      </c>
      <c r="AJ41" s="261">
        <f t="shared" si="13"/>
        <v>2058</v>
      </c>
      <c r="AK41" s="261">
        <f t="shared" si="13"/>
        <v>2059</v>
      </c>
      <c r="AL41" s="261">
        <f t="shared" si="13"/>
        <v>2060</v>
      </c>
      <c r="AM41" s="261">
        <f t="shared" si="13"/>
        <v>2061</v>
      </c>
      <c r="AN41" s="261">
        <f t="shared" si="13"/>
        <v>2062</v>
      </c>
      <c r="AO41" s="261">
        <f t="shared" si="13"/>
        <v>2063</v>
      </c>
      <c r="AP41" s="261">
        <f t="shared" si="13"/>
        <v>2064</v>
      </c>
    </row>
    <row r="42" spans="2:42" x14ac:dyDescent="0.2">
      <c r="B42" s="256" t="s">
        <v>405</v>
      </c>
      <c r="C42" s="262">
        <f>SUM(D42:AP42)</f>
        <v>0</v>
      </c>
      <c r="D42" s="263">
        <v>0</v>
      </c>
      <c r="E42" s="263">
        <v>0</v>
      </c>
      <c r="F42" s="263">
        <v>0</v>
      </c>
      <c r="G42" s="263">
        <v>0</v>
      </c>
      <c r="H42" s="263">
        <v>0</v>
      </c>
      <c r="I42" s="263">
        <v>0</v>
      </c>
      <c r="J42" s="263">
        <v>0</v>
      </c>
      <c r="K42" s="263">
        <v>0</v>
      </c>
      <c r="L42" s="263">
        <v>0</v>
      </c>
      <c r="M42" s="263">
        <v>0</v>
      </c>
      <c r="N42" s="263">
        <v>0</v>
      </c>
      <c r="O42" s="263">
        <v>0</v>
      </c>
      <c r="P42" s="263">
        <v>0</v>
      </c>
      <c r="Q42" s="263">
        <v>0</v>
      </c>
      <c r="R42" s="263">
        <v>0</v>
      </c>
      <c r="S42" s="263">
        <v>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0</v>
      </c>
      <c r="AA42" s="263">
        <v>0</v>
      </c>
      <c r="AB42" s="263">
        <v>0</v>
      </c>
      <c r="AC42" s="263">
        <v>0</v>
      </c>
      <c r="AD42" s="263">
        <v>0</v>
      </c>
      <c r="AE42" s="263">
        <v>0</v>
      </c>
      <c r="AF42" s="263">
        <v>0</v>
      </c>
      <c r="AG42" s="263">
        <v>0</v>
      </c>
      <c r="AH42" s="263">
        <v>0</v>
      </c>
      <c r="AI42" s="263">
        <v>0</v>
      </c>
      <c r="AJ42" s="263">
        <v>0</v>
      </c>
      <c r="AK42" s="263">
        <v>0</v>
      </c>
      <c r="AL42" s="263">
        <v>0</v>
      </c>
      <c r="AM42" s="263">
        <v>0</v>
      </c>
      <c r="AN42" s="263">
        <v>0</v>
      </c>
      <c r="AO42" s="263">
        <v>0</v>
      </c>
      <c r="AP42" s="263">
        <v>0</v>
      </c>
    </row>
    <row r="43" spans="2:42" x14ac:dyDescent="0.2">
      <c r="B43" s="256" t="s">
        <v>406</v>
      </c>
      <c r="C43" s="262">
        <f t="shared" ref="C43:C49" si="14">SUM(D43:AP43)</f>
        <v>0</v>
      </c>
      <c r="D43" s="263">
        <v>0</v>
      </c>
      <c r="E43" s="263">
        <v>0</v>
      </c>
      <c r="F43" s="263">
        <v>0</v>
      </c>
      <c r="G43" s="263">
        <v>0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0</v>
      </c>
      <c r="R43" s="263">
        <v>0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</row>
    <row r="44" spans="2:42" x14ac:dyDescent="0.2">
      <c r="B44" s="256" t="s">
        <v>407</v>
      </c>
      <c r="C44" s="262">
        <f t="shared" si="14"/>
        <v>0</v>
      </c>
      <c r="D44" s="263">
        <v>0</v>
      </c>
      <c r="E44" s="263">
        <v>0</v>
      </c>
      <c r="F44" s="263">
        <v>0</v>
      </c>
      <c r="G44" s="263">
        <v>0</v>
      </c>
      <c r="H44" s="263">
        <v>0</v>
      </c>
      <c r="I44" s="263">
        <v>0</v>
      </c>
      <c r="J44" s="263">
        <v>0</v>
      </c>
      <c r="K44" s="263">
        <v>0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0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0</v>
      </c>
      <c r="AN44" s="263">
        <v>0</v>
      </c>
      <c r="AO44" s="263">
        <v>0</v>
      </c>
      <c r="AP44" s="263">
        <v>0</v>
      </c>
    </row>
    <row r="45" spans="2:42" x14ac:dyDescent="0.2">
      <c r="B45" s="256" t="s">
        <v>408</v>
      </c>
      <c r="C45" s="262">
        <f t="shared" si="14"/>
        <v>0</v>
      </c>
      <c r="D45" s="263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</row>
    <row r="46" spans="2:42" x14ac:dyDescent="0.2">
      <c r="B46" s="256" t="s">
        <v>136</v>
      </c>
      <c r="C46" s="262">
        <f t="shared" si="14"/>
        <v>0</v>
      </c>
      <c r="D46" s="263">
        <v>0</v>
      </c>
      <c r="E46" s="263">
        <v>0</v>
      </c>
      <c r="F46" s="263">
        <v>0</v>
      </c>
      <c r="G46" s="263">
        <v>0</v>
      </c>
      <c r="H46" s="263">
        <v>0</v>
      </c>
      <c r="I46" s="263">
        <v>0</v>
      </c>
      <c r="J46" s="263">
        <v>0</v>
      </c>
      <c r="K46" s="263">
        <v>0</v>
      </c>
      <c r="L46" s="263">
        <v>0</v>
      </c>
      <c r="M46" s="263">
        <v>0</v>
      </c>
      <c r="N46" s="263">
        <v>0</v>
      </c>
      <c r="O46" s="263">
        <v>0</v>
      </c>
      <c r="P46" s="263">
        <v>0</v>
      </c>
      <c r="Q46" s="263">
        <v>0</v>
      </c>
      <c r="R46" s="263">
        <v>0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0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0</v>
      </c>
      <c r="AN46" s="263">
        <v>0</v>
      </c>
      <c r="AO46" s="263">
        <v>0</v>
      </c>
      <c r="AP46" s="263">
        <v>0</v>
      </c>
    </row>
    <row r="47" spans="2:42" ht="11.85" customHeight="1" x14ac:dyDescent="0.2">
      <c r="B47" s="256" t="s">
        <v>133</v>
      </c>
      <c r="C47" s="262">
        <f t="shared" si="14"/>
        <v>0</v>
      </c>
      <c r="D47" s="263">
        <v>0</v>
      </c>
      <c r="E47" s="263">
        <v>0</v>
      </c>
      <c r="F47" s="263">
        <v>0</v>
      </c>
      <c r="G47" s="263">
        <v>0</v>
      </c>
      <c r="H47" s="263">
        <v>0</v>
      </c>
      <c r="I47" s="263">
        <v>0</v>
      </c>
      <c r="J47" s="263">
        <v>0</v>
      </c>
      <c r="K47" s="263">
        <v>0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0</v>
      </c>
      <c r="R47" s="263">
        <v>0</v>
      </c>
      <c r="S47" s="263">
        <v>0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0</v>
      </c>
      <c r="AE47" s="263">
        <v>0</v>
      </c>
      <c r="AF47" s="263">
        <v>0</v>
      </c>
      <c r="AG47" s="263">
        <v>0</v>
      </c>
      <c r="AH47" s="263">
        <v>0</v>
      </c>
      <c r="AI47" s="263">
        <v>0</v>
      </c>
      <c r="AJ47" s="263">
        <v>0</v>
      </c>
      <c r="AK47" s="263">
        <v>0</v>
      </c>
      <c r="AL47" s="263">
        <v>0</v>
      </c>
      <c r="AM47" s="263">
        <v>0</v>
      </c>
      <c r="AN47" s="263">
        <v>0</v>
      </c>
      <c r="AO47" s="263">
        <v>0</v>
      </c>
      <c r="AP47" s="263">
        <v>0</v>
      </c>
    </row>
    <row r="48" spans="2:42" x14ac:dyDescent="0.2">
      <c r="B48" s="256" t="s">
        <v>137</v>
      </c>
      <c r="C48" s="262">
        <f t="shared" si="14"/>
        <v>0</v>
      </c>
      <c r="D48" s="263">
        <v>0</v>
      </c>
      <c r="E48" s="263">
        <v>0</v>
      </c>
      <c r="F48" s="263">
        <v>0</v>
      </c>
      <c r="G48" s="263">
        <v>0</v>
      </c>
      <c r="H48" s="263">
        <v>0</v>
      </c>
      <c r="I48" s="263">
        <v>0</v>
      </c>
      <c r="J48" s="263">
        <v>0</v>
      </c>
      <c r="K48" s="263">
        <v>0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0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0</v>
      </c>
      <c r="AE48" s="263">
        <v>0</v>
      </c>
      <c r="AF48" s="263">
        <v>0</v>
      </c>
      <c r="AG48" s="263">
        <v>0</v>
      </c>
      <c r="AH48" s="263">
        <v>0</v>
      </c>
      <c r="AI48" s="263">
        <v>0</v>
      </c>
      <c r="AJ48" s="263">
        <v>0</v>
      </c>
      <c r="AK48" s="263">
        <v>0</v>
      </c>
      <c r="AL48" s="263">
        <v>0</v>
      </c>
      <c r="AM48" s="263">
        <v>0</v>
      </c>
      <c r="AN48" s="263">
        <v>0</v>
      </c>
      <c r="AO48" s="263">
        <v>0</v>
      </c>
      <c r="AP48" s="263">
        <v>0</v>
      </c>
    </row>
    <row r="49" spans="2:42" x14ac:dyDescent="0.2">
      <c r="B49" s="257" t="s">
        <v>35</v>
      </c>
      <c r="C49" s="264">
        <f t="shared" si="14"/>
        <v>0</v>
      </c>
      <c r="D49" s="264">
        <f t="shared" ref="D49:AP49" si="15">SUM(D42:D48)</f>
        <v>0</v>
      </c>
      <c r="E49" s="264">
        <f t="shared" si="15"/>
        <v>0</v>
      </c>
      <c r="F49" s="264">
        <f t="shared" si="15"/>
        <v>0</v>
      </c>
      <c r="G49" s="264">
        <f t="shared" si="15"/>
        <v>0</v>
      </c>
      <c r="H49" s="264">
        <f t="shared" si="15"/>
        <v>0</v>
      </c>
      <c r="I49" s="264">
        <f t="shared" si="15"/>
        <v>0</v>
      </c>
      <c r="J49" s="264">
        <f t="shared" si="15"/>
        <v>0</v>
      </c>
      <c r="K49" s="264">
        <f t="shared" si="15"/>
        <v>0</v>
      </c>
      <c r="L49" s="264">
        <f t="shared" si="15"/>
        <v>0</v>
      </c>
      <c r="M49" s="264">
        <f t="shared" si="15"/>
        <v>0</v>
      </c>
      <c r="N49" s="264">
        <f t="shared" si="15"/>
        <v>0</v>
      </c>
      <c r="O49" s="264">
        <f t="shared" si="15"/>
        <v>0</v>
      </c>
      <c r="P49" s="264">
        <f t="shared" si="15"/>
        <v>0</v>
      </c>
      <c r="Q49" s="264">
        <f t="shared" si="15"/>
        <v>0</v>
      </c>
      <c r="R49" s="264">
        <f t="shared" si="15"/>
        <v>0</v>
      </c>
      <c r="S49" s="264">
        <f t="shared" si="15"/>
        <v>0</v>
      </c>
      <c r="T49" s="264">
        <f t="shared" si="15"/>
        <v>0</v>
      </c>
      <c r="U49" s="264">
        <f t="shared" si="15"/>
        <v>0</v>
      </c>
      <c r="V49" s="264">
        <f t="shared" si="15"/>
        <v>0</v>
      </c>
      <c r="W49" s="264">
        <f t="shared" si="15"/>
        <v>0</v>
      </c>
      <c r="X49" s="264">
        <f t="shared" si="15"/>
        <v>0</v>
      </c>
      <c r="Y49" s="264">
        <f t="shared" si="15"/>
        <v>0</v>
      </c>
      <c r="Z49" s="264">
        <f t="shared" si="15"/>
        <v>0</v>
      </c>
      <c r="AA49" s="264">
        <f t="shared" si="15"/>
        <v>0</v>
      </c>
      <c r="AB49" s="264">
        <f t="shared" si="15"/>
        <v>0</v>
      </c>
      <c r="AC49" s="264">
        <f t="shared" si="15"/>
        <v>0</v>
      </c>
      <c r="AD49" s="264">
        <f t="shared" si="15"/>
        <v>0</v>
      </c>
      <c r="AE49" s="264">
        <f t="shared" si="15"/>
        <v>0</v>
      </c>
      <c r="AF49" s="264">
        <f t="shared" si="15"/>
        <v>0</v>
      </c>
      <c r="AG49" s="264">
        <f t="shared" si="15"/>
        <v>0</v>
      </c>
      <c r="AH49" s="264">
        <f t="shared" si="15"/>
        <v>0</v>
      </c>
      <c r="AI49" s="264">
        <f t="shared" si="15"/>
        <v>0</v>
      </c>
      <c r="AJ49" s="264">
        <f t="shared" si="15"/>
        <v>0</v>
      </c>
      <c r="AK49" s="264">
        <f t="shared" si="15"/>
        <v>0</v>
      </c>
      <c r="AL49" s="264">
        <f t="shared" si="15"/>
        <v>0</v>
      </c>
      <c r="AM49" s="264">
        <f t="shared" si="15"/>
        <v>0</v>
      </c>
      <c r="AN49" s="264">
        <f t="shared" si="15"/>
        <v>0</v>
      </c>
      <c r="AO49" s="264">
        <f t="shared" si="15"/>
        <v>0</v>
      </c>
      <c r="AP49" s="264">
        <f t="shared" si="15"/>
        <v>0</v>
      </c>
    </row>
    <row r="52" spans="2:42" x14ac:dyDescent="0.2">
      <c r="B52" s="256"/>
      <c r="C52" s="256"/>
      <c r="D52" s="256" t="s">
        <v>10</v>
      </c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</row>
    <row r="53" spans="2:42" x14ac:dyDescent="0.2">
      <c r="B53" s="257" t="s">
        <v>447</v>
      </c>
      <c r="C53" s="257"/>
      <c r="D53" s="258">
        <v>1</v>
      </c>
      <c r="E53" s="258">
        <v>2</v>
      </c>
      <c r="F53" s="258">
        <v>3</v>
      </c>
      <c r="G53" s="258">
        <v>4</v>
      </c>
      <c r="H53" s="258">
        <v>5</v>
      </c>
      <c r="I53" s="258">
        <v>6</v>
      </c>
      <c r="J53" s="258">
        <v>7</v>
      </c>
      <c r="K53" s="258">
        <v>8</v>
      </c>
      <c r="L53" s="258">
        <v>9</v>
      </c>
      <c r="M53" s="258">
        <v>10</v>
      </c>
      <c r="N53" s="258">
        <v>11</v>
      </c>
      <c r="O53" s="258">
        <v>12</v>
      </c>
      <c r="P53" s="258">
        <v>13</v>
      </c>
      <c r="Q53" s="258">
        <v>14</v>
      </c>
      <c r="R53" s="258">
        <v>15</v>
      </c>
      <c r="S53" s="258">
        <v>16</v>
      </c>
      <c r="T53" s="258">
        <v>17</v>
      </c>
      <c r="U53" s="258">
        <v>18</v>
      </c>
      <c r="V53" s="258">
        <v>19</v>
      </c>
      <c r="W53" s="258">
        <v>20</v>
      </c>
      <c r="X53" s="258">
        <v>21</v>
      </c>
      <c r="Y53" s="258">
        <v>22</v>
      </c>
      <c r="Z53" s="258">
        <v>23</v>
      </c>
      <c r="AA53" s="258">
        <v>24</v>
      </c>
      <c r="AB53" s="258">
        <v>25</v>
      </c>
      <c r="AC53" s="258">
        <v>26</v>
      </c>
      <c r="AD53" s="258">
        <v>27</v>
      </c>
      <c r="AE53" s="258">
        <v>28</v>
      </c>
      <c r="AF53" s="258">
        <v>29</v>
      </c>
      <c r="AG53" s="258">
        <v>30</v>
      </c>
      <c r="AH53" s="258">
        <v>31</v>
      </c>
      <c r="AI53" s="258">
        <v>32</v>
      </c>
      <c r="AJ53" s="258">
        <v>33</v>
      </c>
      <c r="AK53" s="258">
        <v>34</v>
      </c>
      <c r="AL53" s="258">
        <v>35</v>
      </c>
      <c r="AM53" s="258">
        <v>36</v>
      </c>
      <c r="AN53" s="258">
        <v>37</v>
      </c>
      <c r="AO53" s="258">
        <v>38</v>
      </c>
      <c r="AP53" s="258">
        <v>39</v>
      </c>
    </row>
    <row r="54" spans="2:42" x14ac:dyDescent="0.2">
      <c r="B54" s="259" t="s">
        <v>63</v>
      </c>
      <c r="C54" s="260" t="s">
        <v>9</v>
      </c>
      <c r="D54" s="261">
        <f t="shared" ref="D54:AP54" si="16">D4</f>
        <v>2026</v>
      </c>
      <c r="E54" s="261">
        <f t="shared" si="16"/>
        <v>2027</v>
      </c>
      <c r="F54" s="261">
        <f t="shared" si="16"/>
        <v>2028</v>
      </c>
      <c r="G54" s="261">
        <f t="shared" si="16"/>
        <v>2029</v>
      </c>
      <c r="H54" s="261">
        <f t="shared" si="16"/>
        <v>2030</v>
      </c>
      <c r="I54" s="261">
        <f t="shared" si="16"/>
        <v>2031</v>
      </c>
      <c r="J54" s="261">
        <f t="shared" si="16"/>
        <v>2032</v>
      </c>
      <c r="K54" s="261">
        <f t="shared" si="16"/>
        <v>2033</v>
      </c>
      <c r="L54" s="261">
        <f t="shared" si="16"/>
        <v>2034</v>
      </c>
      <c r="M54" s="261">
        <f t="shared" si="16"/>
        <v>2035</v>
      </c>
      <c r="N54" s="261">
        <f t="shared" si="16"/>
        <v>2036</v>
      </c>
      <c r="O54" s="261">
        <f t="shared" si="16"/>
        <v>2037</v>
      </c>
      <c r="P54" s="261">
        <f t="shared" si="16"/>
        <v>2038</v>
      </c>
      <c r="Q54" s="261">
        <f t="shared" si="16"/>
        <v>2039</v>
      </c>
      <c r="R54" s="261">
        <f t="shared" si="16"/>
        <v>2040</v>
      </c>
      <c r="S54" s="261">
        <f t="shared" si="16"/>
        <v>2041</v>
      </c>
      <c r="T54" s="261">
        <f t="shared" si="16"/>
        <v>2042</v>
      </c>
      <c r="U54" s="261">
        <f t="shared" si="16"/>
        <v>2043</v>
      </c>
      <c r="V54" s="261">
        <f t="shared" si="16"/>
        <v>2044</v>
      </c>
      <c r="W54" s="261">
        <f t="shared" si="16"/>
        <v>2045</v>
      </c>
      <c r="X54" s="261">
        <f t="shared" si="16"/>
        <v>2046</v>
      </c>
      <c r="Y54" s="261">
        <f t="shared" si="16"/>
        <v>2047</v>
      </c>
      <c r="Z54" s="261">
        <f t="shared" si="16"/>
        <v>2048</v>
      </c>
      <c r="AA54" s="261">
        <f t="shared" si="16"/>
        <v>2049</v>
      </c>
      <c r="AB54" s="261">
        <f t="shared" si="16"/>
        <v>2050</v>
      </c>
      <c r="AC54" s="261">
        <f t="shared" si="16"/>
        <v>2051</v>
      </c>
      <c r="AD54" s="261">
        <f t="shared" si="16"/>
        <v>2052</v>
      </c>
      <c r="AE54" s="261">
        <f t="shared" si="16"/>
        <v>2053</v>
      </c>
      <c r="AF54" s="261">
        <f t="shared" si="16"/>
        <v>2054</v>
      </c>
      <c r="AG54" s="261">
        <f t="shared" si="16"/>
        <v>2055</v>
      </c>
      <c r="AH54" s="261">
        <f t="shared" si="16"/>
        <v>2056</v>
      </c>
      <c r="AI54" s="261">
        <f t="shared" si="16"/>
        <v>2057</v>
      </c>
      <c r="AJ54" s="261">
        <f t="shared" si="16"/>
        <v>2058</v>
      </c>
      <c r="AK54" s="261">
        <f t="shared" si="16"/>
        <v>2059</v>
      </c>
      <c r="AL54" s="261">
        <f t="shared" si="16"/>
        <v>2060</v>
      </c>
      <c r="AM54" s="261">
        <f t="shared" si="16"/>
        <v>2061</v>
      </c>
      <c r="AN54" s="261">
        <f t="shared" si="16"/>
        <v>2062</v>
      </c>
      <c r="AO54" s="261">
        <f t="shared" si="16"/>
        <v>2063</v>
      </c>
      <c r="AP54" s="261">
        <f t="shared" si="16"/>
        <v>2064</v>
      </c>
    </row>
    <row r="55" spans="2:42" x14ac:dyDescent="0.2">
      <c r="B55" s="256" t="s">
        <v>405</v>
      </c>
      <c r="C55" s="262">
        <f>SUM(D55:AP55)</f>
        <v>0</v>
      </c>
      <c r="D55" s="262">
        <f>D29-D42</f>
        <v>0</v>
      </c>
      <c r="E55" s="262">
        <f t="shared" ref="E55:AP61" si="17">E29-E42</f>
        <v>0</v>
      </c>
      <c r="F55" s="262">
        <f t="shared" si="17"/>
        <v>0</v>
      </c>
      <c r="G55" s="262">
        <f t="shared" si="17"/>
        <v>0</v>
      </c>
      <c r="H55" s="262">
        <f t="shared" si="17"/>
        <v>0</v>
      </c>
      <c r="I55" s="262">
        <f t="shared" si="17"/>
        <v>0</v>
      </c>
      <c r="J55" s="262">
        <f t="shared" si="17"/>
        <v>0</v>
      </c>
      <c r="K55" s="262">
        <f t="shared" si="17"/>
        <v>0</v>
      </c>
      <c r="L55" s="262">
        <f t="shared" si="17"/>
        <v>0</v>
      </c>
      <c r="M55" s="262">
        <f t="shared" si="17"/>
        <v>0</v>
      </c>
      <c r="N55" s="262">
        <f t="shared" si="17"/>
        <v>0</v>
      </c>
      <c r="O55" s="262">
        <f t="shared" si="17"/>
        <v>0</v>
      </c>
      <c r="P55" s="262">
        <f t="shared" si="17"/>
        <v>0</v>
      </c>
      <c r="Q55" s="262">
        <f t="shared" si="17"/>
        <v>0</v>
      </c>
      <c r="R55" s="262">
        <f t="shared" si="17"/>
        <v>0</v>
      </c>
      <c r="S55" s="262">
        <f t="shared" si="17"/>
        <v>0</v>
      </c>
      <c r="T55" s="262">
        <f t="shared" si="17"/>
        <v>0</v>
      </c>
      <c r="U55" s="262">
        <f t="shared" si="17"/>
        <v>0</v>
      </c>
      <c r="V55" s="262">
        <f t="shared" si="17"/>
        <v>0</v>
      </c>
      <c r="W55" s="262">
        <f t="shared" si="17"/>
        <v>0</v>
      </c>
      <c r="X55" s="262">
        <f t="shared" si="17"/>
        <v>0</v>
      </c>
      <c r="Y55" s="262">
        <f t="shared" si="17"/>
        <v>0</v>
      </c>
      <c r="Z55" s="262">
        <f t="shared" si="17"/>
        <v>0</v>
      </c>
      <c r="AA55" s="262">
        <f t="shared" si="17"/>
        <v>0</v>
      </c>
      <c r="AB55" s="262">
        <f t="shared" si="17"/>
        <v>0</v>
      </c>
      <c r="AC55" s="262">
        <f t="shared" si="17"/>
        <v>0</v>
      </c>
      <c r="AD55" s="262">
        <f t="shared" si="17"/>
        <v>0</v>
      </c>
      <c r="AE55" s="262">
        <f t="shared" si="17"/>
        <v>0</v>
      </c>
      <c r="AF55" s="262">
        <f t="shared" si="17"/>
        <v>0</v>
      </c>
      <c r="AG55" s="262">
        <f t="shared" si="17"/>
        <v>0</v>
      </c>
      <c r="AH55" s="262">
        <f t="shared" si="17"/>
        <v>0</v>
      </c>
      <c r="AI55" s="262">
        <f t="shared" si="17"/>
        <v>0</v>
      </c>
      <c r="AJ55" s="262">
        <f t="shared" si="17"/>
        <v>0</v>
      </c>
      <c r="AK55" s="262">
        <f t="shared" si="17"/>
        <v>0</v>
      </c>
      <c r="AL55" s="262">
        <f t="shared" si="17"/>
        <v>0</v>
      </c>
      <c r="AM55" s="262">
        <f t="shared" si="17"/>
        <v>0</v>
      </c>
      <c r="AN55" s="262">
        <f t="shared" si="17"/>
        <v>0</v>
      </c>
      <c r="AO55" s="262">
        <f t="shared" si="17"/>
        <v>0</v>
      </c>
      <c r="AP55" s="262">
        <f t="shared" si="17"/>
        <v>0</v>
      </c>
    </row>
    <row r="56" spans="2:42" x14ac:dyDescent="0.2">
      <c r="B56" s="256" t="s">
        <v>406</v>
      </c>
      <c r="C56" s="262">
        <f t="shared" ref="C56:C62" si="18">SUM(D56:AP56)</f>
        <v>0</v>
      </c>
      <c r="D56" s="262">
        <f t="shared" ref="D56:S61" si="19">D30-D43</f>
        <v>0</v>
      </c>
      <c r="E56" s="262">
        <f t="shared" si="19"/>
        <v>0</v>
      </c>
      <c r="F56" s="262">
        <f t="shared" si="19"/>
        <v>0</v>
      </c>
      <c r="G56" s="262">
        <f t="shared" si="19"/>
        <v>0</v>
      </c>
      <c r="H56" s="262">
        <f t="shared" si="19"/>
        <v>0</v>
      </c>
      <c r="I56" s="262">
        <f t="shared" si="19"/>
        <v>0</v>
      </c>
      <c r="J56" s="262">
        <f t="shared" si="19"/>
        <v>0</v>
      </c>
      <c r="K56" s="262">
        <f t="shared" si="19"/>
        <v>0</v>
      </c>
      <c r="L56" s="262">
        <f t="shared" si="19"/>
        <v>0</v>
      </c>
      <c r="M56" s="262">
        <f t="shared" si="19"/>
        <v>0</v>
      </c>
      <c r="N56" s="262">
        <f t="shared" si="19"/>
        <v>0</v>
      </c>
      <c r="O56" s="262">
        <f t="shared" si="19"/>
        <v>0</v>
      </c>
      <c r="P56" s="262">
        <f t="shared" si="19"/>
        <v>0</v>
      </c>
      <c r="Q56" s="262">
        <f t="shared" si="19"/>
        <v>0</v>
      </c>
      <c r="R56" s="262">
        <f t="shared" si="19"/>
        <v>0</v>
      </c>
      <c r="S56" s="262">
        <f t="shared" si="19"/>
        <v>0</v>
      </c>
      <c r="T56" s="262">
        <f t="shared" si="17"/>
        <v>0</v>
      </c>
      <c r="U56" s="262">
        <f t="shared" si="17"/>
        <v>0</v>
      </c>
      <c r="V56" s="262">
        <f t="shared" si="17"/>
        <v>0</v>
      </c>
      <c r="W56" s="262">
        <f t="shared" si="17"/>
        <v>0</v>
      </c>
      <c r="X56" s="262">
        <f t="shared" si="17"/>
        <v>0</v>
      </c>
      <c r="Y56" s="262">
        <f t="shared" si="17"/>
        <v>0</v>
      </c>
      <c r="Z56" s="262">
        <f t="shared" si="17"/>
        <v>0</v>
      </c>
      <c r="AA56" s="262">
        <f t="shared" si="17"/>
        <v>0</v>
      </c>
      <c r="AB56" s="262">
        <f t="shared" si="17"/>
        <v>0</v>
      </c>
      <c r="AC56" s="262">
        <f t="shared" si="17"/>
        <v>0</v>
      </c>
      <c r="AD56" s="262">
        <f t="shared" si="17"/>
        <v>0</v>
      </c>
      <c r="AE56" s="262">
        <f t="shared" si="17"/>
        <v>0</v>
      </c>
      <c r="AF56" s="262">
        <f t="shared" si="17"/>
        <v>0</v>
      </c>
      <c r="AG56" s="262">
        <f t="shared" si="17"/>
        <v>0</v>
      </c>
      <c r="AH56" s="262">
        <f t="shared" si="17"/>
        <v>0</v>
      </c>
      <c r="AI56" s="262">
        <f t="shared" si="17"/>
        <v>0</v>
      </c>
      <c r="AJ56" s="262">
        <f t="shared" si="17"/>
        <v>0</v>
      </c>
      <c r="AK56" s="262">
        <f t="shared" si="17"/>
        <v>0</v>
      </c>
      <c r="AL56" s="262">
        <f t="shared" si="17"/>
        <v>0</v>
      </c>
      <c r="AM56" s="262">
        <f t="shared" si="17"/>
        <v>0</v>
      </c>
      <c r="AN56" s="262">
        <f t="shared" si="17"/>
        <v>0</v>
      </c>
      <c r="AO56" s="262">
        <f t="shared" si="17"/>
        <v>0</v>
      </c>
      <c r="AP56" s="262">
        <f t="shared" si="17"/>
        <v>0</v>
      </c>
    </row>
    <row r="57" spans="2:42" x14ac:dyDescent="0.2">
      <c r="B57" s="256" t="s">
        <v>407</v>
      </c>
      <c r="C57" s="262">
        <f t="shared" si="18"/>
        <v>0</v>
      </c>
      <c r="D57" s="262">
        <f t="shared" si="19"/>
        <v>0</v>
      </c>
      <c r="E57" s="262">
        <f t="shared" si="17"/>
        <v>0</v>
      </c>
      <c r="F57" s="262">
        <f t="shared" si="17"/>
        <v>0</v>
      </c>
      <c r="G57" s="262">
        <f t="shared" si="17"/>
        <v>0</v>
      </c>
      <c r="H57" s="262">
        <f t="shared" si="17"/>
        <v>0</v>
      </c>
      <c r="I57" s="262">
        <f t="shared" si="17"/>
        <v>0</v>
      </c>
      <c r="J57" s="262">
        <f t="shared" si="17"/>
        <v>0</v>
      </c>
      <c r="K57" s="262">
        <f t="shared" si="17"/>
        <v>0</v>
      </c>
      <c r="L57" s="262">
        <f t="shared" si="17"/>
        <v>0</v>
      </c>
      <c r="M57" s="262">
        <f t="shared" si="17"/>
        <v>0</v>
      </c>
      <c r="N57" s="262">
        <f t="shared" si="17"/>
        <v>0</v>
      </c>
      <c r="O57" s="262">
        <f t="shared" si="17"/>
        <v>0</v>
      </c>
      <c r="P57" s="262">
        <f t="shared" si="17"/>
        <v>0</v>
      </c>
      <c r="Q57" s="262">
        <f t="shared" si="17"/>
        <v>0</v>
      </c>
      <c r="R57" s="262">
        <f t="shared" si="17"/>
        <v>0</v>
      </c>
      <c r="S57" s="262">
        <f t="shared" si="17"/>
        <v>0</v>
      </c>
      <c r="T57" s="262">
        <f t="shared" si="17"/>
        <v>0</v>
      </c>
      <c r="U57" s="262">
        <f t="shared" si="17"/>
        <v>0</v>
      </c>
      <c r="V57" s="262">
        <f t="shared" si="17"/>
        <v>0</v>
      </c>
      <c r="W57" s="262">
        <f t="shared" si="17"/>
        <v>0</v>
      </c>
      <c r="X57" s="262">
        <f t="shared" si="17"/>
        <v>0</v>
      </c>
      <c r="Y57" s="262">
        <f t="shared" si="17"/>
        <v>0</v>
      </c>
      <c r="Z57" s="262">
        <f t="shared" si="17"/>
        <v>0</v>
      </c>
      <c r="AA57" s="262">
        <f t="shared" si="17"/>
        <v>0</v>
      </c>
      <c r="AB57" s="262">
        <f t="shared" si="17"/>
        <v>0</v>
      </c>
      <c r="AC57" s="262">
        <f t="shared" si="17"/>
        <v>0</v>
      </c>
      <c r="AD57" s="262">
        <f t="shared" si="17"/>
        <v>0</v>
      </c>
      <c r="AE57" s="262">
        <f t="shared" si="17"/>
        <v>0</v>
      </c>
      <c r="AF57" s="262">
        <f t="shared" si="17"/>
        <v>0</v>
      </c>
      <c r="AG57" s="262">
        <f t="shared" si="17"/>
        <v>0</v>
      </c>
      <c r="AH57" s="262">
        <f t="shared" si="17"/>
        <v>0</v>
      </c>
      <c r="AI57" s="262">
        <f t="shared" si="17"/>
        <v>0</v>
      </c>
      <c r="AJ57" s="262">
        <f t="shared" si="17"/>
        <v>0</v>
      </c>
      <c r="AK57" s="262">
        <f t="shared" si="17"/>
        <v>0</v>
      </c>
      <c r="AL57" s="262">
        <f t="shared" si="17"/>
        <v>0</v>
      </c>
      <c r="AM57" s="262">
        <f t="shared" si="17"/>
        <v>0</v>
      </c>
      <c r="AN57" s="262">
        <f t="shared" si="17"/>
        <v>0</v>
      </c>
      <c r="AO57" s="262">
        <f t="shared" si="17"/>
        <v>0</v>
      </c>
      <c r="AP57" s="262">
        <f t="shared" si="17"/>
        <v>0</v>
      </c>
    </row>
    <row r="58" spans="2:42" x14ac:dyDescent="0.2">
      <c r="B58" s="256" t="s">
        <v>408</v>
      </c>
      <c r="C58" s="262">
        <f t="shared" si="18"/>
        <v>0</v>
      </c>
      <c r="D58" s="262">
        <f t="shared" si="19"/>
        <v>0</v>
      </c>
      <c r="E58" s="262">
        <f t="shared" si="17"/>
        <v>0</v>
      </c>
      <c r="F58" s="262">
        <f t="shared" si="17"/>
        <v>0</v>
      </c>
      <c r="G58" s="262">
        <f t="shared" si="17"/>
        <v>0</v>
      </c>
      <c r="H58" s="262">
        <f t="shared" si="17"/>
        <v>0</v>
      </c>
      <c r="I58" s="262">
        <f t="shared" si="17"/>
        <v>0</v>
      </c>
      <c r="J58" s="262">
        <f t="shared" si="17"/>
        <v>0</v>
      </c>
      <c r="K58" s="262">
        <f t="shared" si="17"/>
        <v>0</v>
      </c>
      <c r="L58" s="262">
        <f t="shared" si="17"/>
        <v>0</v>
      </c>
      <c r="M58" s="262">
        <f t="shared" si="17"/>
        <v>0</v>
      </c>
      <c r="N58" s="262">
        <f t="shared" si="17"/>
        <v>0</v>
      </c>
      <c r="O58" s="262">
        <f t="shared" si="17"/>
        <v>0</v>
      </c>
      <c r="P58" s="262">
        <f t="shared" si="17"/>
        <v>0</v>
      </c>
      <c r="Q58" s="262">
        <f t="shared" si="17"/>
        <v>0</v>
      </c>
      <c r="R58" s="262">
        <f t="shared" si="17"/>
        <v>0</v>
      </c>
      <c r="S58" s="262">
        <f t="shared" si="17"/>
        <v>0</v>
      </c>
      <c r="T58" s="262">
        <f t="shared" si="17"/>
        <v>0</v>
      </c>
      <c r="U58" s="262">
        <f t="shared" si="17"/>
        <v>0</v>
      </c>
      <c r="V58" s="262">
        <f t="shared" si="17"/>
        <v>0</v>
      </c>
      <c r="W58" s="262">
        <f t="shared" si="17"/>
        <v>0</v>
      </c>
      <c r="X58" s="262">
        <f t="shared" si="17"/>
        <v>0</v>
      </c>
      <c r="Y58" s="262">
        <f t="shared" si="17"/>
        <v>0</v>
      </c>
      <c r="Z58" s="262">
        <f t="shared" si="17"/>
        <v>0</v>
      </c>
      <c r="AA58" s="262">
        <f t="shared" si="17"/>
        <v>0</v>
      </c>
      <c r="AB58" s="262">
        <f t="shared" si="17"/>
        <v>0</v>
      </c>
      <c r="AC58" s="262">
        <f t="shared" si="17"/>
        <v>0</v>
      </c>
      <c r="AD58" s="262">
        <f t="shared" si="17"/>
        <v>0</v>
      </c>
      <c r="AE58" s="262">
        <f t="shared" si="17"/>
        <v>0</v>
      </c>
      <c r="AF58" s="262">
        <f t="shared" si="17"/>
        <v>0</v>
      </c>
      <c r="AG58" s="262">
        <f t="shared" si="17"/>
        <v>0</v>
      </c>
      <c r="AH58" s="262">
        <f t="shared" si="17"/>
        <v>0</v>
      </c>
      <c r="AI58" s="262">
        <f t="shared" si="17"/>
        <v>0</v>
      </c>
      <c r="AJ58" s="262">
        <f t="shared" si="17"/>
        <v>0</v>
      </c>
      <c r="AK58" s="262">
        <f t="shared" si="17"/>
        <v>0</v>
      </c>
      <c r="AL58" s="262">
        <f t="shared" si="17"/>
        <v>0</v>
      </c>
      <c r="AM58" s="262">
        <f t="shared" si="17"/>
        <v>0</v>
      </c>
      <c r="AN58" s="262">
        <f t="shared" si="17"/>
        <v>0</v>
      </c>
      <c r="AO58" s="262">
        <f t="shared" si="17"/>
        <v>0</v>
      </c>
      <c r="AP58" s="262">
        <f t="shared" si="17"/>
        <v>0</v>
      </c>
    </row>
    <row r="59" spans="2:42" x14ac:dyDescent="0.2">
      <c r="B59" s="256" t="s">
        <v>136</v>
      </c>
      <c r="C59" s="262">
        <f t="shared" si="18"/>
        <v>0</v>
      </c>
      <c r="D59" s="262">
        <f t="shared" si="19"/>
        <v>0</v>
      </c>
      <c r="E59" s="262">
        <f t="shared" si="17"/>
        <v>0</v>
      </c>
      <c r="F59" s="262">
        <f t="shared" si="17"/>
        <v>0</v>
      </c>
      <c r="G59" s="262">
        <f t="shared" si="17"/>
        <v>0</v>
      </c>
      <c r="H59" s="262">
        <f t="shared" si="17"/>
        <v>0</v>
      </c>
      <c r="I59" s="262">
        <f t="shared" si="17"/>
        <v>0</v>
      </c>
      <c r="J59" s="262">
        <f t="shared" si="17"/>
        <v>0</v>
      </c>
      <c r="K59" s="262">
        <f t="shared" si="17"/>
        <v>0</v>
      </c>
      <c r="L59" s="262">
        <f t="shared" si="17"/>
        <v>0</v>
      </c>
      <c r="M59" s="262">
        <f t="shared" si="17"/>
        <v>0</v>
      </c>
      <c r="N59" s="262">
        <f t="shared" si="17"/>
        <v>0</v>
      </c>
      <c r="O59" s="262">
        <f t="shared" si="17"/>
        <v>0</v>
      </c>
      <c r="P59" s="262">
        <f t="shared" si="17"/>
        <v>0</v>
      </c>
      <c r="Q59" s="262">
        <f t="shared" si="17"/>
        <v>0</v>
      </c>
      <c r="R59" s="262">
        <f t="shared" si="17"/>
        <v>0</v>
      </c>
      <c r="S59" s="262">
        <f t="shared" si="17"/>
        <v>0</v>
      </c>
      <c r="T59" s="262">
        <f t="shared" si="17"/>
        <v>0</v>
      </c>
      <c r="U59" s="262">
        <f t="shared" si="17"/>
        <v>0</v>
      </c>
      <c r="V59" s="262">
        <f t="shared" si="17"/>
        <v>0</v>
      </c>
      <c r="W59" s="262">
        <f t="shared" si="17"/>
        <v>0</v>
      </c>
      <c r="X59" s="262">
        <f t="shared" si="17"/>
        <v>0</v>
      </c>
      <c r="Y59" s="262">
        <f t="shared" si="17"/>
        <v>0</v>
      </c>
      <c r="Z59" s="262">
        <f t="shared" si="17"/>
        <v>0</v>
      </c>
      <c r="AA59" s="262">
        <f t="shared" si="17"/>
        <v>0</v>
      </c>
      <c r="AB59" s="262">
        <f t="shared" si="17"/>
        <v>0</v>
      </c>
      <c r="AC59" s="262">
        <f t="shared" si="17"/>
        <v>0</v>
      </c>
      <c r="AD59" s="262">
        <f t="shared" si="17"/>
        <v>0</v>
      </c>
      <c r="AE59" s="262">
        <f t="shared" si="17"/>
        <v>0</v>
      </c>
      <c r="AF59" s="262">
        <f t="shared" si="17"/>
        <v>0</v>
      </c>
      <c r="AG59" s="262">
        <f t="shared" si="17"/>
        <v>0</v>
      </c>
      <c r="AH59" s="262">
        <f t="shared" si="17"/>
        <v>0</v>
      </c>
      <c r="AI59" s="262">
        <f t="shared" si="17"/>
        <v>0</v>
      </c>
      <c r="AJ59" s="262">
        <f t="shared" si="17"/>
        <v>0</v>
      </c>
      <c r="AK59" s="262">
        <f t="shared" si="17"/>
        <v>0</v>
      </c>
      <c r="AL59" s="262">
        <f t="shared" si="17"/>
        <v>0</v>
      </c>
      <c r="AM59" s="262">
        <f t="shared" si="17"/>
        <v>0</v>
      </c>
      <c r="AN59" s="262">
        <f t="shared" si="17"/>
        <v>0</v>
      </c>
      <c r="AO59" s="262">
        <f t="shared" si="17"/>
        <v>0</v>
      </c>
      <c r="AP59" s="262">
        <f t="shared" si="17"/>
        <v>0</v>
      </c>
    </row>
    <row r="60" spans="2:42" ht="11.85" customHeight="1" x14ac:dyDescent="0.2">
      <c r="B60" s="256" t="s">
        <v>133</v>
      </c>
      <c r="C60" s="262">
        <f t="shared" si="18"/>
        <v>0</v>
      </c>
      <c r="D60" s="262">
        <f t="shared" si="19"/>
        <v>0</v>
      </c>
      <c r="E60" s="262">
        <f t="shared" si="17"/>
        <v>0</v>
      </c>
      <c r="F60" s="262">
        <f t="shared" si="17"/>
        <v>0</v>
      </c>
      <c r="G60" s="262">
        <f t="shared" si="17"/>
        <v>0</v>
      </c>
      <c r="H60" s="262">
        <f t="shared" si="17"/>
        <v>0</v>
      </c>
      <c r="I60" s="262">
        <f t="shared" si="17"/>
        <v>0</v>
      </c>
      <c r="J60" s="262">
        <f t="shared" si="17"/>
        <v>0</v>
      </c>
      <c r="K60" s="262">
        <f t="shared" si="17"/>
        <v>0</v>
      </c>
      <c r="L60" s="262">
        <f t="shared" si="17"/>
        <v>0</v>
      </c>
      <c r="M60" s="262">
        <f t="shared" si="17"/>
        <v>0</v>
      </c>
      <c r="N60" s="262">
        <f t="shared" si="17"/>
        <v>0</v>
      </c>
      <c r="O60" s="262">
        <f t="shared" si="17"/>
        <v>0</v>
      </c>
      <c r="P60" s="262">
        <f t="shared" si="17"/>
        <v>0</v>
      </c>
      <c r="Q60" s="262">
        <f t="shared" si="17"/>
        <v>0</v>
      </c>
      <c r="R60" s="262">
        <f t="shared" si="17"/>
        <v>0</v>
      </c>
      <c r="S60" s="262">
        <f t="shared" si="17"/>
        <v>0</v>
      </c>
      <c r="T60" s="262">
        <f t="shared" si="17"/>
        <v>0</v>
      </c>
      <c r="U60" s="262">
        <f t="shared" si="17"/>
        <v>0</v>
      </c>
      <c r="V60" s="262">
        <f t="shared" si="17"/>
        <v>0</v>
      </c>
      <c r="W60" s="262">
        <f t="shared" si="17"/>
        <v>0</v>
      </c>
      <c r="X60" s="262">
        <f t="shared" si="17"/>
        <v>0</v>
      </c>
      <c r="Y60" s="262">
        <f t="shared" si="17"/>
        <v>0</v>
      </c>
      <c r="Z60" s="262">
        <f t="shared" si="17"/>
        <v>0</v>
      </c>
      <c r="AA60" s="262">
        <f t="shared" si="17"/>
        <v>0</v>
      </c>
      <c r="AB60" s="262">
        <f t="shared" si="17"/>
        <v>0</v>
      </c>
      <c r="AC60" s="262">
        <f t="shared" si="17"/>
        <v>0</v>
      </c>
      <c r="AD60" s="262">
        <f t="shared" si="17"/>
        <v>0</v>
      </c>
      <c r="AE60" s="262">
        <f t="shared" si="17"/>
        <v>0</v>
      </c>
      <c r="AF60" s="262">
        <f t="shared" si="17"/>
        <v>0</v>
      </c>
      <c r="AG60" s="262">
        <f t="shared" si="17"/>
        <v>0</v>
      </c>
      <c r="AH60" s="262">
        <f t="shared" si="17"/>
        <v>0</v>
      </c>
      <c r="AI60" s="262">
        <f t="shared" si="17"/>
        <v>0</v>
      </c>
      <c r="AJ60" s="262">
        <f t="shared" si="17"/>
        <v>0</v>
      </c>
      <c r="AK60" s="262">
        <f t="shared" si="17"/>
        <v>0</v>
      </c>
      <c r="AL60" s="262">
        <f t="shared" si="17"/>
        <v>0</v>
      </c>
      <c r="AM60" s="262">
        <f t="shared" si="17"/>
        <v>0</v>
      </c>
      <c r="AN60" s="262">
        <f t="shared" si="17"/>
        <v>0</v>
      </c>
      <c r="AO60" s="262">
        <f t="shared" si="17"/>
        <v>0</v>
      </c>
      <c r="AP60" s="262">
        <f t="shared" si="17"/>
        <v>0</v>
      </c>
    </row>
    <row r="61" spans="2:42" x14ac:dyDescent="0.2">
      <c r="B61" s="256" t="s">
        <v>137</v>
      </c>
      <c r="C61" s="262">
        <f t="shared" si="18"/>
        <v>0</v>
      </c>
      <c r="D61" s="262">
        <f t="shared" si="19"/>
        <v>0</v>
      </c>
      <c r="E61" s="262">
        <f t="shared" si="17"/>
        <v>0</v>
      </c>
      <c r="F61" s="262">
        <f t="shared" si="17"/>
        <v>0</v>
      </c>
      <c r="G61" s="262">
        <f t="shared" si="17"/>
        <v>0</v>
      </c>
      <c r="H61" s="262">
        <f t="shared" si="17"/>
        <v>0</v>
      </c>
      <c r="I61" s="262">
        <f t="shared" si="17"/>
        <v>0</v>
      </c>
      <c r="J61" s="262">
        <f t="shared" si="17"/>
        <v>0</v>
      </c>
      <c r="K61" s="262">
        <f t="shared" si="17"/>
        <v>0</v>
      </c>
      <c r="L61" s="262">
        <f t="shared" si="17"/>
        <v>0</v>
      </c>
      <c r="M61" s="262">
        <f t="shared" si="17"/>
        <v>0</v>
      </c>
      <c r="N61" s="262">
        <f t="shared" si="17"/>
        <v>0</v>
      </c>
      <c r="O61" s="262">
        <f t="shared" si="17"/>
        <v>0</v>
      </c>
      <c r="P61" s="262">
        <f t="shared" si="17"/>
        <v>0</v>
      </c>
      <c r="Q61" s="262">
        <f t="shared" si="17"/>
        <v>0</v>
      </c>
      <c r="R61" s="262">
        <f t="shared" si="17"/>
        <v>0</v>
      </c>
      <c r="S61" s="262">
        <f t="shared" si="17"/>
        <v>0</v>
      </c>
      <c r="T61" s="262">
        <f t="shared" si="17"/>
        <v>0</v>
      </c>
      <c r="U61" s="262">
        <f t="shared" si="17"/>
        <v>0</v>
      </c>
      <c r="V61" s="262">
        <f t="shared" si="17"/>
        <v>0</v>
      </c>
      <c r="W61" s="262">
        <f t="shared" si="17"/>
        <v>0</v>
      </c>
      <c r="X61" s="262">
        <f t="shared" si="17"/>
        <v>0</v>
      </c>
      <c r="Y61" s="262">
        <f t="shared" si="17"/>
        <v>0</v>
      </c>
      <c r="Z61" s="262">
        <f t="shared" si="17"/>
        <v>0</v>
      </c>
      <c r="AA61" s="262">
        <f t="shared" si="17"/>
        <v>0</v>
      </c>
      <c r="AB61" s="262">
        <f t="shared" si="17"/>
        <v>0</v>
      </c>
      <c r="AC61" s="262">
        <f t="shared" si="17"/>
        <v>0</v>
      </c>
      <c r="AD61" s="262">
        <f t="shared" si="17"/>
        <v>0</v>
      </c>
      <c r="AE61" s="262">
        <f t="shared" si="17"/>
        <v>0</v>
      </c>
      <c r="AF61" s="262">
        <f t="shared" si="17"/>
        <v>0</v>
      </c>
      <c r="AG61" s="262">
        <f t="shared" si="17"/>
        <v>0</v>
      </c>
      <c r="AH61" s="262">
        <f t="shared" si="17"/>
        <v>0</v>
      </c>
      <c r="AI61" s="262">
        <f t="shared" si="17"/>
        <v>0</v>
      </c>
      <c r="AJ61" s="262">
        <f t="shared" si="17"/>
        <v>0</v>
      </c>
      <c r="AK61" s="262">
        <f t="shared" si="17"/>
        <v>0</v>
      </c>
      <c r="AL61" s="262">
        <f t="shared" si="17"/>
        <v>0</v>
      </c>
      <c r="AM61" s="262">
        <f t="shared" si="17"/>
        <v>0</v>
      </c>
      <c r="AN61" s="262">
        <f t="shared" si="17"/>
        <v>0</v>
      </c>
      <c r="AO61" s="262">
        <f t="shared" si="17"/>
        <v>0</v>
      </c>
      <c r="AP61" s="262">
        <f t="shared" si="17"/>
        <v>0</v>
      </c>
    </row>
    <row r="62" spans="2:42" x14ac:dyDescent="0.2">
      <c r="B62" s="499" t="s">
        <v>59</v>
      </c>
      <c r="C62" s="500">
        <f t="shared" si="18"/>
        <v>0</v>
      </c>
      <c r="D62" s="500">
        <f>SUM(D55:D61)</f>
        <v>0</v>
      </c>
      <c r="E62" s="501">
        <f t="shared" ref="E62:AP62" si="20">SUM(E55:E61)</f>
        <v>0</v>
      </c>
      <c r="F62" s="501">
        <f t="shared" si="20"/>
        <v>0</v>
      </c>
      <c r="G62" s="501">
        <f t="shared" si="20"/>
        <v>0</v>
      </c>
      <c r="H62" s="501">
        <f t="shared" si="20"/>
        <v>0</v>
      </c>
      <c r="I62" s="501">
        <f t="shared" si="20"/>
        <v>0</v>
      </c>
      <c r="J62" s="501">
        <f t="shared" si="20"/>
        <v>0</v>
      </c>
      <c r="K62" s="501">
        <f t="shared" si="20"/>
        <v>0</v>
      </c>
      <c r="L62" s="501">
        <f t="shared" si="20"/>
        <v>0</v>
      </c>
      <c r="M62" s="501">
        <f t="shared" si="20"/>
        <v>0</v>
      </c>
      <c r="N62" s="501">
        <f t="shared" si="20"/>
        <v>0</v>
      </c>
      <c r="O62" s="501">
        <f t="shared" si="20"/>
        <v>0</v>
      </c>
      <c r="P62" s="501">
        <f t="shared" si="20"/>
        <v>0</v>
      </c>
      <c r="Q62" s="501">
        <f t="shared" si="20"/>
        <v>0</v>
      </c>
      <c r="R62" s="501">
        <f t="shared" si="20"/>
        <v>0</v>
      </c>
      <c r="S62" s="501">
        <f t="shared" si="20"/>
        <v>0</v>
      </c>
      <c r="T62" s="501">
        <f t="shared" si="20"/>
        <v>0</v>
      </c>
      <c r="U62" s="501">
        <f t="shared" si="20"/>
        <v>0</v>
      </c>
      <c r="V62" s="501">
        <f t="shared" si="20"/>
        <v>0</v>
      </c>
      <c r="W62" s="501">
        <f t="shared" si="20"/>
        <v>0</v>
      </c>
      <c r="X62" s="501">
        <f t="shared" si="20"/>
        <v>0</v>
      </c>
      <c r="Y62" s="501">
        <f t="shared" si="20"/>
        <v>0</v>
      </c>
      <c r="Z62" s="501">
        <f t="shared" si="20"/>
        <v>0</v>
      </c>
      <c r="AA62" s="501">
        <f t="shared" si="20"/>
        <v>0</v>
      </c>
      <c r="AB62" s="501">
        <f t="shared" si="20"/>
        <v>0</v>
      </c>
      <c r="AC62" s="501">
        <f t="shared" si="20"/>
        <v>0</v>
      </c>
      <c r="AD62" s="501">
        <f t="shared" si="20"/>
        <v>0</v>
      </c>
      <c r="AE62" s="501">
        <f t="shared" si="20"/>
        <v>0</v>
      </c>
      <c r="AF62" s="501">
        <f t="shared" si="20"/>
        <v>0</v>
      </c>
      <c r="AG62" s="501">
        <f t="shared" si="20"/>
        <v>0</v>
      </c>
      <c r="AH62" s="501">
        <f t="shared" si="20"/>
        <v>0</v>
      </c>
      <c r="AI62" s="501">
        <f t="shared" si="20"/>
        <v>0</v>
      </c>
      <c r="AJ62" s="501">
        <f t="shared" si="20"/>
        <v>0</v>
      </c>
      <c r="AK62" s="501">
        <f t="shared" si="20"/>
        <v>0</v>
      </c>
      <c r="AL62" s="501">
        <f t="shared" si="20"/>
        <v>0</v>
      </c>
      <c r="AM62" s="501">
        <f t="shared" si="20"/>
        <v>0</v>
      </c>
      <c r="AN62" s="501">
        <f t="shared" si="20"/>
        <v>0</v>
      </c>
      <c r="AO62" s="501">
        <f t="shared" si="20"/>
        <v>0</v>
      </c>
      <c r="AP62" s="501">
        <f t="shared" si="20"/>
        <v>0</v>
      </c>
    </row>
    <row r="65" spans="2:42" x14ac:dyDescent="0.2">
      <c r="B65" s="272"/>
      <c r="C65" s="256"/>
      <c r="D65" s="256" t="s">
        <v>10</v>
      </c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</row>
    <row r="66" spans="2:42" x14ac:dyDescent="0.2">
      <c r="B66" s="735" t="s">
        <v>448</v>
      </c>
      <c r="C66" s="257"/>
      <c r="D66" s="258">
        <v>1</v>
      </c>
      <c r="E66" s="258">
        <v>2</v>
      </c>
      <c r="F66" s="258">
        <v>3</v>
      </c>
      <c r="G66" s="258">
        <v>4</v>
      </c>
      <c r="H66" s="258">
        <v>5</v>
      </c>
      <c r="I66" s="258">
        <v>6</v>
      </c>
      <c r="J66" s="258">
        <v>7</v>
      </c>
      <c r="K66" s="258">
        <v>8</v>
      </c>
      <c r="L66" s="258">
        <v>9</v>
      </c>
      <c r="M66" s="258">
        <v>10</v>
      </c>
      <c r="N66" s="258">
        <v>11</v>
      </c>
      <c r="O66" s="258">
        <v>12</v>
      </c>
      <c r="P66" s="258">
        <v>13</v>
      </c>
      <c r="Q66" s="258">
        <v>14</v>
      </c>
      <c r="R66" s="258">
        <v>15</v>
      </c>
      <c r="S66" s="258">
        <v>16</v>
      </c>
      <c r="T66" s="258">
        <v>17</v>
      </c>
      <c r="U66" s="258">
        <v>18</v>
      </c>
      <c r="V66" s="258">
        <v>19</v>
      </c>
      <c r="W66" s="258">
        <v>20</v>
      </c>
      <c r="X66" s="258">
        <v>21</v>
      </c>
      <c r="Y66" s="258">
        <v>22</v>
      </c>
      <c r="Z66" s="258">
        <v>23</v>
      </c>
      <c r="AA66" s="258">
        <v>24</v>
      </c>
      <c r="AB66" s="258">
        <v>25</v>
      </c>
      <c r="AC66" s="258">
        <v>26</v>
      </c>
      <c r="AD66" s="258">
        <v>27</v>
      </c>
      <c r="AE66" s="258">
        <v>28</v>
      </c>
      <c r="AF66" s="258">
        <v>29</v>
      </c>
      <c r="AG66" s="258">
        <v>30</v>
      </c>
      <c r="AH66" s="258">
        <v>31</v>
      </c>
      <c r="AI66" s="258">
        <v>32</v>
      </c>
      <c r="AJ66" s="258">
        <v>33</v>
      </c>
      <c r="AK66" s="258">
        <v>34</v>
      </c>
      <c r="AL66" s="258">
        <v>35</v>
      </c>
      <c r="AM66" s="258">
        <v>36</v>
      </c>
      <c r="AN66" s="258">
        <v>37</v>
      </c>
      <c r="AO66" s="258">
        <v>38</v>
      </c>
      <c r="AP66" s="258">
        <v>39</v>
      </c>
    </row>
    <row r="67" spans="2:42" x14ac:dyDescent="0.2">
      <c r="B67" s="734"/>
      <c r="C67" s="260" t="s">
        <v>9</v>
      </c>
      <c r="D67" s="261">
        <f t="shared" ref="D67:AP67" si="21">D4</f>
        <v>2026</v>
      </c>
      <c r="E67" s="261">
        <f t="shared" si="21"/>
        <v>2027</v>
      </c>
      <c r="F67" s="261">
        <f t="shared" si="21"/>
        <v>2028</v>
      </c>
      <c r="G67" s="261">
        <f t="shared" si="21"/>
        <v>2029</v>
      </c>
      <c r="H67" s="261">
        <f t="shared" si="21"/>
        <v>2030</v>
      </c>
      <c r="I67" s="261">
        <f t="shared" si="21"/>
        <v>2031</v>
      </c>
      <c r="J67" s="261">
        <f t="shared" si="21"/>
        <v>2032</v>
      </c>
      <c r="K67" s="261">
        <f t="shared" si="21"/>
        <v>2033</v>
      </c>
      <c r="L67" s="261">
        <f t="shared" si="21"/>
        <v>2034</v>
      </c>
      <c r="M67" s="261">
        <f t="shared" si="21"/>
        <v>2035</v>
      </c>
      <c r="N67" s="261">
        <f t="shared" si="21"/>
        <v>2036</v>
      </c>
      <c r="O67" s="261">
        <f t="shared" si="21"/>
        <v>2037</v>
      </c>
      <c r="P67" s="261">
        <f t="shared" si="21"/>
        <v>2038</v>
      </c>
      <c r="Q67" s="261">
        <f t="shared" si="21"/>
        <v>2039</v>
      </c>
      <c r="R67" s="261">
        <f t="shared" si="21"/>
        <v>2040</v>
      </c>
      <c r="S67" s="261">
        <f t="shared" si="21"/>
        <v>2041</v>
      </c>
      <c r="T67" s="261">
        <f t="shared" si="21"/>
        <v>2042</v>
      </c>
      <c r="U67" s="261">
        <f t="shared" si="21"/>
        <v>2043</v>
      </c>
      <c r="V67" s="261">
        <f t="shared" si="21"/>
        <v>2044</v>
      </c>
      <c r="W67" s="261">
        <f t="shared" si="21"/>
        <v>2045</v>
      </c>
      <c r="X67" s="261">
        <f t="shared" si="21"/>
        <v>2046</v>
      </c>
      <c r="Y67" s="261">
        <f t="shared" si="21"/>
        <v>2047</v>
      </c>
      <c r="Z67" s="261">
        <f t="shared" si="21"/>
        <v>2048</v>
      </c>
      <c r="AA67" s="261">
        <f t="shared" si="21"/>
        <v>2049</v>
      </c>
      <c r="AB67" s="261">
        <f t="shared" si="21"/>
        <v>2050</v>
      </c>
      <c r="AC67" s="261">
        <f t="shared" si="21"/>
        <v>2051</v>
      </c>
      <c r="AD67" s="261">
        <f t="shared" si="21"/>
        <v>2052</v>
      </c>
      <c r="AE67" s="261">
        <f t="shared" si="21"/>
        <v>2053</v>
      </c>
      <c r="AF67" s="261">
        <f t="shared" si="21"/>
        <v>2054</v>
      </c>
      <c r="AG67" s="261">
        <f t="shared" si="21"/>
        <v>2055</v>
      </c>
      <c r="AH67" s="261">
        <f t="shared" si="21"/>
        <v>2056</v>
      </c>
      <c r="AI67" s="261">
        <f t="shared" si="21"/>
        <v>2057</v>
      </c>
      <c r="AJ67" s="261">
        <f t="shared" si="21"/>
        <v>2058</v>
      </c>
      <c r="AK67" s="261">
        <f t="shared" si="21"/>
        <v>2059</v>
      </c>
      <c r="AL67" s="261">
        <f t="shared" si="21"/>
        <v>2060</v>
      </c>
      <c r="AM67" s="261">
        <f t="shared" si="21"/>
        <v>2061</v>
      </c>
      <c r="AN67" s="261">
        <f t="shared" si="21"/>
        <v>2062</v>
      </c>
      <c r="AO67" s="261">
        <f t="shared" si="21"/>
        <v>2063</v>
      </c>
      <c r="AP67" s="261">
        <f t="shared" si="21"/>
        <v>2064</v>
      </c>
    </row>
    <row r="68" spans="2:42" x14ac:dyDescent="0.2">
      <c r="B68" s="256" t="s">
        <v>405</v>
      </c>
      <c r="C68" s="262">
        <f>SUM(D68:AP68)</f>
        <v>0</v>
      </c>
      <c r="D68" s="262">
        <f>D55*'Parametre EMU550'!C88</f>
        <v>0</v>
      </c>
      <c r="E68" s="262">
        <f>E55*'Parametre EMU550'!D88</f>
        <v>0</v>
      </c>
      <c r="F68" s="262">
        <f>F55*'Parametre EMU550'!E88</f>
        <v>0</v>
      </c>
      <c r="G68" s="262">
        <f>G55*'Parametre EMU550'!F88</f>
        <v>0</v>
      </c>
      <c r="H68" s="262">
        <f>H55*'Parametre EMU550'!G88</f>
        <v>0</v>
      </c>
      <c r="I68" s="262">
        <f>I55*'Parametre EMU550'!H88</f>
        <v>0</v>
      </c>
      <c r="J68" s="262">
        <f>J55*'Parametre EMU550'!I88</f>
        <v>0</v>
      </c>
      <c r="K68" s="262">
        <f>K55*'Parametre EMU550'!J88</f>
        <v>0</v>
      </c>
      <c r="L68" s="262">
        <f>L55*'Parametre EMU550'!K88</f>
        <v>0</v>
      </c>
      <c r="M68" s="262">
        <f>M55*'Parametre EMU550'!L88</f>
        <v>0</v>
      </c>
      <c r="N68" s="262">
        <f>N55*'Parametre EMU550'!M88</f>
        <v>0</v>
      </c>
      <c r="O68" s="262">
        <f>O55*'Parametre EMU550'!N88</f>
        <v>0</v>
      </c>
      <c r="P68" s="262">
        <f>P55*'Parametre EMU550'!O88</f>
        <v>0</v>
      </c>
      <c r="Q68" s="262">
        <f>Q55*'Parametre EMU550'!P88</f>
        <v>0</v>
      </c>
      <c r="R68" s="262">
        <f>R55*'Parametre EMU550'!Q88</f>
        <v>0</v>
      </c>
      <c r="S68" s="262">
        <f>S55*'Parametre EMU550'!R88</f>
        <v>0</v>
      </c>
      <c r="T68" s="262">
        <f>T55*'Parametre EMU550'!S88</f>
        <v>0</v>
      </c>
      <c r="U68" s="262">
        <f>U55*'Parametre EMU550'!T88</f>
        <v>0</v>
      </c>
      <c r="V68" s="262">
        <f>V55*'Parametre EMU550'!U88</f>
        <v>0</v>
      </c>
      <c r="W68" s="262">
        <f>W55*'Parametre EMU550'!V88</f>
        <v>0</v>
      </c>
      <c r="X68" s="262">
        <f>X55*'Parametre EMU550'!W88</f>
        <v>0</v>
      </c>
      <c r="Y68" s="262">
        <f>Y55*'Parametre EMU550'!X88</f>
        <v>0</v>
      </c>
      <c r="Z68" s="262">
        <f>Z55*'Parametre EMU550'!Y88</f>
        <v>0</v>
      </c>
      <c r="AA68" s="262">
        <f>AA55*'Parametre EMU550'!Z88</f>
        <v>0</v>
      </c>
      <c r="AB68" s="262">
        <f>AB55*'Parametre EMU550'!AA88</f>
        <v>0</v>
      </c>
      <c r="AC68" s="262">
        <f>AC55*'Parametre EMU550'!AB88</f>
        <v>0</v>
      </c>
      <c r="AD68" s="262">
        <f>AD55*'Parametre EMU550'!AC88</f>
        <v>0</v>
      </c>
      <c r="AE68" s="262">
        <f>AE55*'Parametre EMU550'!AD88</f>
        <v>0</v>
      </c>
      <c r="AF68" s="262">
        <f>AF55*'Parametre EMU550'!AE88</f>
        <v>0</v>
      </c>
      <c r="AG68" s="262">
        <f>AG55*'Parametre EMU550'!AF88</f>
        <v>0</v>
      </c>
      <c r="AH68" s="262">
        <f>AH55*'Parametre EMU550'!AG88</f>
        <v>0</v>
      </c>
      <c r="AI68" s="262">
        <f>AI55*'Parametre EMU550'!AH88</f>
        <v>0</v>
      </c>
      <c r="AJ68" s="262">
        <f>AJ55*'Parametre EMU550'!AI88</f>
        <v>0</v>
      </c>
      <c r="AK68" s="262">
        <f>AK55*'Parametre EMU550'!AJ88</f>
        <v>0</v>
      </c>
      <c r="AL68" s="262">
        <f>AL55*'Parametre EMU550'!AK88</f>
        <v>0</v>
      </c>
      <c r="AM68" s="262">
        <f>AM55*'Parametre EMU550'!AL88</f>
        <v>0</v>
      </c>
      <c r="AN68" s="262">
        <f>AN55*'Parametre EMU550'!AM88</f>
        <v>0</v>
      </c>
      <c r="AO68" s="262">
        <f>AO55*'Parametre EMU550'!AN88</f>
        <v>0</v>
      </c>
      <c r="AP68" s="262">
        <f>AP55*'Parametre EMU550'!AO88</f>
        <v>0</v>
      </c>
    </row>
    <row r="69" spans="2:42" x14ac:dyDescent="0.2">
      <c r="B69" s="256" t="s">
        <v>406</v>
      </c>
      <c r="C69" s="262">
        <f t="shared" ref="C69:C75" si="22">SUM(D69:AP69)</f>
        <v>0</v>
      </c>
      <c r="D69" s="262">
        <f>D56*'Parametre EMU550'!C89</f>
        <v>0</v>
      </c>
      <c r="E69" s="262">
        <f>E56*'Parametre EMU550'!D89</f>
        <v>0</v>
      </c>
      <c r="F69" s="262">
        <f>F56*'Parametre EMU550'!E89</f>
        <v>0</v>
      </c>
      <c r="G69" s="262">
        <f>G56*'Parametre EMU550'!F89</f>
        <v>0</v>
      </c>
      <c r="H69" s="262">
        <f>H56*'Parametre EMU550'!G89</f>
        <v>0</v>
      </c>
      <c r="I69" s="262">
        <f>I56*'Parametre EMU550'!H89</f>
        <v>0</v>
      </c>
      <c r="J69" s="262">
        <f>J56*'Parametre EMU550'!I89</f>
        <v>0</v>
      </c>
      <c r="K69" s="262">
        <f>K56*'Parametre EMU550'!J89</f>
        <v>0</v>
      </c>
      <c r="L69" s="262">
        <f>L56*'Parametre EMU550'!K89</f>
        <v>0</v>
      </c>
      <c r="M69" s="262">
        <f>M56*'Parametre EMU550'!L89</f>
        <v>0</v>
      </c>
      <c r="N69" s="262">
        <f>N56*'Parametre EMU550'!M89</f>
        <v>0</v>
      </c>
      <c r="O69" s="262">
        <f>O56*'Parametre EMU550'!N89</f>
        <v>0</v>
      </c>
      <c r="P69" s="262">
        <f>P56*'Parametre EMU550'!O89</f>
        <v>0</v>
      </c>
      <c r="Q69" s="262">
        <f>Q56*'Parametre EMU550'!P89</f>
        <v>0</v>
      </c>
      <c r="R69" s="262">
        <f>R56*'Parametre EMU550'!Q89</f>
        <v>0</v>
      </c>
      <c r="S69" s="262">
        <f>S56*'Parametre EMU550'!R89</f>
        <v>0</v>
      </c>
      <c r="T69" s="262">
        <f>T56*'Parametre EMU550'!S89</f>
        <v>0</v>
      </c>
      <c r="U69" s="262">
        <f>U56*'Parametre EMU550'!T89</f>
        <v>0</v>
      </c>
      <c r="V69" s="262">
        <f>V56*'Parametre EMU550'!U89</f>
        <v>0</v>
      </c>
      <c r="W69" s="262">
        <f>W56*'Parametre EMU550'!V89</f>
        <v>0</v>
      </c>
      <c r="X69" s="262">
        <f>X56*'Parametre EMU550'!W89</f>
        <v>0</v>
      </c>
      <c r="Y69" s="262">
        <f>Y56*'Parametre EMU550'!X89</f>
        <v>0</v>
      </c>
      <c r="Z69" s="262">
        <f>Z56*'Parametre EMU550'!Y89</f>
        <v>0</v>
      </c>
      <c r="AA69" s="262">
        <f>AA56*'Parametre EMU550'!Z89</f>
        <v>0</v>
      </c>
      <c r="AB69" s="262">
        <f>AB56*'Parametre EMU550'!AA89</f>
        <v>0</v>
      </c>
      <c r="AC69" s="262">
        <f>AC56*'Parametre EMU550'!AB89</f>
        <v>0</v>
      </c>
      <c r="AD69" s="262">
        <f>AD56*'Parametre EMU550'!AC89</f>
        <v>0</v>
      </c>
      <c r="AE69" s="262">
        <f>AE56*'Parametre EMU550'!AD89</f>
        <v>0</v>
      </c>
      <c r="AF69" s="262">
        <f>AF56*'Parametre EMU550'!AE89</f>
        <v>0</v>
      </c>
      <c r="AG69" s="262">
        <f>AG56*'Parametre EMU550'!AF89</f>
        <v>0</v>
      </c>
      <c r="AH69" s="262">
        <f>AH56*'Parametre EMU550'!AG89</f>
        <v>0</v>
      </c>
      <c r="AI69" s="262">
        <f>AI56*'Parametre EMU550'!AH89</f>
        <v>0</v>
      </c>
      <c r="AJ69" s="262">
        <f>AJ56*'Parametre EMU550'!AI89</f>
        <v>0</v>
      </c>
      <c r="AK69" s="262">
        <f>AK56*'Parametre EMU550'!AJ89</f>
        <v>0</v>
      </c>
      <c r="AL69" s="262">
        <f>AL56*'Parametre EMU550'!AK89</f>
        <v>0</v>
      </c>
      <c r="AM69" s="262">
        <f>AM56*'Parametre EMU550'!AL89</f>
        <v>0</v>
      </c>
      <c r="AN69" s="262">
        <f>AN56*'Parametre EMU550'!AM89</f>
        <v>0</v>
      </c>
      <c r="AO69" s="262">
        <f>AO56*'Parametre EMU550'!AN89</f>
        <v>0</v>
      </c>
      <c r="AP69" s="262">
        <f>AP56*'Parametre EMU550'!AO89</f>
        <v>0</v>
      </c>
    </row>
    <row r="70" spans="2:42" x14ac:dyDescent="0.2">
      <c r="B70" s="256" t="s">
        <v>407</v>
      </c>
      <c r="C70" s="262">
        <f t="shared" si="22"/>
        <v>0</v>
      </c>
      <c r="D70" s="262">
        <f>D57*'Parametre EMU550'!C90</f>
        <v>0</v>
      </c>
      <c r="E70" s="262">
        <f>E57*'Parametre EMU550'!D90</f>
        <v>0</v>
      </c>
      <c r="F70" s="262">
        <f>F57*'Parametre EMU550'!E90</f>
        <v>0</v>
      </c>
      <c r="G70" s="262">
        <f>G57*'Parametre EMU550'!F90</f>
        <v>0</v>
      </c>
      <c r="H70" s="262">
        <f>H57*'Parametre EMU550'!G90</f>
        <v>0</v>
      </c>
      <c r="I70" s="262">
        <f>I57*'Parametre EMU550'!H90</f>
        <v>0</v>
      </c>
      <c r="J70" s="262">
        <f>J57*'Parametre EMU550'!I90</f>
        <v>0</v>
      </c>
      <c r="K70" s="262">
        <f>K57*'Parametre EMU550'!J90</f>
        <v>0</v>
      </c>
      <c r="L70" s="262">
        <f>L57*'Parametre EMU550'!K90</f>
        <v>0</v>
      </c>
      <c r="M70" s="262">
        <f>M57*'Parametre EMU550'!L90</f>
        <v>0</v>
      </c>
      <c r="N70" s="262">
        <f>N57*'Parametre EMU550'!M90</f>
        <v>0</v>
      </c>
      <c r="O70" s="262">
        <f>O57*'Parametre EMU550'!N90</f>
        <v>0</v>
      </c>
      <c r="P70" s="262">
        <f>P57*'Parametre EMU550'!O90</f>
        <v>0</v>
      </c>
      <c r="Q70" s="262">
        <f>Q57*'Parametre EMU550'!P90</f>
        <v>0</v>
      </c>
      <c r="R70" s="262">
        <f>R57*'Parametre EMU550'!Q90</f>
        <v>0</v>
      </c>
      <c r="S70" s="262">
        <f>S57*'Parametre EMU550'!R90</f>
        <v>0</v>
      </c>
      <c r="T70" s="262">
        <f>T57*'Parametre EMU550'!S90</f>
        <v>0</v>
      </c>
      <c r="U70" s="262">
        <f>U57*'Parametre EMU550'!T90</f>
        <v>0</v>
      </c>
      <c r="V70" s="262">
        <f>V57*'Parametre EMU550'!U90</f>
        <v>0</v>
      </c>
      <c r="W70" s="262">
        <f>W57*'Parametre EMU550'!V90</f>
        <v>0</v>
      </c>
      <c r="X70" s="262">
        <f>X57*'Parametre EMU550'!W90</f>
        <v>0</v>
      </c>
      <c r="Y70" s="262">
        <f>Y57*'Parametre EMU550'!X90</f>
        <v>0</v>
      </c>
      <c r="Z70" s="262">
        <f>Z57*'Parametre EMU550'!Y90</f>
        <v>0</v>
      </c>
      <c r="AA70" s="262">
        <f>AA57*'Parametre EMU550'!Z90</f>
        <v>0</v>
      </c>
      <c r="AB70" s="262">
        <f>AB57*'Parametre EMU550'!AA90</f>
        <v>0</v>
      </c>
      <c r="AC70" s="262">
        <f>AC57*'Parametre EMU550'!AB90</f>
        <v>0</v>
      </c>
      <c r="AD70" s="262">
        <f>AD57*'Parametre EMU550'!AC90</f>
        <v>0</v>
      </c>
      <c r="AE70" s="262">
        <f>AE57*'Parametre EMU550'!AD90</f>
        <v>0</v>
      </c>
      <c r="AF70" s="262">
        <f>AF57*'Parametre EMU550'!AE90</f>
        <v>0</v>
      </c>
      <c r="AG70" s="262">
        <f>AG57*'Parametre EMU550'!AF90</f>
        <v>0</v>
      </c>
      <c r="AH70" s="262">
        <f>AH57*'Parametre EMU550'!AG90</f>
        <v>0</v>
      </c>
      <c r="AI70" s="262">
        <f>AI57*'Parametre EMU550'!AH90</f>
        <v>0</v>
      </c>
      <c r="AJ70" s="262">
        <f>AJ57*'Parametre EMU550'!AI90</f>
        <v>0</v>
      </c>
      <c r="AK70" s="262">
        <f>AK57*'Parametre EMU550'!AJ90</f>
        <v>0</v>
      </c>
      <c r="AL70" s="262">
        <f>AL57*'Parametre EMU550'!AK90</f>
        <v>0</v>
      </c>
      <c r="AM70" s="262">
        <f>AM57*'Parametre EMU550'!AL90</f>
        <v>0</v>
      </c>
      <c r="AN70" s="262">
        <f>AN57*'Parametre EMU550'!AM90</f>
        <v>0</v>
      </c>
      <c r="AO70" s="262">
        <f>AO57*'Parametre EMU550'!AN90</f>
        <v>0</v>
      </c>
      <c r="AP70" s="262">
        <f>AP57*'Parametre EMU550'!AO90</f>
        <v>0</v>
      </c>
    </row>
    <row r="71" spans="2:42" x14ac:dyDescent="0.2">
      <c r="B71" s="256" t="s">
        <v>408</v>
      </c>
      <c r="C71" s="262">
        <f t="shared" si="22"/>
        <v>0</v>
      </c>
      <c r="D71" s="262">
        <f>D58*'Parametre EMU550'!C91</f>
        <v>0</v>
      </c>
      <c r="E71" s="262">
        <f>E58*'Parametre EMU550'!D91</f>
        <v>0</v>
      </c>
      <c r="F71" s="262">
        <f>F58*'Parametre EMU550'!E91</f>
        <v>0</v>
      </c>
      <c r="G71" s="262">
        <f>G58*'Parametre EMU550'!F91</f>
        <v>0</v>
      </c>
      <c r="H71" s="262">
        <f>H58*'Parametre EMU550'!G91</f>
        <v>0</v>
      </c>
      <c r="I71" s="262">
        <f>I58*'Parametre EMU550'!H91</f>
        <v>0</v>
      </c>
      <c r="J71" s="262">
        <f>J58*'Parametre EMU550'!I91</f>
        <v>0</v>
      </c>
      <c r="K71" s="262">
        <f>K58*'Parametre EMU550'!J91</f>
        <v>0</v>
      </c>
      <c r="L71" s="262">
        <f>L58*'Parametre EMU550'!K91</f>
        <v>0</v>
      </c>
      <c r="M71" s="262">
        <f>M58*'Parametre EMU550'!L91</f>
        <v>0</v>
      </c>
      <c r="N71" s="262">
        <f>N58*'Parametre EMU550'!M91</f>
        <v>0</v>
      </c>
      <c r="O71" s="262">
        <f>O58*'Parametre EMU550'!N91</f>
        <v>0</v>
      </c>
      <c r="P71" s="262">
        <f>P58*'Parametre EMU550'!O91</f>
        <v>0</v>
      </c>
      <c r="Q71" s="262">
        <f>Q58*'Parametre EMU550'!P91</f>
        <v>0</v>
      </c>
      <c r="R71" s="262">
        <f>R58*'Parametre EMU550'!Q91</f>
        <v>0</v>
      </c>
      <c r="S71" s="262">
        <f>S58*'Parametre EMU550'!R91</f>
        <v>0</v>
      </c>
      <c r="T71" s="262">
        <f>T58*'Parametre EMU550'!S91</f>
        <v>0</v>
      </c>
      <c r="U71" s="262">
        <f>U58*'Parametre EMU550'!T91</f>
        <v>0</v>
      </c>
      <c r="V71" s="262">
        <f>V58*'Parametre EMU550'!U91</f>
        <v>0</v>
      </c>
      <c r="W71" s="262">
        <f>W58*'Parametre EMU550'!V91</f>
        <v>0</v>
      </c>
      <c r="X71" s="262">
        <f>X58*'Parametre EMU550'!W91</f>
        <v>0</v>
      </c>
      <c r="Y71" s="262">
        <f>Y58*'Parametre EMU550'!X91</f>
        <v>0</v>
      </c>
      <c r="Z71" s="262">
        <f>Z58*'Parametre EMU550'!Y91</f>
        <v>0</v>
      </c>
      <c r="AA71" s="262">
        <f>AA58*'Parametre EMU550'!Z91</f>
        <v>0</v>
      </c>
      <c r="AB71" s="262">
        <f>AB58*'Parametre EMU550'!AA91</f>
        <v>0</v>
      </c>
      <c r="AC71" s="262">
        <f>AC58*'Parametre EMU550'!AB91</f>
        <v>0</v>
      </c>
      <c r="AD71" s="262">
        <f>AD58*'Parametre EMU550'!AC91</f>
        <v>0</v>
      </c>
      <c r="AE71" s="262">
        <f>AE58*'Parametre EMU550'!AD91</f>
        <v>0</v>
      </c>
      <c r="AF71" s="262">
        <f>AF58*'Parametre EMU550'!AE91</f>
        <v>0</v>
      </c>
      <c r="AG71" s="262">
        <f>AG58*'Parametre EMU550'!AF91</f>
        <v>0</v>
      </c>
      <c r="AH71" s="262">
        <f>AH58*'Parametre EMU550'!AG91</f>
        <v>0</v>
      </c>
      <c r="AI71" s="262">
        <f>AI58*'Parametre EMU550'!AH91</f>
        <v>0</v>
      </c>
      <c r="AJ71" s="262">
        <f>AJ58*'Parametre EMU550'!AI91</f>
        <v>0</v>
      </c>
      <c r="AK71" s="262">
        <f>AK58*'Parametre EMU550'!AJ91</f>
        <v>0</v>
      </c>
      <c r="AL71" s="262">
        <f>AL58*'Parametre EMU550'!AK91</f>
        <v>0</v>
      </c>
      <c r="AM71" s="262">
        <f>AM58*'Parametre EMU550'!AL91</f>
        <v>0</v>
      </c>
      <c r="AN71" s="262">
        <f>AN58*'Parametre EMU550'!AM91</f>
        <v>0</v>
      </c>
      <c r="AO71" s="262">
        <f>AO58*'Parametre EMU550'!AN91</f>
        <v>0</v>
      </c>
      <c r="AP71" s="262">
        <f>AP58*'Parametre EMU550'!AO91</f>
        <v>0</v>
      </c>
    </row>
    <row r="72" spans="2:42" x14ac:dyDescent="0.2">
      <c r="B72" s="256" t="s">
        <v>136</v>
      </c>
      <c r="C72" s="262">
        <f t="shared" si="22"/>
        <v>0</v>
      </c>
      <c r="D72" s="262">
        <f>D59*'Parametre EMU550'!C92</f>
        <v>0</v>
      </c>
      <c r="E72" s="262">
        <f>E59*'Parametre EMU550'!D92</f>
        <v>0</v>
      </c>
      <c r="F72" s="262">
        <f>F59*'Parametre EMU550'!E92</f>
        <v>0</v>
      </c>
      <c r="G72" s="262">
        <f>G59*'Parametre EMU550'!F92</f>
        <v>0</v>
      </c>
      <c r="H72" s="262">
        <f>H59*'Parametre EMU550'!G92</f>
        <v>0</v>
      </c>
      <c r="I72" s="262">
        <f>I59*'Parametre EMU550'!H92</f>
        <v>0</v>
      </c>
      <c r="J72" s="262">
        <f>J59*'Parametre EMU550'!I92</f>
        <v>0</v>
      </c>
      <c r="K72" s="262">
        <f>K59*'Parametre EMU550'!J92</f>
        <v>0</v>
      </c>
      <c r="L72" s="262">
        <f>L59*'Parametre EMU550'!K92</f>
        <v>0</v>
      </c>
      <c r="M72" s="262">
        <f>M59*'Parametre EMU550'!L92</f>
        <v>0</v>
      </c>
      <c r="N72" s="262">
        <f>N59*'Parametre EMU550'!M92</f>
        <v>0</v>
      </c>
      <c r="O72" s="262">
        <f>O59*'Parametre EMU550'!N92</f>
        <v>0</v>
      </c>
      <c r="P72" s="262">
        <f>P59*'Parametre EMU550'!O92</f>
        <v>0</v>
      </c>
      <c r="Q72" s="262">
        <f>Q59*'Parametre EMU550'!P92</f>
        <v>0</v>
      </c>
      <c r="R72" s="262">
        <f>R59*'Parametre EMU550'!Q92</f>
        <v>0</v>
      </c>
      <c r="S72" s="262">
        <f>S59*'Parametre EMU550'!R92</f>
        <v>0</v>
      </c>
      <c r="T72" s="262">
        <f>T59*'Parametre EMU550'!S92</f>
        <v>0</v>
      </c>
      <c r="U72" s="262">
        <f>U59*'Parametre EMU550'!T92</f>
        <v>0</v>
      </c>
      <c r="V72" s="262">
        <f>V59*'Parametre EMU550'!U92</f>
        <v>0</v>
      </c>
      <c r="W72" s="262">
        <f>W59*'Parametre EMU550'!V92</f>
        <v>0</v>
      </c>
      <c r="X72" s="262">
        <f>X59*'Parametre EMU550'!W92</f>
        <v>0</v>
      </c>
      <c r="Y72" s="262">
        <f>Y59*'Parametre EMU550'!X92</f>
        <v>0</v>
      </c>
      <c r="Z72" s="262">
        <f>Z59*'Parametre EMU550'!Y92</f>
        <v>0</v>
      </c>
      <c r="AA72" s="262">
        <f>AA59*'Parametre EMU550'!Z92</f>
        <v>0</v>
      </c>
      <c r="AB72" s="262">
        <f>AB59*'Parametre EMU550'!AA92</f>
        <v>0</v>
      </c>
      <c r="AC72" s="262">
        <f>AC59*'Parametre EMU550'!AB92</f>
        <v>0</v>
      </c>
      <c r="AD72" s="262">
        <f>AD59*'Parametre EMU550'!AC92</f>
        <v>0</v>
      </c>
      <c r="AE72" s="262">
        <f>AE59*'Parametre EMU550'!AD92</f>
        <v>0</v>
      </c>
      <c r="AF72" s="262">
        <f>AF59*'Parametre EMU550'!AE92</f>
        <v>0</v>
      </c>
      <c r="AG72" s="262">
        <f>AG59*'Parametre EMU550'!AF92</f>
        <v>0</v>
      </c>
      <c r="AH72" s="262">
        <f>AH59*'Parametre EMU550'!AG92</f>
        <v>0</v>
      </c>
      <c r="AI72" s="262">
        <f>AI59*'Parametre EMU550'!AH92</f>
        <v>0</v>
      </c>
      <c r="AJ72" s="262">
        <f>AJ59*'Parametre EMU550'!AI92</f>
        <v>0</v>
      </c>
      <c r="AK72" s="262">
        <f>AK59*'Parametre EMU550'!AJ92</f>
        <v>0</v>
      </c>
      <c r="AL72" s="262">
        <f>AL59*'Parametre EMU550'!AK92</f>
        <v>0</v>
      </c>
      <c r="AM72" s="262">
        <f>AM59*'Parametre EMU550'!AL92</f>
        <v>0</v>
      </c>
      <c r="AN72" s="262">
        <f>AN59*'Parametre EMU550'!AM92</f>
        <v>0</v>
      </c>
      <c r="AO72" s="262">
        <f>AO59*'Parametre EMU550'!AN92</f>
        <v>0</v>
      </c>
      <c r="AP72" s="262">
        <f>AP59*'Parametre EMU550'!AO92</f>
        <v>0</v>
      </c>
    </row>
    <row r="73" spans="2:42" ht="11.85" customHeight="1" x14ac:dyDescent="0.2">
      <c r="B73" s="256" t="s">
        <v>133</v>
      </c>
      <c r="C73" s="262">
        <f t="shared" si="22"/>
        <v>0</v>
      </c>
      <c r="D73" s="262">
        <f>D60*'Parametre EMU550'!C93</f>
        <v>0</v>
      </c>
      <c r="E73" s="262">
        <f>E60*'Parametre EMU550'!D93</f>
        <v>0</v>
      </c>
      <c r="F73" s="262">
        <f>F60*'Parametre EMU550'!E93</f>
        <v>0</v>
      </c>
      <c r="G73" s="262">
        <f>G60*'Parametre EMU550'!F93</f>
        <v>0</v>
      </c>
      <c r="H73" s="262">
        <f>H60*'Parametre EMU550'!G93</f>
        <v>0</v>
      </c>
      <c r="I73" s="262">
        <f>I60*'Parametre EMU550'!H93</f>
        <v>0</v>
      </c>
      <c r="J73" s="262">
        <f>J60*'Parametre EMU550'!I93</f>
        <v>0</v>
      </c>
      <c r="K73" s="262">
        <f>K60*'Parametre EMU550'!J93</f>
        <v>0</v>
      </c>
      <c r="L73" s="262">
        <f>L60*'Parametre EMU550'!K93</f>
        <v>0</v>
      </c>
      <c r="M73" s="262">
        <f>M60*'Parametre EMU550'!L93</f>
        <v>0</v>
      </c>
      <c r="N73" s="262">
        <f>N60*'Parametre EMU550'!M93</f>
        <v>0</v>
      </c>
      <c r="O73" s="262">
        <f>O60*'Parametre EMU550'!N93</f>
        <v>0</v>
      </c>
      <c r="P73" s="262">
        <f>P60*'Parametre EMU550'!O93</f>
        <v>0</v>
      </c>
      <c r="Q73" s="262">
        <f>Q60*'Parametre EMU550'!P93</f>
        <v>0</v>
      </c>
      <c r="R73" s="262">
        <f>R60*'Parametre EMU550'!Q93</f>
        <v>0</v>
      </c>
      <c r="S73" s="262">
        <f>S60*'Parametre EMU550'!R93</f>
        <v>0</v>
      </c>
      <c r="T73" s="262">
        <f>T60*'Parametre EMU550'!S93</f>
        <v>0</v>
      </c>
      <c r="U73" s="262">
        <f>U60*'Parametre EMU550'!T93</f>
        <v>0</v>
      </c>
      <c r="V73" s="262">
        <f>V60*'Parametre EMU550'!U93</f>
        <v>0</v>
      </c>
      <c r="W73" s="262">
        <f>W60*'Parametre EMU550'!V93</f>
        <v>0</v>
      </c>
      <c r="X73" s="262">
        <f>X60*'Parametre EMU550'!W93</f>
        <v>0</v>
      </c>
      <c r="Y73" s="262">
        <f>Y60*'Parametre EMU550'!X93</f>
        <v>0</v>
      </c>
      <c r="Z73" s="262">
        <f>Z60*'Parametre EMU550'!Y93</f>
        <v>0</v>
      </c>
      <c r="AA73" s="262">
        <f>AA60*'Parametre EMU550'!Z93</f>
        <v>0</v>
      </c>
      <c r="AB73" s="262">
        <f>AB60*'Parametre EMU550'!AA93</f>
        <v>0</v>
      </c>
      <c r="AC73" s="262">
        <f>AC60*'Parametre EMU550'!AB93</f>
        <v>0</v>
      </c>
      <c r="AD73" s="262">
        <f>AD60*'Parametre EMU550'!AC93</f>
        <v>0</v>
      </c>
      <c r="AE73" s="262">
        <f>AE60*'Parametre EMU550'!AD93</f>
        <v>0</v>
      </c>
      <c r="AF73" s="262">
        <f>AF60*'Parametre EMU550'!AE93</f>
        <v>0</v>
      </c>
      <c r="AG73" s="262">
        <f>AG60*'Parametre EMU550'!AF93</f>
        <v>0</v>
      </c>
      <c r="AH73" s="262">
        <f>AH60*'Parametre EMU550'!AG93</f>
        <v>0</v>
      </c>
      <c r="AI73" s="262">
        <f>AI60*'Parametre EMU550'!AH93</f>
        <v>0</v>
      </c>
      <c r="AJ73" s="262">
        <f>AJ60*'Parametre EMU550'!AI93</f>
        <v>0</v>
      </c>
      <c r="AK73" s="262">
        <f>AK60*'Parametre EMU550'!AJ93</f>
        <v>0</v>
      </c>
      <c r="AL73" s="262">
        <f>AL60*'Parametre EMU550'!AK93</f>
        <v>0</v>
      </c>
      <c r="AM73" s="262">
        <f>AM60*'Parametre EMU550'!AL93</f>
        <v>0</v>
      </c>
      <c r="AN73" s="262">
        <f>AN60*'Parametre EMU550'!AM93</f>
        <v>0</v>
      </c>
      <c r="AO73" s="262">
        <f>AO60*'Parametre EMU550'!AN93</f>
        <v>0</v>
      </c>
      <c r="AP73" s="262">
        <f>AP60*'Parametre EMU550'!AO93</f>
        <v>0</v>
      </c>
    </row>
    <row r="74" spans="2:42" x14ac:dyDescent="0.2">
      <c r="B74" s="256" t="s">
        <v>137</v>
      </c>
      <c r="C74" s="262">
        <f t="shared" si="22"/>
        <v>0</v>
      </c>
      <c r="D74" s="262">
        <f>D61*'Parametre EMU550'!C94</f>
        <v>0</v>
      </c>
      <c r="E74" s="262">
        <f>E61*'Parametre EMU550'!D94</f>
        <v>0</v>
      </c>
      <c r="F74" s="262">
        <f>F61*'Parametre EMU550'!E94</f>
        <v>0</v>
      </c>
      <c r="G74" s="262">
        <f>G61*'Parametre EMU550'!F94</f>
        <v>0</v>
      </c>
      <c r="H74" s="262">
        <f>H61*'Parametre EMU550'!G94</f>
        <v>0</v>
      </c>
      <c r="I74" s="262">
        <f>I61*'Parametre EMU550'!H94</f>
        <v>0</v>
      </c>
      <c r="J74" s="262">
        <f>J61*'Parametre EMU550'!I94</f>
        <v>0</v>
      </c>
      <c r="K74" s="262">
        <f>K61*'Parametre EMU550'!J94</f>
        <v>0</v>
      </c>
      <c r="L74" s="262">
        <f>L61*'Parametre EMU550'!K94</f>
        <v>0</v>
      </c>
      <c r="M74" s="262">
        <f>M61*'Parametre EMU550'!L94</f>
        <v>0</v>
      </c>
      <c r="N74" s="262">
        <f>N61*'Parametre EMU550'!M94</f>
        <v>0</v>
      </c>
      <c r="O74" s="262">
        <f>O61*'Parametre EMU550'!N94</f>
        <v>0</v>
      </c>
      <c r="P74" s="262">
        <f>P61*'Parametre EMU550'!O94</f>
        <v>0</v>
      </c>
      <c r="Q74" s="262">
        <f>Q61*'Parametre EMU550'!P94</f>
        <v>0</v>
      </c>
      <c r="R74" s="262">
        <f>R61*'Parametre EMU550'!Q94</f>
        <v>0</v>
      </c>
      <c r="S74" s="262">
        <f>S61*'Parametre EMU550'!R94</f>
        <v>0</v>
      </c>
      <c r="T74" s="262">
        <f>T61*'Parametre EMU550'!S94</f>
        <v>0</v>
      </c>
      <c r="U74" s="262">
        <f>U61*'Parametre EMU550'!T94</f>
        <v>0</v>
      </c>
      <c r="V74" s="262">
        <f>V61*'Parametre EMU550'!U94</f>
        <v>0</v>
      </c>
      <c r="W74" s="262">
        <f>W61*'Parametre EMU550'!V94</f>
        <v>0</v>
      </c>
      <c r="X74" s="262">
        <f>X61*'Parametre EMU550'!W94</f>
        <v>0</v>
      </c>
      <c r="Y74" s="262">
        <f>Y61*'Parametre EMU550'!X94</f>
        <v>0</v>
      </c>
      <c r="Z74" s="262">
        <f>Z61*'Parametre EMU550'!Y94</f>
        <v>0</v>
      </c>
      <c r="AA74" s="262">
        <f>AA61*'Parametre EMU550'!Z94</f>
        <v>0</v>
      </c>
      <c r="AB74" s="262">
        <f>AB61*'Parametre EMU550'!AA94</f>
        <v>0</v>
      </c>
      <c r="AC74" s="262">
        <f>AC61*'Parametre EMU550'!AB94</f>
        <v>0</v>
      </c>
      <c r="AD74" s="262">
        <f>AD61*'Parametre EMU550'!AC94</f>
        <v>0</v>
      </c>
      <c r="AE74" s="262">
        <f>AE61*'Parametre EMU550'!AD94</f>
        <v>0</v>
      </c>
      <c r="AF74" s="262">
        <f>AF61*'Parametre EMU550'!AE94</f>
        <v>0</v>
      </c>
      <c r="AG74" s="262">
        <f>AG61*'Parametre EMU550'!AF94</f>
        <v>0</v>
      </c>
      <c r="AH74" s="262">
        <f>AH61*'Parametre EMU550'!AG94</f>
        <v>0</v>
      </c>
      <c r="AI74" s="262">
        <f>AI61*'Parametre EMU550'!AH94</f>
        <v>0</v>
      </c>
      <c r="AJ74" s="262">
        <f>AJ61*'Parametre EMU550'!AI94</f>
        <v>0</v>
      </c>
      <c r="AK74" s="262">
        <f>AK61*'Parametre EMU550'!AJ94</f>
        <v>0</v>
      </c>
      <c r="AL74" s="262">
        <f>AL61*'Parametre EMU550'!AK94</f>
        <v>0</v>
      </c>
      <c r="AM74" s="262">
        <f>AM61*'Parametre EMU550'!AL94</f>
        <v>0</v>
      </c>
      <c r="AN74" s="262">
        <f>AN61*'Parametre EMU550'!AM94</f>
        <v>0</v>
      </c>
      <c r="AO74" s="262">
        <f>AO61*'Parametre EMU550'!AN94</f>
        <v>0</v>
      </c>
      <c r="AP74" s="262">
        <f>AP61*'Parametre EMU550'!AO94</f>
        <v>0</v>
      </c>
    </row>
    <row r="75" spans="2:42" x14ac:dyDescent="0.2">
      <c r="B75" s="502" t="s">
        <v>296</v>
      </c>
      <c r="C75" s="503">
        <f t="shared" si="22"/>
        <v>0</v>
      </c>
      <c r="D75" s="503">
        <f>SUM(D68:D74)</f>
        <v>0</v>
      </c>
      <c r="E75" s="504">
        <f t="shared" ref="E75:AP75" si="23">SUM(E68:E74)</f>
        <v>0</v>
      </c>
      <c r="F75" s="504">
        <f t="shared" si="23"/>
        <v>0</v>
      </c>
      <c r="G75" s="504">
        <f t="shared" si="23"/>
        <v>0</v>
      </c>
      <c r="H75" s="504">
        <f t="shared" si="23"/>
        <v>0</v>
      </c>
      <c r="I75" s="504">
        <f t="shared" si="23"/>
        <v>0</v>
      </c>
      <c r="J75" s="504">
        <f t="shared" si="23"/>
        <v>0</v>
      </c>
      <c r="K75" s="504">
        <f t="shared" si="23"/>
        <v>0</v>
      </c>
      <c r="L75" s="504">
        <f t="shared" si="23"/>
        <v>0</v>
      </c>
      <c r="M75" s="504">
        <f t="shared" si="23"/>
        <v>0</v>
      </c>
      <c r="N75" s="504">
        <f t="shared" si="23"/>
        <v>0</v>
      </c>
      <c r="O75" s="504">
        <f t="shared" si="23"/>
        <v>0</v>
      </c>
      <c r="P75" s="504">
        <f t="shared" si="23"/>
        <v>0</v>
      </c>
      <c r="Q75" s="504">
        <f t="shared" si="23"/>
        <v>0</v>
      </c>
      <c r="R75" s="504">
        <f t="shared" si="23"/>
        <v>0</v>
      </c>
      <c r="S75" s="504">
        <f t="shared" si="23"/>
        <v>0</v>
      </c>
      <c r="T75" s="504">
        <f t="shared" si="23"/>
        <v>0</v>
      </c>
      <c r="U75" s="504">
        <f t="shared" si="23"/>
        <v>0</v>
      </c>
      <c r="V75" s="504">
        <f t="shared" si="23"/>
        <v>0</v>
      </c>
      <c r="W75" s="504">
        <f t="shared" si="23"/>
        <v>0</v>
      </c>
      <c r="X75" s="504">
        <f t="shared" si="23"/>
        <v>0</v>
      </c>
      <c r="Y75" s="504">
        <f t="shared" si="23"/>
        <v>0</v>
      </c>
      <c r="Z75" s="504">
        <f t="shared" si="23"/>
        <v>0</v>
      </c>
      <c r="AA75" s="504">
        <f t="shared" si="23"/>
        <v>0</v>
      </c>
      <c r="AB75" s="504">
        <f t="shared" si="23"/>
        <v>0</v>
      </c>
      <c r="AC75" s="504">
        <f t="shared" si="23"/>
        <v>0</v>
      </c>
      <c r="AD75" s="504">
        <f t="shared" si="23"/>
        <v>0</v>
      </c>
      <c r="AE75" s="504">
        <f t="shared" si="23"/>
        <v>0</v>
      </c>
      <c r="AF75" s="504">
        <f t="shared" si="23"/>
        <v>0</v>
      </c>
      <c r="AG75" s="504">
        <f t="shared" si="23"/>
        <v>0</v>
      </c>
      <c r="AH75" s="504">
        <f t="shared" si="23"/>
        <v>0</v>
      </c>
      <c r="AI75" s="504">
        <f t="shared" si="23"/>
        <v>0</v>
      </c>
      <c r="AJ75" s="504">
        <f t="shared" si="23"/>
        <v>0</v>
      </c>
      <c r="AK75" s="504">
        <f t="shared" si="23"/>
        <v>0</v>
      </c>
      <c r="AL75" s="504">
        <f t="shared" si="23"/>
        <v>0</v>
      </c>
      <c r="AM75" s="504">
        <f t="shared" si="23"/>
        <v>0</v>
      </c>
      <c r="AN75" s="504">
        <f t="shared" si="23"/>
        <v>0</v>
      </c>
      <c r="AO75" s="504">
        <f t="shared" si="23"/>
        <v>0</v>
      </c>
      <c r="AP75" s="504">
        <f t="shared" si="23"/>
        <v>0</v>
      </c>
    </row>
    <row r="77" spans="2:42" x14ac:dyDescent="0.2">
      <c r="B77" s="255" t="s">
        <v>2</v>
      </c>
    </row>
    <row r="78" spans="2:42" x14ac:dyDescent="0.2">
      <c r="B78" s="255" t="s">
        <v>286</v>
      </c>
    </row>
    <row r="82" spans="3:3" x14ac:dyDescent="0.2">
      <c r="C82" s="505"/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4435-612C-4ABC-8A14-1680A712FB15}">
  <sheetPr>
    <tabColor rgb="FFCCFF99"/>
  </sheetPr>
  <dimension ref="B2:AP51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62" style="255" bestFit="1" customWidth="1"/>
    <col min="3" max="3" width="7.140625" style="255" bestFit="1" customWidth="1"/>
    <col min="4" max="6" width="5.5703125" style="255" bestFit="1" customWidth="1"/>
    <col min="7" max="7" width="5.5703125" style="255" customWidth="1"/>
    <col min="8" max="42" width="5.5703125" style="255" bestFit="1" customWidth="1"/>
    <col min="43" max="16384" width="9.140625" style="255"/>
  </cols>
  <sheetData>
    <row r="2" spans="2:42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 t="s">
        <v>449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x14ac:dyDescent="0.2">
      <c r="B4" s="259" t="s">
        <v>33</v>
      </c>
      <c r="C4" s="260" t="s">
        <v>9</v>
      </c>
      <c r="D4" s="261">
        <v>2026</v>
      </c>
      <c r="E4" s="261">
        <f>D4+$D$3</f>
        <v>2027</v>
      </c>
      <c r="F4" s="261">
        <f t="shared" ref="F4:AP4" si="0">E4+$D$3</f>
        <v>2028</v>
      </c>
      <c r="G4" s="261">
        <f t="shared" si="0"/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x14ac:dyDescent="0.2">
      <c r="B5" s="256" t="s">
        <v>405</v>
      </c>
      <c r="C5" s="262">
        <f>SUM(D5:AP5)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</row>
    <row r="6" spans="2:42" x14ac:dyDescent="0.2">
      <c r="B6" s="256" t="s">
        <v>406</v>
      </c>
      <c r="C6" s="262">
        <f t="shared" ref="C6:C12" si="1">SUM(D6:AP6)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</row>
    <row r="7" spans="2:42" x14ac:dyDescent="0.2">
      <c r="B7" s="256" t="s">
        <v>407</v>
      </c>
      <c r="C7" s="262">
        <f t="shared" si="1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</row>
    <row r="8" spans="2:42" x14ac:dyDescent="0.2">
      <c r="B8" s="256" t="s">
        <v>408</v>
      </c>
      <c r="C8" s="262">
        <f t="shared" si="1"/>
        <v>0</v>
      </c>
      <c r="D8" s="263">
        <v>0</v>
      </c>
      <c r="E8" s="263">
        <v>0</v>
      </c>
      <c r="F8" s="263">
        <v>0</v>
      </c>
      <c r="G8" s="263">
        <v>0</v>
      </c>
      <c r="H8" s="263">
        <v>0</v>
      </c>
      <c r="I8" s="263">
        <v>0</v>
      </c>
      <c r="J8" s="263">
        <v>0</v>
      </c>
      <c r="K8" s="263">
        <v>0</v>
      </c>
      <c r="L8" s="263">
        <v>0</v>
      </c>
      <c r="M8" s="263">
        <v>0</v>
      </c>
      <c r="N8" s="263">
        <v>0</v>
      </c>
      <c r="O8" s="263">
        <v>0</v>
      </c>
      <c r="P8" s="263">
        <v>0</v>
      </c>
      <c r="Q8" s="263">
        <v>0</v>
      </c>
      <c r="R8" s="263">
        <v>0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0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0</v>
      </c>
      <c r="AN8" s="263">
        <v>0</v>
      </c>
      <c r="AO8" s="263">
        <v>0</v>
      </c>
      <c r="AP8" s="263">
        <v>0</v>
      </c>
    </row>
    <row r="9" spans="2:42" x14ac:dyDescent="0.2">
      <c r="B9" s="256" t="s">
        <v>136</v>
      </c>
      <c r="C9" s="262">
        <f t="shared" si="1"/>
        <v>0</v>
      </c>
      <c r="D9" s="263">
        <v>0</v>
      </c>
      <c r="E9" s="263">
        <v>0</v>
      </c>
      <c r="F9" s="263">
        <v>0</v>
      </c>
      <c r="G9" s="263">
        <v>0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  <c r="AP9" s="263">
        <v>0</v>
      </c>
    </row>
    <row r="10" spans="2:42" ht="11.85" customHeight="1" x14ac:dyDescent="0.2">
      <c r="B10" s="256" t="s">
        <v>133</v>
      </c>
      <c r="C10" s="262">
        <f t="shared" si="1"/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0</v>
      </c>
      <c r="AN10" s="263">
        <v>0</v>
      </c>
      <c r="AO10" s="263">
        <v>0</v>
      </c>
      <c r="AP10" s="263">
        <v>0</v>
      </c>
    </row>
    <row r="11" spans="2:42" x14ac:dyDescent="0.2">
      <c r="B11" s="256" t="s">
        <v>137</v>
      </c>
      <c r="C11" s="262">
        <f t="shared" si="1"/>
        <v>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0</v>
      </c>
      <c r="AE11" s="263">
        <v>0</v>
      </c>
      <c r="AF11" s="263">
        <v>0</v>
      </c>
      <c r="AG11" s="263">
        <v>0</v>
      </c>
      <c r="AH11" s="263">
        <v>0</v>
      </c>
      <c r="AI11" s="263">
        <v>0</v>
      </c>
      <c r="AJ11" s="263">
        <v>0</v>
      </c>
      <c r="AK11" s="263">
        <v>0</v>
      </c>
      <c r="AL11" s="263">
        <v>0</v>
      </c>
      <c r="AM11" s="263">
        <v>0</v>
      </c>
      <c r="AN11" s="263">
        <v>0</v>
      </c>
      <c r="AO11" s="263">
        <v>0</v>
      </c>
      <c r="AP11" s="263">
        <v>0</v>
      </c>
    </row>
    <row r="12" spans="2:42" x14ac:dyDescent="0.2">
      <c r="B12" s="257" t="s">
        <v>9</v>
      </c>
      <c r="C12" s="264">
        <f t="shared" si="1"/>
        <v>0</v>
      </c>
      <c r="D12" s="264">
        <f>SUM(D5:D11)</f>
        <v>0</v>
      </c>
      <c r="E12" s="264">
        <f t="shared" ref="E12:AP12" si="2">SUM(E5:E11)</f>
        <v>0</v>
      </c>
      <c r="F12" s="264">
        <f t="shared" si="2"/>
        <v>0</v>
      </c>
      <c r="G12" s="264">
        <f t="shared" si="2"/>
        <v>0</v>
      </c>
      <c r="H12" s="264">
        <f t="shared" si="2"/>
        <v>0</v>
      </c>
      <c r="I12" s="264">
        <f t="shared" si="2"/>
        <v>0</v>
      </c>
      <c r="J12" s="264">
        <f t="shared" si="2"/>
        <v>0</v>
      </c>
      <c r="K12" s="264">
        <f t="shared" si="2"/>
        <v>0</v>
      </c>
      <c r="L12" s="264">
        <f t="shared" si="2"/>
        <v>0</v>
      </c>
      <c r="M12" s="264">
        <f t="shared" si="2"/>
        <v>0</v>
      </c>
      <c r="N12" s="264">
        <f t="shared" si="2"/>
        <v>0</v>
      </c>
      <c r="O12" s="264">
        <f t="shared" si="2"/>
        <v>0</v>
      </c>
      <c r="P12" s="264">
        <f t="shared" si="2"/>
        <v>0</v>
      </c>
      <c r="Q12" s="264">
        <f t="shared" si="2"/>
        <v>0</v>
      </c>
      <c r="R12" s="264">
        <f t="shared" si="2"/>
        <v>0</v>
      </c>
      <c r="S12" s="264">
        <f t="shared" si="2"/>
        <v>0</v>
      </c>
      <c r="T12" s="264">
        <f t="shared" si="2"/>
        <v>0</v>
      </c>
      <c r="U12" s="264">
        <f t="shared" si="2"/>
        <v>0</v>
      </c>
      <c r="V12" s="264">
        <f t="shared" si="2"/>
        <v>0</v>
      </c>
      <c r="W12" s="264">
        <f t="shared" si="2"/>
        <v>0</v>
      </c>
      <c r="X12" s="264">
        <f t="shared" si="2"/>
        <v>0</v>
      </c>
      <c r="Y12" s="264">
        <f t="shared" si="2"/>
        <v>0</v>
      </c>
      <c r="Z12" s="264">
        <f t="shared" si="2"/>
        <v>0</v>
      </c>
      <c r="AA12" s="264">
        <f t="shared" si="2"/>
        <v>0</v>
      </c>
      <c r="AB12" s="264">
        <f t="shared" si="2"/>
        <v>0</v>
      </c>
      <c r="AC12" s="264">
        <f t="shared" si="2"/>
        <v>0</v>
      </c>
      <c r="AD12" s="264">
        <f t="shared" si="2"/>
        <v>0</v>
      </c>
      <c r="AE12" s="264">
        <f t="shared" si="2"/>
        <v>0</v>
      </c>
      <c r="AF12" s="264">
        <f t="shared" si="2"/>
        <v>0</v>
      </c>
      <c r="AG12" s="264">
        <f t="shared" si="2"/>
        <v>0</v>
      </c>
      <c r="AH12" s="264">
        <f t="shared" si="2"/>
        <v>0</v>
      </c>
      <c r="AI12" s="264">
        <f t="shared" si="2"/>
        <v>0</v>
      </c>
      <c r="AJ12" s="264">
        <f t="shared" si="2"/>
        <v>0</v>
      </c>
      <c r="AK12" s="264">
        <f t="shared" si="2"/>
        <v>0</v>
      </c>
      <c r="AL12" s="264">
        <f t="shared" si="2"/>
        <v>0</v>
      </c>
      <c r="AM12" s="264">
        <f t="shared" si="2"/>
        <v>0</v>
      </c>
      <c r="AN12" s="264">
        <f t="shared" si="2"/>
        <v>0</v>
      </c>
      <c r="AO12" s="264">
        <f t="shared" si="2"/>
        <v>0</v>
      </c>
      <c r="AP12" s="264">
        <f t="shared" si="2"/>
        <v>0</v>
      </c>
    </row>
    <row r="15" spans="2:42" x14ac:dyDescent="0.2">
      <c r="B15" s="256"/>
      <c r="C15" s="256"/>
      <c r="D15" s="256" t="s">
        <v>10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</row>
    <row r="16" spans="2:42" x14ac:dyDescent="0.2">
      <c r="B16" s="257" t="s">
        <v>450</v>
      </c>
      <c r="C16" s="257"/>
      <c r="D16" s="258">
        <v>1</v>
      </c>
      <c r="E16" s="258">
        <v>2</v>
      </c>
      <c r="F16" s="258">
        <v>3</v>
      </c>
      <c r="G16" s="258">
        <v>4</v>
      </c>
      <c r="H16" s="258">
        <v>5</v>
      </c>
      <c r="I16" s="258">
        <v>6</v>
      </c>
      <c r="J16" s="258">
        <v>7</v>
      </c>
      <c r="K16" s="258">
        <v>8</v>
      </c>
      <c r="L16" s="258">
        <v>9</v>
      </c>
      <c r="M16" s="258">
        <v>10</v>
      </c>
      <c r="N16" s="258">
        <v>11</v>
      </c>
      <c r="O16" s="258">
        <v>12</v>
      </c>
      <c r="P16" s="258">
        <v>13</v>
      </c>
      <c r="Q16" s="258">
        <v>14</v>
      </c>
      <c r="R16" s="258">
        <v>15</v>
      </c>
      <c r="S16" s="258">
        <v>16</v>
      </c>
      <c r="T16" s="258">
        <v>17</v>
      </c>
      <c r="U16" s="258">
        <v>18</v>
      </c>
      <c r="V16" s="258">
        <v>19</v>
      </c>
      <c r="W16" s="258">
        <v>20</v>
      </c>
      <c r="X16" s="258">
        <v>21</v>
      </c>
      <c r="Y16" s="258">
        <v>22</v>
      </c>
      <c r="Z16" s="258">
        <v>23</v>
      </c>
      <c r="AA16" s="258">
        <v>24</v>
      </c>
      <c r="AB16" s="258">
        <v>25</v>
      </c>
      <c r="AC16" s="258">
        <v>26</v>
      </c>
      <c r="AD16" s="258">
        <v>27</v>
      </c>
      <c r="AE16" s="258">
        <v>28</v>
      </c>
      <c r="AF16" s="258">
        <v>29</v>
      </c>
      <c r="AG16" s="258">
        <v>30</v>
      </c>
      <c r="AH16" s="258">
        <v>31</v>
      </c>
      <c r="AI16" s="258">
        <v>32</v>
      </c>
      <c r="AJ16" s="258">
        <v>33</v>
      </c>
      <c r="AK16" s="258">
        <v>34</v>
      </c>
      <c r="AL16" s="258">
        <v>35</v>
      </c>
      <c r="AM16" s="258">
        <v>36</v>
      </c>
      <c r="AN16" s="258">
        <v>37</v>
      </c>
      <c r="AO16" s="258">
        <v>38</v>
      </c>
      <c r="AP16" s="258">
        <v>39</v>
      </c>
    </row>
    <row r="17" spans="2:42" x14ac:dyDescent="0.2">
      <c r="B17" s="259" t="s">
        <v>34</v>
      </c>
      <c r="C17" s="260" t="s">
        <v>9</v>
      </c>
      <c r="D17" s="261">
        <f>D4</f>
        <v>2026</v>
      </c>
      <c r="E17" s="261">
        <f t="shared" ref="E17:AP17" si="3">E4</f>
        <v>2027</v>
      </c>
      <c r="F17" s="261">
        <f t="shared" si="3"/>
        <v>2028</v>
      </c>
      <c r="G17" s="261">
        <f t="shared" si="3"/>
        <v>2029</v>
      </c>
      <c r="H17" s="261">
        <f t="shared" si="3"/>
        <v>2030</v>
      </c>
      <c r="I17" s="261">
        <f t="shared" si="3"/>
        <v>2031</v>
      </c>
      <c r="J17" s="261">
        <f t="shared" si="3"/>
        <v>2032</v>
      </c>
      <c r="K17" s="261">
        <f t="shared" si="3"/>
        <v>2033</v>
      </c>
      <c r="L17" s="261">
        <f t="shared" si="3"/>
        <v>2034</v>
      </c>
      <c r="M17" s="261">
        <f t="shared" si="3"/>
        <v>2035</v>
      </c>
      <c r="N17" s="261">
        <f t="shared" si="3"/>
        <v>2036</v>
      </c>
      <c r="O17" s="261">
        <f t="shared" si="3"/>
        <v>2037</v>
      </c>
      <c r="P17" s="261">
        <f t="shared" si="3"/>
        <v>2038</v>
      </c>
      <c r="Q17" s="261">
        <f t="shared" si="3"/>
        <v>2039</v>
      </c>
      <c r="R17" s="261">
        <f t="shared" si="3"/>
        <v>2040</v>
      </c>
      <c r="S17" s="261">
        <f t="shared" si="3"/>
        <v>2041</v>
      </c>
      <c r="T17" s="261">
        <f t="shared" si="3"/>
        <v>2042</v>
      </c>
      <c r="U17" s="261">
        <f t="shared" si="3"/>
        <v>2043</v>
      </c>
      <c r="V17" s="261">
        <f t="shared" si="3"/>
        <v>2044</v>
      </c>
      <c r="W17" s="261">
        <f t="shared" si="3"/>
        <v>2045</v>
      </c>
      <c r="X17" s="261">
        <f t="shared" si="3"/>
        <v>2046</v>
      </c>
      <c r="Y17" s="261">
        <f t="shared" si="3"/>
        <v>2047</v>
      </c>
      <c r="Z17" s="261">
        <f t="shared" si="3"/>
        <v>2048</v>
      </c>
      <c r="AA17" s="261">
        <f t="shared" si="3"/>
        <v>2049</v>
      </c>
      <c r="AB17" s="261">
        <f t="shared" si="3"/>
        <v>2050</v>
      </c>
      <c r="AC17" s="261">
        <f t="shared" si="3"/>
        <v>2051</v>
      </c>
      <c r="AD17" s="261">
        <f t="shared" si="3"/>
        <v>2052</v>
      </c>
      <c r="AE17" s="261">
        <f t="shared" si="3"/>
        <v>2053</v>
      </c>
      <c r="AF17" s="261">
        <f t="shared" si="3"/>
        <v>2054</v>
      </c>
      <c r="AG17" s="261">
        <f t="shared" si="3"/>
        <v>2055</v>
      </c>
      <c r="AH17" s="261">
        <f t="shared" si="3"/>
        <v>2056</v>
      </c>
      <c r="AI17" s="261">
        <f t="shared" si="3"/>
        <v>2057</v>
      </c>
      <c r="AJ17" s="261">
        <f t="shared" si="3"/>
        <v>2058</v>
      </c>
      <c r="AK17" s="261">
        <f t="shared" si="3"/>
        <v>2059</v>
      </c>
      <c r="AL17" s="261">
        <f t="shared" si="3"/>
        <v>2060</v>
      </c>
      <c r="AM17" s="261">
        <f t="shared" si="3"/>
        <v>2061</v>
      </c>
      <c r="AN17" s="261">
        <f t="shared" si="3"/>
        <v>2062</v>
      </c>
      <c r="AO17" s="261">
        <f t="shared" si="3"/>
        <v>2063</v>
      </c>
      <c r="AP17" s="261">
        <f t="shared" si="3"/>
        <v>2064</v>
      </c>
    </row>
    <row r="18" spans="2:42" x14ac:dyDescent="0.2">
      <c r="B18" s="256" t="s">
        <v>405</v>
      </c>
      <c r="C18" s="262">
        <f>SUM(D18:AP18)</f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</row>
    <row r="19" spans="2:42" x14ac:dyDescent="0.2">
      <c r="B19" s="256" t="s">
        <v>406</v>
      </c>
      <c r="C19" s="262">
        <f t="shared" ref="C19:C25" si="4">SUM(D19:AP19)</f>
        <v>0</v>
      </c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</row>
    <row r="20" spans="2:42" x14ac:dyDescent="0.2">
      <c r="B20" s="256" t="s">
        <v>407</v>
      </c>
      <c r="C20" s="262">
        <f t="shared" si="4"/>
        <v>0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0</v>
      </c>
      <c r="AN20" s="263">
        <v>0</v>
      </c>
      <c r="AO20" s="263">
        <v>0</v>
      </c>
      <c r="AP20" s="263">
        <v>0</v>
      </c>
    </row>
    <row r="21" spans="2:42" x14ac:dyDescent="0.2">
      <c r="B21" s="256" t="s">
        <v>408</v>
      </c>
      <c r="C21" s="262">
        <f t="shared" si="4"/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</row>
    <row r="22" spans="2:42" x14ac:dyDescent="0.2">
      <c r="B22" s="256" t="s">
        <v>136</v>
      </c>
      <c r="C22" s="262">
        <f t="shared" si="4"/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</row>
    <row r="23" spans="2:42" ht="11.85" customHeight="1" x14ac:dyDescent="0.2">
      <c r="B23" s="256" t="s">
        <v>133</v>
      </c>
      <c r="C23" s="262">
        <f t="shared" si="4"/>
        <v>0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0</v>
      </c>
      <c r="AN23" s="263">
        <v>0</v>
      </c>
      <c r="AO23" s="263">
        <v>0</v>
      </c>
      <c r="AP23" s="263">
        <v>0</v>
      </c>
    </row>
    <row r="24" spans="2:42" x14ac:dyDescent="0.2">
      <c r="B24" s="256" t="s">
        <v>137</v>
      </c>
      <c r="C24" s="262">
        <f t="shared" si="4"/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263">
        <v>0</v>
      </c>
      <c r="AP24" s="263">
        <v>0</v>
      </c>
    </row>
    <row r="25" spans="2:42" x14ac:dyDescent="0.2">
      <c r="B25" s="257" t="s">
        <v>35</v>
      </c>
      <c r="C25" s="264">
        <f t="shared" si="4"/>
        <v>0</v>
      </c>
      <c r="D25" s="264">
        <f t="shared" ref="D25:AP25" si="5">SUM(D18:D24)</f>
        <v>0</v>
      </c>
      <c r="E25" s="264">
        <f t="shared" si="5"/>
        <v>0</v>
      </c>
      <c r="F25" s="264">
        <f t="shared" si="5"/>
        <v>0</v>
      </c>
      <c r="G25" s="264">
        <f t="shared" si="5"/>
        <v>0</v>
      </c>
      <c r="H25" s="264">
        <f t="shared" si="5"/>
        <v>0</v>
      </c>
      <c r="I25" s="264">
        <f t="shared" si="5"/>
        <v>0</v>
      </c>
      <c r="J25" s="264">
        <f t="shared" si="5"/>
        <v>0</v>
      </c>
      <c r="K25" s="264">
        <f t="shared" si="5"/>
        <v>0</v>
      </c>
      <c r="L25" s="264">
        <f t="shared" si="5"/>
        <v>0</v>
      </c>
      <c r="M25" s="264">
        <f t="shared" si="5"/>
        <v>0</v>
      </c>
      <c r="N25" s="264">
        <f t="shared" si="5"/>
        <v>0</v>
      </c>
      <c r="O25" s="264">
        <f t="shared" si="5"/>
        <v>0</v>
      </c>
      <c r="P25" s="264">
        <f t="shared" si="5"/>
        <v>0</v>
      </c>
      <c r="Q25" s="264">
        <f t="shared" si="5"/>
        <v>0</v>
      </c>
      <c r="R25" s="264">
        <f t="shared" si="5"/>
        <v>0</v>
      </c>
      <c r="S25" s="264">
        <f t="shared" si="5"/>
        <v>0</v>
      </c>
      <c r="T25" s="264">
        <f t="shared" si="5"/>
        <v>0</v>
      </c>
      <c r="U25" s="264">
        <f t="shared" si="5"/>
        <v>0</v>
      </c>
      <c r="V25" s="264">
        <f t="shared" si="5"/>
        <v>0</v>
      </c>
      <c r="W25" s="264">
        <f t="shared" si="5"/>
        <v>0</v>
      </c>
      <c r="X25" s="264">
        <f t="shared" si="5"/>
        <v>0</v>
      </c>
      <c r="Y25" s="264">
        <f t="shared" si="5"/>
        <v>0</v>
      </c>
      <c r="Z25" s="264">
        <f t="shared" si="5"/>
        <v>0</v>
      </c>
      <c r="AA25" s="264">
        <f t="shared" si="5"/>
        <v>0</v>
      </c>
      <c r="AB25" s="264">
        <f t="shared" si="5"/>
        <v>0</v>
      </c>
      <c r="AC25" s="264">
        <f t="shared" si="5"/>
        <v>0</v>
      </c>
      <c r="AD25" s="264">
        <f t="shared" si="5"/>
        <v>0</v>
      </c>
      <c r="AE25" s="264">
        <f t="shared" si="5"/>
        <v>0</v>
      </c>
      <c r="AF25" s="264">
        <f t="shared" si="5"/>
        <v>0</v>
      </c>
      <c r="AG25" s="264">
        <f t="shared" si="5"/>
        <v>0</v>
      </c>
      <c r="AH25" s="264">
        <f t="shared" si="5"/>
        <v>0</v>
      </c>
      <c r="AI25" s="264">
        <f t="shared" si="5"/>
        <v>0</v>
      </c>
      <c r="AJ25" s="264">
        <f t="shared" si="5"/>
        <v>0</v>
      </c>
      <c r="AK25" s="264">
        <f t="shared" si="5"/>
        <v>0</v>
      </c>
      <c r="AL25" s="264">
        <f t="shared" si="5"/>
        <v>0</v>
      </c>
      <c r="AM25" s="264">
        <f t="shared" si="5"/>
        <v>0</v>
      </c>
      <c r="AN25" s="264">
        <f t="shared" si="5"/>
        <v>0</v>
      </c>
      <c r="AO25" s="264">
        <f t="shared" si="5"/>
        <v>0</v>
      </c>
      <c r="AP25" s="264">
        <f t="shared" si="5"/>
        <v>0</v>
      </c>
    </row>
    <row r="28" spans="2:42" x14ac:dyDescent="0.2">
      <c r="B28" s="256"/>
      <c r="C28" s="256"/>
      <c r="D28" s="256" t="s">
        <v>10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</row>
    <row r="29" spans="2:42" x14ac:dyDescent="0.2">
      <c r="B29" s="257" t="s">
        <v>451</v>
      </c>
      <c r="C29" s="257"/>
      <c r="D29" s="258">
        <v>1</v>
      </c>
      <c r="E29" s="258">
        <v>2</v>
      </c>
      <c r="F29" s="258">
        <v>3</v>
      </c>
      <c r="G29" s="258">
        <v>4</v>
      </c>
      <c r="H29" s="258">
        <v>5</v>
      </c>
      <c r="I29" s="258">
        <v>6</v>
      </c>
      <c r="J29" s="258">
        <v>7</v>
      </c>
      <c r="K29" s="258">
        <v>8</v>
      </c>
      <c r="L29" s="258">
        <v>9</v>
      </c>
      <c r="M29" s="258">
        <v>10</v>
      </c>
      <c r="N29" s="258">
        <v>11</v>
      </c>
      <c r="O29" s="258">
        <v>12</v>
      </c>
      <c r="P29" s="258">
        <v>13</v>
      </c>
      <c r="Q29" s="258">
        <v>14</v>
      </c>
      <c r="R29" s="258">
        <v>15</v>
      </c>
      <c r="S29" s="258">
        <v>16</v>
      </c>
      <c r="T29" s="258">
        <v>17</v>
      </c>
      <c r="U29" s="258">
        <v>18</v>
      </c>
      <c r="V29" s="258">
        <v>19</v>
      </c>
      <c r="W29" s="258">
        <v>20</v>
      </c>
      <c r="X29" s="258">
        <v>21</v>
      </c>
      <c r="Y29" s="258">
        <v>22</v>
      </c>
      <c r="Z29" s="258">
        <v>23</v>
      </c>
      <c r="AA29" s="258">
        <v>24</v>
      </c>
      <c r="AB29" s="258">
        <v>25</v>
      </c>
      <c r="AC29" s="258">
        <v>26</v>
      </c>
      <c r="AD29" s="258">
        <v>27</v>
      </c>
      <c r="AE29" s="258">
        <v>28</v>
      </c>
      <c r="AF29" s="258">
        <v>29</v>
      </c>
      <c r="AG29" s="258">
        <v>30</v>
      </c>
      <c r="AH29" s="258">
        <v>31</v>
      </c>
      <c r="AI29" s="258">
        <v>32</v>
      </c>
      <c r="AJ29" s="258">
        <v>33</v>
      </c>
      <c r="AK29" s="258">
        <v>34</v>
      </c>
      <c r="AL29" s="258">
        <v>35</v>
      </c>
      <c r="AM29" s="258">
        <v>36</v>
      </c>
      <c r="AN29" s="258">
        <v>37</v>
      </c>
      <c r="AO29" s="258">
        <v>38</v>
      </c>
      <c r="AP29" s="258">
        <v>39</v>
      </c>
    </row>
    <row r="30" spans="2:42" x14ac:dyDescent="0.2">
      <c r="B30" s="259" t="s">
        <v>63</v>
      </c>
      <c r="C30" s="260" t="s">
        <v>9</v>
      </c>
      <c r="D30" s="261">
        <f>D4</f>
        <v>2026</v>
      </c>
      <c r="E30" s="261">
        <f t="shared" ref="E30:AP30" si="6">E4</f>
        <v>2027</v>
      </c>
      <c r="F30" s="261">
        <f t="shared" si="6"/>
        <v>2028</v>
      </c>
      <c r="G30" s="261">
        <f t="shared" si="6"/>
        <v>2029</v>
      </c>
      <c r="H30" s="261">
        <f t="shared" si="6"/>
        <v>2030</v>
      </c>
      <c r="I30" s="261">
        <f t="shared" si="6"/>
        <v>2031</v>
      </c>
      <c r="J30" s="261">
        <f t="shared" si="6"/>
        <v>2032</v>
      </c>
      <c r="K30" s="261">
        <f t="shared" si="6"/>
        <v>2033</v>
      </c>
      <c r="L30" s="261">
        <f t="shared" si="6"/>
        <v>2034</v>
      </c>
      <c r="M30" s="261">
        <f t="shared" si="6"/>
        <v>2035</v>
      </c>
      <c r="N30" s="261">
        <f t="shared" si="6"/>
        <v>2036</v>
      </c>
      <c r="O30" s="261">
        <f t="shared" si="6"/>
        <v>2037</v>
      </c>
      <c r="P30" s="261">
        <f t="shared" si="6"/>
        <v>2038</v>
      </c>
      <c r="Q30" s="261">
        <f t="shared" si="6"/>
        <v>2039</v>
      </c>
      <c r="R30" s="261">
        <f t="shared" si="6"/>
        <v>2040</v>
      </c>
      <c r="S30" s="261">
        <f t="shared" si="6"/>
        <v>2041</v>
      </c>
      <c r="T30" s="261">
        <f t="shared" si="6"/>
        <v>2042</v>
      </c>
      <c r="U30" s="261">
        <f t="shared" si="6"/>
        <v>2043</v>
      </c>
      <c r="V30" s="261">
        <f t="shared" si="6"/>
        <v>2044</v>
      </c>
      <c r="W30" s="261">
        <f t="shared" si="6"/>
        <v>2045</v>
      </c>
      <c r="X30" s="261">
        <f t="shared" si="6"/>
        <v>2046</v>
      </c>
      <c r="Y30" s="261">
        <f t="shared" si="6"/>
        <v>2047</v>
      </c>
      <c r="Z30" s="261">
        <f t="shared" si="6"/>
        <v>2048</v>
      </c>
      <c r="AA30" s="261">
        <f t="shared" si="6"/>
        <v>2049</v>
      </c>
      <c r="AB30" s="261">
        <f t="shared" si="6"/>
        <v>2050</v>
      </c>
      <c r="AC30" s="261">
        <f t="shared" si="6"/>
        <v>2051</v>
      </c>
      <c r="AD30" s="261">
        <f t="shared" si="6"/>
        <v>2052</v>
      </c>
      <c r="AE30" s="261">
        <f t="shared" si="6"/>
        <v>2053</v>
      </c>
      <c r="AF30" s="261">
        <f t="shared" si="6"/>
        <v>2054</v>
      </c>
      <c r="AG30" s="261">
        <f t="shared" si="6"/>
        <v>2055</v>
      </c>
      <c r="AH30" s="261">
        <f t="shared" si="6"/>
        <v>2056</v>
      </c>
      <c r="AI30" s="261">
        <f t="shared" si="6"/>
        <v>2057</v>
      </c>
      <c r="AJ30" s="261">
        <f t="shared" si="6"/>
        <v>2058</v>
      </c>
      <c r="AK30" s="261">
        <f t="shared" si="6"/>
        <v>2059</v>
      </c>
      <c r="AL30" s="261">
        <f t="shared" si="6"/>
        <v>2060</v>
      </c>
      <c r="AM30" s="261">
        <f t="shared" si="6"/>
        <v>2061</v>
      </c>
      <c r="AN30" s="261">
        <f t="shared" si="6"/>
        <v>2062</v>
      </c>
      <c r="AO30" s="261">
        <f t="shared" si="6"/>
        <v>2063</v>
      </c>
      <c r="AP30" s="261">
        <f t="shared" si="6"/>
        <v>2064</v>
      </c>
    </row>
    <row r="31" spans="2:42" x14ac:dyDescent="0.2">
      <c r="B31" s="256" t="s">
        <v>405</v>
      </c>
      <c r="C31" s="262">
        <f>SUM(D31:AP31)</f>
        <v>0</v>
      </c>
      <c r="D31" s="262">
        <f>D5-D18</f>
        <v>0</v>
      </c>
      <c r="E31" s="262">
        <f t="shared" ref="E31:AP37" si="7">E5-E18</f>
        <v>0</v>
      </c>
      <c r="F31" s="262">
        <f t="shared" si="7"/>
        <v>0</v>
      </c>
      <c r="G31" s="262">
        <f t="shared" si="7"/>
        <v>0</v>
      </c>
      <c r="H31" s="262">
        <f t="shared" si="7"/>
        <v>0</v>
      </c>
      <c r="I31" s="262">
        <f t="shared" si="7"/>
        <v>0</v>
      </c>
      <c r="J31" s="262">
        <f t="shared" si="7"/>
        <v>0</v>
      </c>
      <c r="K31" s="262">
        <f t="shared" si="7"/>
        <v>0</v>
      </c>
      <c r="L31" s="262">
        <f t="shared" si="7"/>
        <v>0</v>
      </c>
      <c r="M31" s="262">
        <f t="shared" si="7"/>
        <v>0</v>
      </c>
      <c r="N31" s="262">
        <f t="shared" si="7"/>
        <v>0</v>
      </c>
      <c r="O31" s="262">
        <f t="shared" si="7"/>
        <v>0</v>
      </c>
      <c r="P31" s="262">
        <f t="shared" si="7"/>
        <v>0</v>
      </c>
      <c r="Q31" s="262">
        <f t="shared" si="7"/>
        <v>0</v>
      </c>
      <c r="R31" s="262">
        <f t="shared" si="7"/>
        <v>0</v>
      </c>
      <c r="S31" s="262">
        <f t="shared" si="7"/>
        <v>0</v>
      </c>
      <c r="T31" s="262">
        <f t="shared" si="7"/>
        <v>0</v>
      </c>
      <c r="U31" s="262">
        <f t="shared" si="7"/>
        <v>0</v>
      </c>
      <c r="V31" s="262">
        <f t="shared" si="7"/>
        <v>0</v>
      </c>
      <c r="W31" s="262">
        <f t="shared" si="7"/>
        <v>0</v>
      </c>
      <c r="X31" s="262">
        <f t="shared" si="7"/>
        <v>0</v>
      </c>
      <c r="Y31" s="262">
        <f t="shared" si="7"/>
        <v>0</v>
      </c>
      <c r="Z31" s="262">
        <f t="shared" si="7"/>
        <v>0</v>
      </c>
      <c r="AA31" s="262">
        <f t="shared" si="7"/>
        <v>0</v>
      </c>
      <c r="AB31" s="262">
        <f t="shared" si="7"/>
        <v>0</v>
      </c>
      <c r="AC31" s="262">
        <f t="shared" si="7"/>
        <v>0</v>
      </c>
      <c r="AD31" s="262">
        <f t="shared" si="7"/>
        <v>0</v>
      </c>
      <c r="AE31" s="262">
        <f t="shared" si="7"/>
        <v>0</v>
      </c>
      <c r="AF31" s="262">
        <f t="shared" si="7"/>
        <v>0</v>
      </c>
      <c r="AG31" s="262">
        <f t="shared" si="7"/>
        <v>0</v>
      </c>
      <c r="AH31" s="262">
        <f t="shared" si="7"/>
        <v>0</v>
      </c>
      <c r="AI31" s="262">
        <f t="shared" si="7"/>
        <v>0</v>
      </c>
      <c r="AJ31" s="262">
        <f t="shared" si="7"/>
        <v>0</v>
      </c>
      <c r="AK31" s="262">
        <f t="shared" si="7"/>
        <v>0</v>
      </c>
      <c r="AL31" s="262">
        <f t="shared" si="7"/>
        <v>0</v>
      </c>
      <c r="AM31" s="262">
        <f t="shared" si="7"/>
        <v>0</v>
      </c>
      <c r="AN31" s="262">
        <f t="shared" si="7"/>
        <v>0</v>
      </c>
      <c r="AO31" s="262">
        <f t="shared" si="7"/>
        <v>0</v>
      </c>
      <c r="AP31" s="262">
        <f t="shared" si="7"/>
        <v>0</v>
      </c>
    </row>
    <row r="32" spans="2:42" x14ac:dyDescent="0.2">
      <c r="B32" s="256" t="s">
        <v>406</v>
      </c>
      <c r="C32" s="262">
        <f t="shared" ref="C32:C38" si="8">SUM(D32:AP32)</f>
        <v>0</v>
      </c>
      <c r="D32" s="262">
        <f t="shared" ref="D32:S37" si="9">D6-D19</f>
        <v>0</v>
      </c>
      <c r="E32" s="262">
        <f t="shared" si="9"/>
        <v>0</v>
      </c>
      <c r="F32" s="262">
        <f t="shared" si="9"/>
        <v>0</v>
      </c>
      <c r="G32" s="262">
        <f t="shared" si="9"/>
        <v>0</v>
      </c>
      <c r="H32" s="262">
        <f t="shared" si="9"/>
        <v>0</v>
      </c>
      <c r="I32" s="262">
        <f t="shared" si="9"/>
        <v>0</v>
      </c>
      <c r="J32" s="262">
        <f t="shared" si="9"/>
        <v>0</v>
      </c>
      <c r="K32" s="262">
        <f t="shared" si="9"/>
        <v>0</v>
      </c>
      <c r="L32" s="262">
        <f t="shared" si="9"/>
        <v>0</v>
      </c>
      <c r="M32" s="262">
        <f t="shared" si="9"/>
        <v>0</v>
      </c>
      <c r="N32" s="262">
        <f t="shared" si="9"/>
        <v>0</v>
      </c>
      <c r="O32" s="262">
        <f t="shared" si="9"/>
        <v>0</v>
      </c>
      <c r="P32" s="262">
        <f t="shared" si="9"/>
        <v>0</v>
      </c>
      <c r="Q32" s="262">
        <f t="shared" si="9"/>
        <v>0</v>
      </c>
      <c r="R32" s="262">
        <f t="shared" si="9"/>
        <v>0</v>
      </c>
      <c r="S32" s="262">
        <f t="shared" si="9"/>
        <v>0</v>
      </c>
      <c r="T32" s="262">
        <f t="shared" si="7"/>
        <v>0</v>
      </c>
      <c r="U32" s="262">
        <f t="shared" si="7"/>
        <v>0</v>
      </c>
      <c r="V32" s="262">
        <f t="shared" si="7"/>
        <v>0</v>
      </c>
      <c r="W32" s="262">
        <f t="shared" si="7"/>
        <v>0</v>
      </c>
      <c r="X32" s="262">
        <f t="shared" si="7"/>
        <v>0</v>
      </c>
      <c r="Y32" s="262">
        <f t="shared" si="7"/>
        <v>0</v>
      </c>
      <c r="Z32" s="262">
        <f t="shared" si="7"/>
        <v>0</v>
      </c>
      <c r="AA32" s="262">
        <f t="shared" si="7"/>
        <v>0</v>
      </c>
      <c r="AB32" s="262">
        <f t="shared" si="7"/>
        <v>0</v>
      </c>
      <c r="AC32" s="262">
        <f t="shared" si="7"/>
        <v>0</v>
      </c>
      <c r="AD32" s="262">
        <f t="shared" si="7"/>
        <v>0</v>
      </c>
      <c r="AE32" s="262">
        <f t="shared" si="7"/>
        <v>0</v>
      </c>
      <c r="AF32" s="262">
        <f t="shared" si="7"/>
        <v>0</v>
      </c>
      <c r="AG32" s="262">
        <f t="shared" si="7"/>
        <v>0</v>
      </c>
      <c r="AH32" s="262">
        <f t="shared" si="7"/>
        <v>0</v>
      </c>
      <c r="AI32" s="262">
        <f t="shared" si="7"/>
        <v>0</v>
      </c>
      <c r="AJ32" s="262">
        <f t="shared" si="7"/>
        <v>0</v>
      </c>
      <c r="AK32" s="262">
        <f t="shared" si="7"/>
        <v>0</v>
      </c>
      <c r="AL32" s="262">
        <f t="shared" si="7"/>
        <v>0</v>
      </c>
      <c r="AM32" s="262">
        <f t="shared" si="7"/>
        <v>0</v>
      </c>
      <c r="AN32" s="262">
        <f t="shared" si="7"/>
        <v>0</v>
      </c>
      <c r="AO32" s="262">
        <f t="shared" si="7"/>
        <v>0</v>
      </c>
      <c r="AP32" s="262">
        <f t="shared" si="7"/>
        <v>0</v>
      </c>
    </row>
    <row r="33" spans="2:42" x14ac:dyDescent="0.2">
      <c r="B33" s="256" t="s">
        <v>407</v>
      </c>
      <c r="C33" s="262">
        <f t="shared" si="8"/>
        <v>0</v>
      </c>
      <c r="D33" s="262">
        <f t="shared" si="9"/>
        <v>0</v>
      </c>
      <c r="E33" s="262">
        <f t="shared" si="7"/>
        <v>0</v>
      </c>
      <c r="F33" s="262">
        <f t="shared" si="7"/>
        <v>0</v>
      </c>
      <c r="G33" s="262">
        <f t="shared" si="7"/>
        <v>0</v>
      </c>
      <c r="H33" s="262">
        <f t="shared" si="7"/>
        <v>0</v>
      </c>
      <c r="I33" s="262">
        <f t="shared" si="7"/>
        <v>0</v>
      </c>
      <c r="J33" s="262">
        <f t="shared" si="7"/>
        <v>0</v>
      </c>
      <c r="K33" s="262">
        <f t="shared" si="7"/>
        <v>0</v>
      </c>
      <c r="L33" s="262">
        <f t="shared" si="7"/>
        <v>0</v>
      </c>
      <c r="M33" s="262">
        <f t="shared" si="7"/>
        <v>0</v>
      </c>
      <c r="N33" s="262">
        <f t="shared" si="7"/>
        <v>0</v>
      </c>
      <c r="O33" s="262">
        <f t="shared" si="7"/>
        <v>0</v>
      </c>
      <c r="P33" s="262">
        <f t="shared" si="7"/>
        <v>0</v>
      </c>
      <c r="Q33" s="262">
        <f t="shared" si="7"/>
        <v>0</v>
      </c>
      <c r="R33" s="262">
        <f t="shared" si="7"/>
        <v>0</v>
      </c>
      <c r="S33" s="262">
        <f t="shared" si="7"/>
        <v>0</v>
      </c>
      <c r="T33" s="262">
        <f t="shared" si="7"/>
        <v>0</v>
      </c>
      <c r="U33" s="262">
        <f t="shared" si="7"/>
        <v>0</v>
      </c>
      <c r="V33" s="262">
        <f t="shared" si="7"/>
        <v>0</v>
      </c>
      <c r="W33" s="262">
        <f t="shared" si="7"/>
        <v>0</v>
      </c>
      <c r="X33" s="262">
        <f t="shared" si="7"/>
        <v>0</v>
      </c>
      <c r="Y33" s="262">
        <f t="shared" si="7"/>
        <v>0</v>
      </c>
      <c r="Z33" s="262">
        <f t="shared" si="7"/>
        <v>0</v>
      </c>
      <c r="AA33" s="262">
        <f t="shared" si="7"/>
        <v>0</v>
      </c>
      <c r="AB33" s="262">
        <f t="shared" si="7"/>
        <v>0</v>
      </c>
      <c r="AC33" s="262">
        <f t="shared" si="7"/>
        <v>0</v>
      </c>
      <c r="AD33" s="262">
        <f t="shared" si="7"/>
        <v>0</v>
      </c>
      <c r="AE33" s="262">
        <f t="shared" si="7"/>
        <v>0</v>
      </c>
      <c r="AF33" s="262">
        <f t="shared" si="7"/>
        <v>0</v>
      </c>
      <c r="AG33" s="262">
        <f t="shared" si="7"/>
        <v>0</v>
      </c>
      <c r="AH33" s="262">
        <f t="shared" si="7"/>
        <v>0</v>
      </c>
      <c r="AI33" s="262">
        <f t="shared" si="7"/>
        <v>0</v>
      </c>
      <c r="AJ33" s="262">
        <f t="shared" si="7"/>
        <v>0</v>
      </c>
      <c r="AK33" s="262">
        <f t="shared" si="7"/>
        <v>0</v>
      </c>
      <c r="AL33" s="262">
        <f t="shared" si="7"/>
        <v>0</v>
      </c>
      <c r="AM33" s="262">
        <f t="shared" si="7"/>
        <v>0</v>
      </c>
      <c r="AN33" s="262">
        <f t="shared" si="7"/>
        <v>0</v>
      </c>
      <c r="AO33" s="262">
        <f t="shared" si="7"/>
        <v>0</v>
      </c>
      <c r="AP33" s="262">
        <f t="shared" si="7"/>
        <v>0</v>
      </c>
    </row>
    <row r="34" spans="2:42" x14ac:dyDescent="0.2">
      <c r="B34" s="256" t="s">
        <v>408</v>
      </c>
      <c r="C34" s="262">
        <f t="shared" si="8"/>
        <v>0</v>
      </c>
      <c r="D34" s="262">
        <f t="shared" si="9"/>
        <v>0</v>
      </c>
      <c r="E34" s="262">
        <f t="shared" si="7"/>
        <v>0</v>
      </c>
      <c r="F34" s="262">
        <f t="shared" si="7"/>
        <v>0</v>
      </c>
      <c r="G34" s="262">
        <f t="shared" si="7"/>
        <v>0</v>
      </c>
      <c r="H34" s="262">
        <f t="shared" si="7"/>
        <v>0</v>
      </c>
      <c r="I34" s="262">
        <f t="shared" si="7"/>
        <v>0</v>
      </c>
      <c r="J34" s="262">
        <f t="shared" si="7"/>
        <v>0</v>
      </c>
      <c r="K34" s="262">
        <f t="shared" si="7"/>
        <v>0</v>
      </c>
      <c r="L34" s="262">
        <f t="shared" si="7"/>
        <v>0</v>
      </c>
      <c r="M34" s="262">
        <f t="shared" si="7"/>
        <v>0</v>
      </c>
      <c r="N34" s="262">
        <f t="shared" si="7"/>
        <v>0</v>
      </c>
      <c r="O34" s="262">
        <f t="shared" si="7"/>
        <v>0</v>
      </c>
      <c r="P34" s="262">
        <f t="shared" si="7"/>
        <v>0</v>
      </c>
      <c r="Q34" s="262">
        <f t="shared" si="7"/>
        <v>0</v>
      </c>
      <c r="R34" s="262">
        <f t="shared" si="7"/>
        <v>0</v>
      </c>
      <c r="S34" s="262">
        <f t="shared" si="7"/>
        <v>0</v>
      </c>
      <c r="T34" s="262">
        <f t="shared" si="7"/>
        <v>0</v>
      </c>
      <c r="U34" s="262">
        <f t="shared" si="7"/>
        <v>0</v>
      </c>
      <c r="V34" s="262">
        <f t="shared" si="7"/>
        <v>0</v>
      </c>
      <c r="W34" s="262">
        <f t="shared" si="7"/>
        <v>0</v>
      </c>
      <c r="X34" s="262">
        <f t="shared" si="7"/>
        <v>0</v>
      </c>
      <c r="Y34" s="262">
        <f t="shared" si="7"/>
        <v>0</v>
      </c>
      <c r="Z34" s="262">
        <f t="shared" si="7"/>
        <v>0</v>
      </c>
      <c r="AA34" s="262">
        <f t="shared" si="7"/>
        <v>0</v>
      </c>
      <c r="AB34" s="262">
        <f t="shared" si="7"/>
        <v>0</v>
      </c>
      <c r="AC34" s="262">
        <f t="shared" si="7"/>
        <v>0</v>
      </c>
      <c r="AD34" s="262">
        <f t="shared" si="7"/>
        <v>0</v>
      </c>
      <c r="AE34" s="262">
        <f t="shared" si="7"/>
        <v>0</v>
      </c>
      <c r="AF34" s="262">
        <f>AF8-AF21</f>
        <v>0</v>
      </c>
      <c r="AG34" s="262">
        <f t="shared" si="7"/>
        <v>0</v>
      </c>
      <c r="AH34" s="262">
        <f t="shared" si="7"/>
        <v>0</v>
      </c>
      <c r="AI34" s="262">
        <f t="shared" si="7"/>
        <v>0</v>
      </c>
      <c r="AJ34" s="262">
        <f t="shared" si="7"/>
        <v>0</v>
      </c>
      <c r="AK34" s="262">
        <f t="shared" si="7"/>
        <v>0</v>
      </c>
      <c r="AL34" s="262">
        <f t="shared" si="7"/>
        <v>0</v>
      </c>
      <c r="AM34" s="262">
        <f t="shared" si="7"/>
        <v>0</v>
      </c>
      <c r="AN34" s="262">
        <f t="shared" si="7"/>
        <v>0</v>
      </c>
      <c r="AO34" s="262">
        <f t="shared" si="7"/>
        <v>0</v>
      </c>
      <c r="AP34" s="262">
        <f t="shared" si="7"/>
        <v>0</v>
      </c>
    </row>
    <row r="35" spans="2:42" x14ac:dyDescent="0.2">
      <c r="B35" s="256" t="s">
        <v>136</v>
      </c>
      <c r="C35" s="262">
        <f t="shared" si="8"/>
        <v>0</v>
      </c>
      <c r="D35" s="262">
        <f t="shared" si="9"/>
        <v>0</v>
      </c>
      <c r="E35" s="262">
        <f t="shared" si="7"/>
        <v>0</v>
      </c>
      <c r="F35" s="262">
        <f t="shared" si="7"/>
        <v>0</v>
      </c>
      <c r="G35" s="262">
        <f t="shared" si="7"/>
        <v>0</v>
      </c>
      <c r="H35" s="262">
        <f t="shared" si="7"/>
        <v>0</v>
      </c>
      <c r="I35" s="262">
        <f t="shared" si="7"/>
        <v>0</v>
      </c>
      <c r="J35" s="262">
        <f t="shared" si="7"/>
        <v>0</v>
      </c>
      <c r="K35" s="262">
        <f t="shared" si="7"/>
        <v>0</v>
      </c>
      <c r="L35" s="262">
        <f t="shared" si="7"/>
        <v>0</v>
      </c>
      <c r="M35" s="262">
        <f t="shared" si="7"/>
        <v>0</v>
      </c>
      <c r="N35" s="262">
        <f t="shared" si="7"/>
        <v>0</v>
      </c>
      <c r="O35" s="262">
        <f t="shared" si="7"/>
        <v>0</v>
      </c>
      <c r="P35" s="262">
        <f t="shared" si="7"/>
        <v>0</v>
      </c>
      <c r="Q35" s="262">
        <f t="shared" si="7"/>
        <v>0</v>
      </c>
      <c r="R35" s="262">
        <f t="shared" si="7"/>
        <v>0</v>
      </c>
      <c r="S35" s="262">
        <f t="shared" si="7"/>
        <v>0</v>
      </c>
      <c r="T35" s="262">
        <f t="shared" si="7"/>
        <v>0</v>
      </c>
      <c r="U35" s="262">
        <f t="shared" si="7"/>
        <v>0</v>
      </c>
      <c r="V35" s="262">
        <f t="shared" si="7"/>
        <v>0</v>
      </c>
      <c r="W35" s="262">
        <f t="shared" si="7"/>
        <v>0</v>
      </c>
      <c r="X35" s="262">
        <f t="shared" si="7"/>
        <v>0</v>
      </c>
      <c r="Y35" s="262">
        <f t="shared" si="7"/>
        <v>0</v>
      </c>
      <c r="Z35" s="262">
        <f t="shared" si="7"/>
        <v>0</v>
      </c>
      <c r="AA35" s="262">
        <f t="shared" si="7"/>
        <v>0</v>
      </c>
      <c r="AB35" s="262">
        <f t="shared" si="7"/>
        <v>0</v>
      </c>
      <c r="AC35" s="262">
        <f t="shared" si="7"/>
        <v>0</v>
      </c>
      <c r="AD35" s="262">
        <f t="shared" si="7"/>
        <v>0</v>
      </c>
      <c r="AE35" s="262">
        <f t="shared" si="7"/>
        <v>0</v>
      </c>
      <c r="AF35" s="262">
        <f t="shared" si="7"/>
        <v>0</v>
      </c>
      <c r="AG35" s="262">
        <f t="shared" si="7"/>
        <v>0</v>
      </c>
      <c r="AH35" s="262">
        <f t="shared" si="7"/>
        <v>0</v>
      </c>
      <c r="AI35" s="262">
        <f t="shared" si="7"/>
        <v>0</v>
      </c>
      <c r="AJ35" s="262">
        <f t="shared" si="7"/>
        <v>0</v>
      </c>
      <c r="AK35" s="262">
        <f t="shared" si="7"/>
        <v>0</v>
      </c>
      <c r="AL35" s="262">
        <f t="shared" si="7"/>
        <v>0</v>
      </c>
      <c r="AM35" s="262">
        <f t="shared" si="7"/>
        <v>0</v>
      </c>
      <c r="AN35" s="262">
        <f t="shared" si="7"/>
        <v>0</v>
      </c>
      <c r="AO35" s="262">
        <f t="shared" si="7"/>
        <v>0</v>
      </c>
      <c r="AP35" s="262">
        <f t="shared" si="7"/>
        <v>0</v>
      </c>
    </row>
    <row r="36" spans="2:42" ht="11.85" customHeight="1" x14ac:dyDescent="0.2">
      <c r="B36" s="256" t="s">
        <v>133</v>
      </c>
      <c r="C36" s="262">
        <f t="shared" si="8"/>
        <v>0</v>
      </c>
      <c r="D36" s="262">
        <f t="shared" si="9"/>
        <v>0</v>
      </c>
      <c r="E36" s="262">
        <f t="shared" si="7"/>
        <v>0</v>
      </c>
      <c r="F36" s="262">
        <f t="shared" si="7"/>
        <v>0</v>
      </c>
      <c r="G36" s="262">
        <f t="shared" si="7"/>
        <v>0</v>
      </c>
      <c r="H36" s="262">
        <f t="shared" si="7"/>
        <v>0</v>
      </c>
      <c r="I36" s="262">
        <f t="shared" si="7"/>
        <v>0</v>
      </c>
      <c r="J36" s="262">
        <f t="shared" si="7"/>
        <v>0</v>
      </c>
      <c r="K36" s="262">
        <f t="shared" si="7"/>
        <v>0</v>
      </c>
      <c r="L36" s="262">
        <f t="shared" si="7"/>
        <v>0</v>
      </c>
      <c r="M36" s="262">
        <f t="shared" si="7"/>
        <v>0</v>
      </c>
      <c r="N36" s="262">
        <f t="shared" si="7"/>
        <v>0</v>
      </c>
      <c r="O36" s="262">
        <f t="shared" si="7"/>
        <v>0</v>
      </c>
      <c r="P36" s="262">
        <f t="shared" si="7"/>
        <v>0</v>
      </c>
      <c r="Q36" s="262">
        <f t="shared" si="7"/>
        <v>0</v>
      </c>
      <c r="R36" s="262">
        <f t="shared" si="7"/>
        <v>0</v>
      </c>
      <c r="S36" s="262">
        <f t="shared" si="7"/>
        <v>0</v>
      </c>
      <c r="T36" s="262">
        <f t="shared" si="7"/>
        <v>0</v>
      </c>
      <c r="U36" s="262">
        <f t="shared" si="7"/>
        <v>0</v>
      </c>
      <c r="V36" s="262">
        <f t="shared" si="7"/>
        <v>0</v>
      </c>
      <c r="W36" s="262">
        <f t="shared" si="7"/>
        <v>0</v>
      </c>
      <c r="X36" s="262">
        <f t="shared" si="7"/>
        <v>0</v>
      </c>
      <c r="Y36" s="262">
        <f t="shared" si="7"/>
        <v>0</v>
      </c>
      <c r="Z36" s="262">
        <f t="shared" si="7"/>
        <v>0</v>
      </c>
      <c r="AA36" s="262">
        <f t="shared" si="7"/>
        <v>0</v>
      </c>
      <c r="AB36" s="262">
        <f t="shared" si="7"/>
        <v>0</v>
      </c>
      <c r="AC36" s="262">
        <f t="shared" si="7"/>
        <v>0</v>
      </c>
      <c r="AD36" s="262">
        <f t="shared" si="7"/>
        <v>0</v>
      </c>
      <c r="AE36" s="262">
        <f t="shared" si="7"/>
        <v>0</v>
      </c>
      <c r="AF36" s="262">
        <f t="shared" si="7"/>
        <v>0</v>
      </c>
      <c r="AG36" s="262">
        <f t="shared" si="7"/>
        <v>0</v>
      </c>
      <c r="AH36" s="262">
        <f t="shared" si="7"/>
        <v>0</v>
      </c>
      <c r="AI36" s="262">
        <f t="shared" si="7"/>
        <v>0</v>
      </c>
      <c r="AJ36" s="262">
        <f t="shared" si="7"/>
        <v>0</v>
      </c>
      <c r="AK36" s="262">
        <f t="shared" si="7"/>
        <v>0</v>
      </c>
      <c r="AL36" s="262">
        <f t="shared" si="7"/>
        <v>0</v>
      </c>
      <c r="AM36" s="262">
        <f t="shared" si="7"/>
        <v>0</v>
      </c>
      <c r="AN36" s="262">
        <f t="shared" si="7"/>
        <v>0</v>
      </c>
      <c r="AO36" s="262">
        <f t="shared" si="7"/>
        <v>0</v>
      </c>
      <c r="AP36" s="262">
        <f t="shared" si="7"/>
        <v>0</v>
      </c>
    </row>
    <row r="37" spans="2:42" x14ac:dyDescent="0.2">
      <c r="B37" s="256" t="s">
        <v>137</v>
      </c>
      <c r="C37" s="262">
        <f t="shared" si="8"/>
        <v>0</v>
      </c>
      <c r="D37" s="262">
        <f t="shared" si="9"/>
        <v>0</v>
      </c>
      <c r="E37" s="262">
        <f t="shared" si="7"/>
        <v>0</v>
      </c>
      <c r="F37" s="262">
        <f t="shared" si="7"/>
        <v>0</v>
      </c>
      <c r="G37" s="262">
        <f t="shared" si="7"/>
        <v>0</v>
      </c>
      <c r="H37" s="262">
        <f t="shared" si="7"/>
        <v>0</v>
      </c>
      <c r="I37" s="262">
        <f t="shared" si="7"/>
        <v>0</v>
      </c>
      <c r="J37" s="262">
        <f t="shared" si="7"/>
        <v>0</v>
      </c>
      <c r="K37" s="262">
        <f t="shared" si="7"/>
        <v>0</v>
      </c>
      <c r="L37" s="262">
        <f t="shared" si="7"/>
        <v>0</v>
      </c>
      <c r="M37" s="262">
        <f t="shared" si="7"/>
        <v>0</v>
      </c>
      <c r="N37" s="262">
        <f t="shared" si="7"/>
        <v>0</v>
      </c>
      <c r="O37" s="262">
        <f t="shared" si="7"/>
        <v>0</v>
      </c>
      <c r="P37" s="262">
        <f t="shared" si="7"/>
        <v>0</v>
      </c>
      <c r="Q37" s="262">
        <f t="shared" si="7"/>
        <v>0</v>
      </c>
      <c r="R37" s="262">
        <f t="shared" si="7"/>
        <v>0</v>
      </c>
      <c r="S37" s="262">
        <f t="shared" si="7"/>
        <v>0</v>
      </c>
      <c r="T37" s="262">
        <f t="shared" si="7"/>
        <v>0</v>
      </c>
      <c r="U37" s="262">
        <f t="shared" si="7"/>
        <v>0</v>
      </c>
      <c r="V37" s="262">
        <f t="shared" si="7"/>
        <v>0</v>
      </c>
      <c r="W37" s="262">
        <f t="shared" si="7"/>
        <v>0</v>
      </c>
      <c r="X37" s="262">
        <f t="shared" si="7"/>
        <v>0</v>
      </c>
      <c r="Y37" s="262">
        <f t="shared" si="7"/>
        <v>0</v>
      </c>
      <c r="Z37" s="262">
        <f t="shared" si="7"/>
        <v>0</v>
      </c>
      <c r="AA37" s="262">
        <f t="shared" si="7"/>
        <v>0</v>
      </c>
      <c r="AB37" s="262">
        <f t="shared" si="7"/>
        <v>0</v>
      </c>
      <c r="AC37" s="262">
        <f t="shared" si="7"/>
        <v>0</v>
      </c>
      <c r="AD37" s="262">
        <f t="shared" si="7"/>
        <v>0</v>
      </c>
      <c r="AE37" s="262">
        <f t="shared" si="7"/>
        <v>0</v>
      </c>
      <c r="AF37" s="262">
        <f t="shared" si="7"/>
        <v>0</v>
      </c>
      <c r="AG37" s="262">
        <f t="shared" si="7"/>
        <v>0</v>
      </c>
      <c r="AH37" s="262">
        <f t="shared" si="7"/>
        <v>0</v>
      </c>
      <c r="AI37" s="262">
        <f t="shared" si="7"/>
        <v>0</v>
      </c>
      <c r="AJ37" s="262">
        <f t="shared" si="7"/>
        <v>0</v>
      </c>
      <c r="AK37" s="262">
        <f t="shared" si="7"/>
        <v>0</v>
      </c>
      <c r="AL37" s="262">
        <f t="shared" si="7"/>
        <v>0</v>
      </c>
      <c r="AM37" s="262">
        <f t="shared" si="7"/>
        <v>0</v>
      </c>
      <c r="AN37" s="262">
        <f t="shared" si="7"/>
        <v>0</v>
      </c>
      <c r="AO37" s="262">
        <f t="shared" si="7"/>
        <v>0</v>
      </c>
      <c r="AP37" s="262">
        <f t="shared" si="7"/>
        <v>0</v>
      </c>
    </row>
    <row r="38" spans="2:42" x14ac:dyDescent="0.2">
      <c r="B38" s="266" t="s">
        <v>59</v>
      </c>
      <c r="C38" s="271">
        <f t="shared" si="8"/>
        <v>0</v>
      </c>
      <c r="D38" s="271">
        <f>SUM(D31:D37)</f>
        <v>0</v>
      </c>
      <c r="E38" s="267">
        <f t="shared" ref="E38:AP38" si="10">SUM(E31:E37)</f>
        <v>0</v>
      </c>
      <c r="F38" s="267">
        <f t="shared" si="10"/>
        <v>0</v>
      </c>
      <c r="G38" s="267">
        <f t="shared" si="10"/>
        <v>0</v>
      </c>
      <c r="H38" s="267">
        <f t="shared" si="10"/>
        <v>0</v>
      </c>
      <c r="I38" s="267">
        <f t="shared" si="10"/>
        <v>0</v>
      </c>
      <c r="J38" s="267">
        <f t="shared" si="10"/>
        <v>0</v>
      </c>
      <c r="K38" s="267">
        <f t="shared" si="10"/>
        <v>0</v>
      </c>
      <c r="L38" s="267">
        <f t="shared" si="10"/>
        <v>0</v>
      </c>
      <c r="M38" s="267">
        <f t="shared" si="10"/>
        <v>0</v>
      </c>
      <c r="N38" s="267">
        <f t="shared" si="10"/>
        <v>0</v>
      </c>
      <c r="O38" s="267">
        <f t="shared" si="10"/>
        <v>0</v>
      </c>
      <c r="P38" s="267">
        <f t="shared" si="10"/>
        <v>0</v>
      </c>
      <c r="Q38" s="267">
        <f t="shared" si="10"/>
        <v>0</v>
      </c>
      <c r="R38" s="267">
        <f t="shared" si="10"/>
        <v>0</v>
      </c>
      <c r="S38" s="267">
        <f t="shared" si="10"/>
        <v>0</v>
      </c>
      <c r="T38" s="267">
        <f t="shared" si="10"/>
        <v>0</v>
      </c>
      <c r="U38" s="267">
        <f t="shared" si="10"/>
        <v>0</v>
      </c>
      <c r="V38" s="267">
        <f t="shared" si="10"/>
        <v>0</v>
      </c>
      <c r="W38" s="267">
        <f t="shared" si="10"/>
        <v>0</v>
      </c>
      <c r="X38" s="267">
        <f t="shared" si="10"/>
        <v>0</v>
      </c>
      <c r="Y38" s="267">
        <f t="shared" si="10"/>
        <v>0</v>
      </c>
      <c r="Z38" s="267">
        <f t="shared" si="10"/>
        <v>0</v>
      </c>
      <c r="AA38" s="267">
        <f t="shared" si="10"/>
        <v>0</v>
      </c>
      <c r="AB38" s="267">
        <f t="shared" si="10"/>
        <v>0</v>
      </c>
      <c r="AC38" s="267">
        <f t="shared" si="10"/>
        <v>0</v>
      </c>
      <c r="AD38" s="267">
        <f t="shared" si="10"/>
        <v>0</v>
      </c>
      <c r="AE38" s="267">
        <f t="shared" si="10"/>
        <v>0</v>
      </c>
      <c r="AF38" s="267">
        <f t="shared" si="10"/>
        <v>0</v>
      </c>
      <c r="AG38" s="267">
        <f t="shared" si="10"/>
        <v>0</v>
      </c>
      <c r="AH38" s="267">
        <f t="shared" si="10"/>
        <v>0</v>
      </c>
      <c r="AI38" s="267">
        <f t="shared" si="10"/>
        <v>0</v>
      </c>
      <c r="AJ38" s="267">
        <f t="shared" si="10"/>
        <v>0</v>
      </c>
      <c r="AK38" s="267">
        <f t="shared" si="10"/>
        <v>0</v>
      </c>
      <c r="AL38" s="267">
        <f t="shared" si="10"/>
        <v>0</v>
      </c>
      <c r="AM38" s="267">
        <f t="shared" si="10"/>
        <v>0</v>
      </c>
      <c r="AN38" s="267">
        <f t="shared" si="10"/>
        <v>0</v>
      </c>
      <c r="AO38" s="267">
        <f t="shared" si="10"/>
        <v>0</v>
      </c>
      <c r="AP38" s="267">
        <f t="shared" si="10"/>
        <v>0</v>
      </c>
    </row>
    <row r="41" spans="2:42" x14ac:dyDescent="0.2">
      <c r="B41" s="272"/>
      <c r="C41" s="256"/>
      <c r="D41" s="256" t="s">
        <v>10</v>
      </c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</row>
    <row r="42" spans="2:42" x14ac:dyDescent="0.2">
      <c r="B42" s="735" t="s">
        <v>452</v>
      </c>
      <c r="C42" s="257"/>
      <c r="D42" s="258">
        <v>1</v>
      </c>
      <c r="E42" s="258">
        <v>2</v>
      </c>
      <c r="F42" s="258">
        <v>3</v>
      </c>
      <c r="G42" s="258">
        <v>4</v>
      </c>
      <c r="H42" s="258">
        <v>5</v>
      </c>
      <c r="I42" s="258">
        <v>6</v>
      </c>
      <c r="J42" s="258">
        <v>7</v>
      </c>
      <c r="K42" s="258">
        <v>8</v>
      </c>
      <c r="L42" s="258">
        <v>9</v>
      </c>
      <c r="M42" s="258">
        <v>10</v>
      </c>
      <c r="N42" s="258">
        <v>11</v>
      </c>
      <c r="O42" s="258">
        <v>12</v>
      </c>
      <c r="P42" s="258">
        <v>13</v>
      </c>
      <c r="Q42" s="258">
        <v>14</v>
      </c>
      <c r="R42" s="258">
        <v>15</v>
      </c>
      <c r="S42" s="258">
        <v>16</v>
      </c>
      <c r="T42" s="258">
        <v>17</v>
      </c>
      <c r="U42" s="258">
        <v>18</v>
      </c>
      <c r="V42" s="258">
        <v>19</v>
      </c>
      <c r="W42" s="258">
        <v>20</v>
      </c>
      <c r="X42" s="258">
        <v>21</v>
      </c>
      <c r="Y42" s="258">
        <v>22</v>
      </c>
      <c r="Z42" s="258">
        <v>23</v>
      </c>
      <c r="AA42" s="258">
        <v>24</v>
      </c>
      <c r="AB42" s="258">
        <v>25</v>
      </c>
      <c r="AC42" s="258">
        <v>26</v>
      </c>
      <c r="AD42" s="258">
        <v>27</v>
      </c>
      <c r="AE42" s="258">
        <v>28</v>
      </c>
      <c r="AF42" s="258">
        <v>29</v>
      </c>
      <c r="AG42" s="258">
        <v>30</v>
      </c>
      <c r="AH42" s="258">
        <v>31</v>
      </c>
      <c r="AI42" s="258">
        <v>32</v>
      </c>
      <c r="AJ42" s="258">
        <v>33</v>
      </c>
      <c r="AK42" s="258">
        <v>34</v>
      </c>
      <c r="AL42" s="258">
        <v>35</v>
      </c>
      <c r="AM42" s="258">
        <v>36</v>
      </c>
      <c r="AN42" s="258">
        <v>37</v>
      </c>
      <c r="AO42" s="258">
        <v>38</v>
      </c>
      <c r="AP42" s="258">
        <v>39</v>
      </c>
    </row>
    <row r="43" spans="2:42" x14ac:dyDescent="0.2">
      <c r="B43" s="736"/>
      <c r="C43" s="260" t="s">
        <v>9</v>
      </c>
      <c r="D43" s="261">
        <f>D4</f>
        <v>2026</v>
      </c>
      <c r="E43" s="261">
        <f t="shared" ref="E43:AP43" si="11">E4</f>
        <v>2027</v>
      </c>
      <c r="F43" s="261">
        <f t="shared" si="11"/>
        <v>2028</v>
      </c>
      <c r="G43" s="261">
        <f t="shared" si="11"/>
        <v>2029</v>
      </c>
      <c r="H43" s="261">
        <f t="shared" si="11"/>
        <v>2030</v>
      </c>
      <c r="I43" s="261">
        <f t="shared" si="11"/>
        <v>2031</v>
      </c>
      <c r="J43" s="261">
        <f t="shared" si="11"/>
        <v>2032</v>
      </c>
      <c r="K43" s="261">
        <f t="shared" si="11"/>
        <v>2033</v>
      </c>
      <c r="L43" s="261">
        <f t="shared" si="11"/>
        <v>2034</v>
      </c>
      <c r="M43" s="261">
        <f t="shared" si="11"/>
        <v>2035</v>
      </c>
      <c r="N43" s="261">
        <f t="shared" si="11"/>
        <v>2036</v>
      </c>
      <c r="O43" s="261">
        <f t="shared" si="11"/>
        <v>2037</v>
      </c>
      <c r="P43" s="261">
        <f t="shared" si="11"/>
        <v>2038</v>
      </c>
      <c r="Q43" s="261">
        <f t="shared" si="11"/>
        <v>2039</v>
      </c>
      <c r="R43" s="261">
        <f t="shared" si="11"/>
        <v>2040</v>
      </c>
      <c r="S43" s="261">
        <f t="shared" si="11"/>
        <v>2041</v>
      </c>
      <c r="T43" s="261">
        <f t="shared" si="11"/>
        <v>2042</v>
      </c>
      <c r="U43" s="261">
        <f t="shared" si="11"/>
        <v>2043</v>
      </c>
      <c r="V43" s="261">
        <f t="shared" si="11"/>
        <v>2044</v>
      </c>
      <c r="W43" s="261">
        <f t="shared" si="11"/>
        <v>2045</v>
      </c>
      <c r="X43" s="261">
        <f t="shared" si="11"/>
        <v>2046</v>
      </c>
      <c r="Y43" s="261">
        <f t="shared" si="11"/>
        <v>2047</v>
      </c>
      <c r="Z43" s="261">
        <f t="shared" si="11"/>
        <v>2048</v>
      </c>
      <c r="AA43" s="261">
        <f t="shared" si="11"/>
        <v>2049</v>
      </c>
      <c r="AB43" s="261">
        <f t="shared" si="11"/>
        <v>2050</v>
      </c>
      <c r="AC43" s="261">
        <f t="shared" si="11"/>
        <v>2051</v>
      </c>
      <c r="AD43" s="261">
        <f t="shared" si="11"/>
        <v>2052</v>
      </c>
      <c r="AE43" s="261">
        <f t="shared" si="11"/>
        <v>2053</v>
      </c>
      <c r="AF43" s="261">
        <f t="shared" si="11"/>
        <v>2054</v>
      </c>
      <c r="AG43" s="261">
        <f t="shared" si="11"/>
        <v>2055</v>
      </c>
      <c r="AH43" s="261">
        <f t="shared" si="11"/>
        <v>2056</v>
      </c>
      <c r="AI43" s="261">
        <f t="shared" si="11"/>
        <v>2057</v>
      </c>
      <c r="AJ43" s="261">
        <f t="shared" si="11"/>
        <v>2058</v>
      </c>
      <c r="AK43" s="261">
        <f t="shared" si="11"/>
        <v>2059</v>
      </c>
      <c r="AL43" s="261">
        <f t="shared" si="11"/>
        <v>2060</v>
      </c>
      <c r="AM43" s="261">
        <f t="shared" si="11"/>
        <v>2061</v>
      </c>
      <c r="AN43" s="261">
        <f t="shared" si="11"/>
        <v>2062</v>
      </c>
      <c r="AO43" s="261">
        <f t="shared" si="11"/>
        <v>2063</v>
      </c>
      <c r="AP43" s="261">
        <f t="shared" si="11"/>
        <v>2064</v>
      </c>
    </row>
    <row r="44" spans="2:42" x14ac:dyDescent="0.2">
      <c r="B44" s="256" t="s">
        <v>405</v>
      </c>
      <c r="C44" s="262">
        <f>SUM(D44:AP44)</f>
        <v>0</v>
      </c>
      <c r="D44" s="262">
        <f>D31*'Parametre EMU550'!C$88</f>
        <v>0</v>
      </c>
      <c r="E44" s="262">
        <f>E31*'Parametre EMU550'!D$88</f>
        <v>0</v>
      </c>
      <c r="F44" s="262">
        <f>F31*'Parametre EMU550'!E$88</f>
        <v>0</v>
      </c>
      <c r="G44" s="262">
        <f>G31*'Parametre EMU550'!F$88</f>
        <v>0</v>
      </c>
      <c r="H44" s="262">
        <f>H31*'Parametre EMU550'!G$88</f>
        <v>0</v>
      </c>
      <c r="I44" s="262">
        <f>I31*'Parametre EMU550'!H$88</f>
        <v>0</v>
      </c>
      <c r="J44" s="262">
        <f>J31*'Parametre EMU550'!I$88</f>
        <v>0</v>
      </c>
      <c r="K44" s="262">
        <f>K31*'Parametre EMU550'!J$88</f>
        <v>0</v>
      </c>
      <c r="L44" s="262">
        <f>L31*'Parametre EMU550'!K$88</f>
        <v>0</v>
      </c>
      <c r="M44" s="262">
        <f>M31*'Parametre EMU550'!L$88</f>
        <v>0</v>
      </c>
      <c r="N44" s="262">
        <f>N31*'Parametre EMU550'!M$88</f>
        <v>0</v>
      </c>
      <c r="O44" s="262">
        <f>O31*'Parametre EMU550'!N$88</f>
        <v>0</v>
      </c>
      <c r="P44" s="262">
        <f>P31*'Parametre EMU550'!O$88</f>
        <v>0</v>
      </c>
      <c r="Q44" s="262">
        <f>Q31*'Parametre EMU550'!P$88</f>
        <v>0</v>
      </c>
      <c r="R44" s="262">
        <f>R31*'Parametre EMU550'!Q$88</f>
        <v>0</v>
      </c>
      <c r="S44" s="262">
        <f>S31*'Parametre EMU550'!R$88</f>
        <v>0</v>
      </c>
      <c r="T44" s="262">
        <f>T31*'Parametre EMU550'!S$88</f>
        <v>0</v>
      </c>
      <c r="U44" s="262">
        <f>U31*'Parametre EMU550'!T$88</f>
        <v>0</v>
      </c>
      <c r="V44" s="262">
        <f>V31*'Parametre EMU550'!U$88</f>
        <v>0</v>
      </c>
      <c r="W44" s="262">
        <f>W31*'Parametre EMU550'!V$88</f>
        <v>0</v>
      </c>
      <c r="X44" s="262">
        <f>X31*'Parametre EMU550'!W$88</f>
        <v>0</v>
      </c>
      <c r="Y44" s="262">
        <f>Y31*'Parametre EMU550'!X$88</f>
        <v>0</v>
      </c>
      <c r="Z44" s="262">
        <f>Z31*'Parametre EMU550'!Y$88</f>
        <v>0</v>
      </c>
      <c r="AA44" s="262">
        <f>AA31*'Parametre EMU550'!Z$88</f>
        <v>0</v>
      </c>
      <c r="AB44" s="262">
        <f>AB31*'Parametre EMU550'!AA$88</f>
        <v>0</v>
      </c>
      <c r="AC44" s="262">
        <f>AC31*'Parametre EMU550'!AB$88</f>
        <v>0</v>
      </c>
      <c r="AD44" s="262">
        <f>AD31*'Parametre EMU550'!AC$88</f>
        <v>0</v>
      </c>
      <c r="AE44" s="262">
        <f>AE31*'Parametre EMU550'!AD$88</f>
        <v>0</v>
      </c>
      <c r="AF44" s="262">
        <f>AF31*'Parametre EMU550'!AE$88</f>
        <v>0</v>
      </c>
      <c r="AG44" s="262">
        <f>AG31*'Parametre EMU550'!AF$88</f>
        <v>0</v>
      </c>
      <c r="AH44" s="262">
        <f>AH31*'Parametre EMU550'!AG$88</f>
        <v>0</v>
      </c>
      <c r="AI44" s="262">
        <f>AI31*'Parametre EMU550'!AH$88</f>
        <v>0</v>
      </c>
      <c r="AJ44" s="262">
        <f>AJ31*'Parametre EMU550'!AI$88</f>
        <v>0</v>
      </c>
      <c r="AK44" s="262">
        <f>AK31*'Parametre EMU550'!AJ$88</f>
        <v>0</v>
      </c>
      <c r="AL44" s="262">
        <f>AL31*'Parametre EMU550'!AK$88</f>
        <v>0</v>
      </c>
      <c r="AM44" s="262">
        <f>AM31*'Parametre EMU550'!AL$88</f>
        <v>0</v>
      </c>
      <c r="AN44" s="262">
        <f>AN31*'Parametre EMU550'!AM$88</f>
        <v>0</v>
      </c>
      <c r="AO44" s="262">
        <f>AO31*'Parametre EMU550'!AN$88</f>
        <v>0</v>
      </c>
      <c r="AP44" s="262">
        <f>AP31*'Parametre EMU550'!AO$88</f>
        <v>0</v>
      </c>
    </row>
    <row r="45" spans="2:42" x14ac:dyDescent="0.2">
      <c r="B45" s="256" t="s">
        <v>406</v>
      </c>
      <c r="C45" s="262">
        <f t="shared" ref="C45:C51" si="12">SUM(D45:AP45)</f>
        <v>0</v>
      </c>
      <c r="D45" s="262">
        <f>D32*'Parametre EMU550'!C$89</f>
        <v>0</v>
      </c>
      <c r="E45" s="262">
        <f>E32*'Parametre EMU550'!D$89</f>
        <v>0</v>
      </c>
      <c r="F45" s="262">
        <f>F32*'Parametre EMU550'!E$89</f>
        <v>0</v>
      </c>
      <c r="G45" s="262">
        <f>G32*'Parametre EMU550'!F$89</f>
        <v>0</v>
      </c>
      <c r="H45" s="262">
        <f>H32*'Parametre EMU550'!G$89</f>
        <v>0</v>
      </c>
      <c r="I45" s="262">
        <f>I32*'Parametre EMU550'!H$89</f>
        <v>0</v>
      </c>
      <c r="J45" s="262">
        <f>J32*'Parametre EMU550'!I$89</f>
        <v>0</v>
      </c>
      <c r="K45" s="262">
        <f>K32*'Parametre EMU550'!J$89</f>
        <v>0</v>
      </c>
      <c r="L45" s="262">
        <f>L32*'Parametre EMU550'!K$89</f>
        <v>0</v>
      </c>
      <c r="M45" s="262">
        <f>M32*'Parametre EMU550'!L$89</f>
        <v>0</v>
      </c>
      <c r="N45" s="262">
        <f>N32*'Parametre EMU550'!M$89</f>
        <v>0</v>
      </c>
      <c r="O45" s="262">
        <f>O32*'Parametre EMU550'!N$89</f>
        <v>0</v>
      </c>
      <c r="P45" s="262">
        <f>P32*'Parametre EMU550'!O$89</f>
        <v>0</v>
      </c>
      <c r="Q45" s="262">
        <f>Q32*'Parametre EMU550'!P$89</f>
        <v>0</v>
      </c>
      <c r="R45" s="262">
        <f>R32*'Parametre EMU550'!Q$89</f>
        <v>0</v>
      </c>
      <c r="S45" s="262">
        <f>S32*'Parametre EMU550'!R$89</f>
        <v>0</v>
      </c>
      <c r="T45" s="262">
        <f>T32*'Parametre EMU550'!S$89</f>
        <v>0</v>
      </c>
      <c r="U45" s="262">
        <f>U32*'Parametre EMU550'!T$89</f>
        <v>0</v>
      </c>
      <c r="V45" s="262">
        <f>V32*'Parametre EMU550'!U$89</f>
        <v>0</v>
      </c>
      <c r="W45" s="262">
        <f>W32*'Parametre EMU550'!V$89</f>
        <v>0</v>
      </c>
      <c r="X45" s="262">
        <f>X32*'Parametre EMU550'!W$89</f>
        <v>0</v>
      </c>
      <c r="Y45" s="262">
        <f>Y32*'Parametre EMU550'!X$89</f>
        <v>0</v>
      </c>
      <c r="Z45" s="262">
        <f>Z32*'Parametre EMU550'!Y$89</f>
        <v>0</v>
      </c>
      <c r="AA45" s="262">
        <f>AA32*'Parametre EMU550'!Z$89</f>
        <v>0</v>
      </c>
      <c r="AB45" s="262">
        <f>AB32*'Parametre EMU550'!AA$89</f>
        <v>0</v>
      </c>
      <c r="AC45" s="262">
        <f>AC32*'Parametre EMU550'!AB$89</f>
        <v>0</v>
      </c>
      <c r="AD45" s="262">
        <f>AD32*'Parametre EMU550'!AC$89</f>
        <v>0</v>
      </c>
      <c r="AE45" s="262">
        <f>AE32*'Parametre EMU550'!AD$89</f>
        <v>0</v>
      </c>
      <c r="AF45" s="262">
        <f>AF32*'Parametre EMU550'!AE$89</f>
        <v>0</v>
      </c>
      <c r="AG45" s="262">
        <f>AG32*'Parametre EMU550'!AF$89</f>
        <v>0</v>
      </c>
      <c r="AH45" s="262">
        <f>AH32*'Parametre EMU550'!AG$89</f>
        <v>0</v>
      </c>
      <c r="AI45" s="262">
        <f>AI32*'Parametre EMU550'!AH$89</f>
        <v>0</v>
      </c>
      <c r="AJ45" s="262">
        <f>AJ32*'Parametre EMU550'!AI$89</f>
        <v>0</v>
      </c>
      <c r="AK45" s="262">
        <f>AK32*'Parametre EMU550'!AJ$89</f>
        <v>0</v>
      </c>
      <c r="AL45" s="262">
        <f>AL32*'Parametre EMU550'!AK$89</f>
        <v>0</v>
      </c>
      <c r="AM45" s="262">
        <f>AM32*'Parametre EMU550'!AL$89</f>
        <v>0</v>
      </c>
      <c r="AN45" s="262">
        <f>AN32*'Parametre EMU550'!AM$89</f>
        <v>0</v>
      </c>
      <c r="AO45" s="262">
        <f>AO32*'Parametre EMU550'!AN$89</f>
        <v>0</v>
      </c>
      <c r="AP45" s="262">
        <f>AP32*'Parametre EMU550'!AO$89</f>
        <v>0</v>
      </c>
    </row>
    <row r="46" spans="2:42" x14ac:dyDescent="0.2">
      <c r="B46" s="256" t="s">
        <v>407</v>
      </c>
      <c r="C46" s="262">
        <f t="shared" si="12"/>
        <v>0</v>
      </c>
      <c r="D46" s="262">
        <f>D33*'Parametre EMU550'!C$90</f>
        <v>0</v>
      </c>
      <c r="E46" s="262">
        <f>E33*'Parametre EMU550'!D$90</f>
        <v>0</v>
      </c>
      <c r="F46" s="262">
        <f>F33*'Parametre EMU550'!E$90</f>
        <v>0</v>
      </c>
      <c r="G46" s="262">
        <f>G33*'Parametre EMU550'!F$90</f>
        <v>0</v>
      </c>
      <c r="H46" s="262">
        <f>H33*'Parametre EMU550'!G$90</f>
        <v>0</v>
      </c>
      <c r="I46" s="262">
        <f>I33*'Parametre EMU550'!H$90</f>
        <v>0</v>
      </c>
      <c r="J46" s="262">
        <f>J33*'Parametre EMU550'!I$90</f>
        <v>0</v>
      </c>
      <c r="K46" s="262">
        <f>K33*'Parametre EMU550'!J$90</f>
        <v>0</v>
      </c>
      <c r="L46" s="262">
        <f>L33*'Parametre EMU550'!K$90</f>
        <v>0</v>
      </c>
      <c r="M46" s="262">
        <f>M33*'Parametre EMU550'!L$90</f>
        <v>0</v>
      </c>
      <c r="N46" s="262">
        <f>N33*'Parametre EMU550'!M$90</f>
        <v>0</v>
      </c>
      <c r="O46" s="262">
        <f>O33*'Parametre EMU550'!N$90</f>
        <v>0</v>
      </c>
      <c r="P46" s="262">
        <f>P33*'Parametre EMU550'!O$90</f>
        <v>0</v>
      </c>
      <c r="Q46" s="262">
        <f>Q33*'Parametre EMU550'!P$90</f>
        <v>0</v>
      </c>
      <c r="R46" s="262">
        <f>R33*'Parametre EMU550'!Q$90</f>
        <v>0</v>
      </c>
      <c r="S46" s="262">
        <f>S33*'Parametre EMU550'!R$90</f>
        <v>0</v>
      </c>
      <c r="T46" s="262">
        <f>T33*'Parametre EMU550'!S$90</f>
        <v>0</v>
      </c>
      <c r="U46" s="262">
        <f>U33*'Parametre EMU550'!T$90</f>
        <v>0</v>
      </c>
      <c r="V46" s="262">
        <f>V33*'Parametre EMU550'!U$90</f>
        <v>0</v>
      </c>
      <c r="W46" s="262">
        <f>W33*'Parametre EMU550'!V$90</f>
        <v>0</v>
      </c>
      <c r="X46" s="262">
        <f>X33*'Parametre EMU550'!W$90</f>
        <v>0</v>
      </c>
      <c r="Y46" s="262">
        <f>Y33*'Parametre EMU550'!X$90</f>
        <v>0</v>
      </c>
      <c r="Z46" s="262">
        <f>Z33*'Parametre EMU550'!Y$90</f>
        <v>0</v>
      </c>
      <c r="AA46" s="262">
        <f>AA33*'Parametre EMU550'!Z$90</f>
        <v>0</v>
      </c>
      <c r="AB46" s="262">
        <f>AB33*'Parametre EMU550'!AA$90</f>
        <v>0</v>
      </c>
      <c r="AC46" s="262">
        <f>AC33*'Parametre EMU550'!AB$90</f>
        <v>0</v>
      </c>
      <c r="AD46" s="262">
        <f>AD33*'Parametre EMU550'!AC$90</f>
        <v>0</v>
      </c>
      <c r="AE46" s="262">
        <f>AE33*'Parametre EMU550'!AD$90</f>
        <v>0</v>
      </c>
      <c r="AF46" s="262">
        <f>AF33*'Parametre EMU550'!AE$90</f>
        <v>0</v>
      </c>
      <c r="AG46" s="262">
        <f>AG33*'Parametre EMU550'!AF$90</f>
        <v>0</v>
      </c>
      <c r="AH46" s="262">
        <f>AH33*'Parametre EMU550'!AG$90</f>
        <v>0</v>
      </c>
      <c r="AI46" s="262">
        <f>AI33*'Parametre EMU550'!AH$90</f>
        <v>0</v>
      </c>
      <c r="AJ46" s="262">
        <f>AJ33*'Parametre EMU550'!AI$90</f>
        <v>0</v>
      </c>
      <c r="AK46" s="262">
        <f>AK33*'Parametre EMU550'!AJ$90</f>
        <v>0</v>
      </c>
      <c r="AL46" s="262">
        <f>AL33*'Parametre EMU550'!AK$90</f>
        <v>0</v>
      </c>
      <c r="AM46" s="262">
        <f>AM33*'Parametre EMU550'!AL$90</f>
        <v>0</v>
      </c>
      <c r="AN46" s="262">
        <f>AN33*'Parametre EMU550'!AM$90</f>
        <v>0</v>
      </c>
      <c r="AO46" s="262">
        <f>AO33*'Parametre EMU550'!AN$90</f>
        <v>0</v>
      </c>
      <c r="AP46" s="262">
        <f>AP33*'Parametre EMU550'!AO$90</f>
        <v>0</v>
      </c>
    </row>
    <row r="47" spans="2:42" x14ac:dyDescent="0.2">
      <c r="B47" s="256" t="s">
        <v>408</v>
      </c>
      <c r="C47" s="262">
        <f t="shared" si="12"/>
        <v>0</v>
      </c>
      <c r="D47" s="262">
        <f>D34*'Parametre EMU550'!C$91</f>
        <v>0</v>
      </c>
      <c r="E47" s="262">
        <f>E34*'Parametre EMU550'!D$91</f>
        <v>0</v>
      </c>
      <c r="F47" s="262">
        <f>F34*'Parametre EMU550'!E$91</f>
        <v>0</v>
      </c>
      <c r="G47" s="262">
        <f>G34*'Parametre EMU550'!F$91</f>
        <v>0</v>
      </c>
      <c r="H47" s="262">
        <f>H34*'Parametre EMU550'!G$91</f>
        <v>0</v>
      </c>
      <c r="I47" s="262">
        <f>I34*'Parametre EMU550'!H$91</f>
        <v>0</v>
      </c>
      <c r="J47" s="262">
        <f>J34*'Parametre EMU550'!I$91</f>
        <v>0</v>
      </c>
      <c r="K47" s="262">
        <f>K34*'Parametre EMU550'!J$91</f>
        <v>0</v>
      </c>
      <c r="L47" s="262">
        <f>L34*'Parametre EMU550'!K$91</f>
        <v>0</v>
      </c>
      <c r="M47" s="262">
        <f>M34*'Parametre EMU550'!L$91</f>
        <v>0</v>
      </c>
      <c r="N47" s="262">
        <f>N34*'Parametre EMU550'!M$91</f>
        <v>0</v>
      </c>
      <c r="O47" s="262">
        <f>O34*'Parametre EMU550'!N$91</f>
        <v>0</v>
      </c>
      <c r="P47" s="262">
        <f>P34*'Parametre EMU550'!O$91</f>
        <v>0</v>
      </c>
      <c r="Q47" s="262">
        <f>Q34*'Parametre EMU550'!P$91</f>
        <v>0</v>
      </c>
      <c r="R47" s="262">
        <f>R34*'Parametre EMU550'!Q$91</f>
        <v>0</v>
      </c>
      <c r="S47" s="262">
        <f>S34*'Parametre EMU550'!R$91</f>
        <v>0</v>
      </c>
      <c r="T47" s="262">
        <f>T34*'Parametre EMU550'!S$91</f>
        <v>0</v>
      </c>
      <c r="U47" s="262">
        <f>U34*'Parametre EMU550'!T$91</f>
        <v>0</v>
      </c>
      <c r="V47" s="262">
        <f>V34*'Parametre EMU550'!U$91</f>
        <v>0</v>
      </c>
      <c r="W47" s="262">
        <f>W34*'Parametre EMU550'!V$91</f>
        <v>0</v>
      </c>
      <c r="X47" s="262">
        <f>X34*'Parametre EMU550'!W$91</f>
        <v>0</v>
      </c>
      <c r="Y47" s="262">
        <f>Y34*'Parametre EMU550'!X$91</f>
        <v>0</v>
      </c>
      <c r="Z47" s="262">
        <f>Z34*'Parametre EMU550'!Y$91</f>
        <v>0</v>
      </c>
      <c r="AA47" s="262">
        <f>AA34*'Parametre EMU550'!Z$91</f>
        <v>0</v>
      </c>
      <c r="AB47" s="262">
        <f>AB34*'Parametre EMU550'!AA$91</f>
        <v>0</v>
      </c>
      <c r="AC47" s="262">
        <f>AC34*'Parametre EMU550'!AB$91</f>
        <v>0</v>
      </c>
      <c r="AD47" s="262">
        <f>AD34*'Parametre EMU550'!AC$91</f>
        <v>0</v>
      </c>
      <c r="AE47" s="262">
        <f>AE34*'Parametre EMU550'!AD$91</f>
        <v>0</v>
      </c>
      <c r="AF47" s="262">
        <f>AF34*'Parametre EMU550'!AE$91</f>
        <v>0</v>
      </c>
      <c r="AG47" s="262">
        <f>AG34*'Parametre EMU550'!AF$91</f>
        <v>0</v>
      </c>
      <c r="AH47" s="262">
        <f>AH34*'Parametre EMU550'!AG$91</f>
        <v>0</v>
      </c>
      <c r="AI47" s="262">
        <f>AI34*'Parametre EMU550'!AH$91</f>
        <v>0</v>
      </c>
      <c r="AJ47" s="262">
        <f>AJ34*'Parametre EMU550'!AI$91</f>
        <v>0</v>
      </c>
      <c r="AK47" s="262">
        <f>AK34*'Parametre EMU550'!AJ$91</f>
        <v>0</v>
      </c>
      <c r="AL47" s="262">
        <f>AL34*'Parametre EMU550'!AK$91</f>
        <v>0</v>
      </c>
      <c r="AM47" s="262">
        <f>AM34*'Parametre EMU550'!AL$91</f>
        <v>0</v>
      </c>
      <c r="AN47" s="262">
        <f>AN34*'Parametre EMU550'!AM$91</f>
        <v>0</v>
      </c>
      <c r="AO47" s="262">
        <f>AO34*'Parametre EMU550'!AN$91</f>
        <v>0</v>
      </c>
      <c r="AP47" s="262">
        <f>AP34*'Parametre EMU550'!AO$91</f>
        <v>0</v>
      </c>
    </row>
    <row r="48" spans="2:42" x14ac:dyDescent="0.2">
      <c r="B48" s="256" t="s">
        <v>136</v>
      </c>
      <c r="C48" s="262">
        <f t="shared" si="12"/>
        <v>0</v>
      </c>
      <c r="D48" s="262">
        <f>D35*'Parametre EMU550'!C$92</f>
        <v>0</v>
      </c>
      <c r="E48" s="262">
        <f>E35*'Parametre EMU550'!D$92</f>
        <v>0</v>
      </c>
      <c r="F48" s="262">
        <f>F35*'Parametre EMU550'!E$92</f>
        <v>0</v>
      </c>
      <c r="G48" s="262">
        <f>G35*'Parametre EMU550'!F$92</f>
        <v>0</v>
      </c>
      <c r="H48" s="262">
        <f>H35*'Parametre EMU550'!G$92</f>
        <v>0</v>
      </c>
      <c r="I48" s="262">
        <f>I35*'Parametre EMU550'!H$92</f>
        <v>0</v>
      </c>
      <c r="J48" s="262">
        <f>J35*'Parametre EMU550'!I$92</f>
        <v>0</v>
      </c>
      <c r="K48" s="262">
        <f>K35*'Parametre EMU550'!J$92</f>
        <v>0</v>
      </c>
      <c r="L48" s="262">
        <f>L35*'Parametre EMU550'!K$92</f>
        <v>0</v>
      </c>
      <c r="M48" s="262">
        <f>M35*'Parametre EMU550'!L$92</f>
        <v>0</v>
      </c>
      <c r="N48" s="262">
        <f>N35*'Parametre EMU550'!M$92</f>
        <v>0</v>
      </c>
      <c r="O48" s="262">
        <f>O35*'Parametre EMU550'!N$92</f>
        <v>0</v>
      </c>
      <c r="P48" s="262">
        <f>P35*'Parametre EMU550'!O$92</f>
        <v>0</v>
      </c>
      <c r="Q48" s="262">
        <f>Q35*'Parametre EMU550'!P$92</f>
        <v>0</v>
      </c>
      <c r="R48" s="262">
        <f>R35*'Parametre EMU550'!Q$92</f>
        <v>0</v>
      </c>
      <c r="S48" s="262">
        <f>S35*'Parametre EMU550'!R$92</f>
        <v>0</v>
      </c>
      <c r="T48" s="262">
        <f>T35*'Parametre EMU550'!S$92</f>
        <v>0</v>
      </c>
      <c r="U48" s="262">
        <f>U35*'Parametre EMU550'!T$92</f>
        <v>0</v>
      </c>
      <c r="V48" s="262">
        <f>V35*'Parametre EMU550'!U$92</f>
        <v>0</v>
      </c>
      <c r="W48" s="262">
        <f>W35*'Parametre EMU550'!V$92</f>
        <v>0</v>
      </c>
      <c r="X48" s="262">
        <f>X35*'Parametre EMU550'!W$92</f>
        <v>0</v>
      </c>
      <c r="Y48" s="262">
        <f>Y35*'Parametre EMU550'!X$92</f>
        <v>0</v>
      </c>
      <c r="Z48" s="262">
        <f>Z35*'Parametre EMU550'!Y$92</f>
        <v>0</v>
      </c>
      <c r="AA48" s="262">
        <f>AA35*'Parametre EMU550'!Z$92</f>
        <v>0</v>
      </c>
      <c r="AB48" s="262">
        <f>AB35*'Parametre EMU550'!AA$92</f>
        <v>0</v>
      </c>
      <c r="AC48" s="262">
        <f>AC35*'Parametre EMU550'!AB$92</f>
        <v>0</v>
      </c>
      <c r="AD48" s="262">
        <f>AD35*'Parametre EMU550'!AC$92</f>
        <v>0</v>
      </c>
      <c r="AE48" s="262">
        <f>AE35*'Parametre EMU550'!AD$92</f>
        <v>0</v>
      </c>
      <c r="AF48" s="262">
        <f>AF35*'Parametre EMU550'!AE$92</f>
        <v>0</v>
      </c>
      <c r="AG48" s="262">
        <f>AG35*'Parametre EMU550'!AF$92</f>
        <v>0</v>
      </c>
      <c r="AH48" s="262">
        <f>AH35*'Parametre EMU550'!AG$92</f>
        <v>0</v>
      </c>
      <c r="AI48" s="262">
        <f>AI35*'Parametre EMU550'!AH$92</f>
        <v>0</v>
      </c>
      <c r="AJ48" s="262">
        <f>AJ35*'Parametre EMU550'!AI$92</f>
        <v>0</v>
      </c>
      <c r="AK48" s="262">
        <f>AK35*'Parametre EMU550'!AJ$92</f>
        <v>0</v>
      </c>
      <c r="AL48" s="262">
        <f>AL35*'Parametre EMU550'!AK$92</f>
        <v>0</v>
      </c>
      <c r="AM48" s="262">
        <f>AM35*'Parametre EMU550'!AL$92</f>
        <v>0</v>
      </c>
      <c r="AN48" s="262">
        <f>AN35*'Parametre EMU550'!AM$92</f>
        <v>0</v>
      </c>
      <c r="AO48" s="262">
        <f>AO35*'Parametre EMU550'!AN$92</f>
        <v>0</v>
      </c>
      <c r="AP48" s="262">
        <f>AP35*'Parametre EMU550'!AO$92</f>
        <v>0</v>
      </c>
    </row>
    <row r="49" spans="2:42" ht="11.85" customHeight="1" x14ac:dyDescent="0.2">
      <c r="B49" s="256" t="s">
        <v>133</v>
      </c>
      <c r="C49" s="262">
        <f t="shared" si="12"/>
        <v>0</v>
      </c>
      <c r="D49" s="262">
        <f>D36*'Parametre EMU550'!C$93</f>
        <v>0</v>
      </c>
      <c r="E49" s="262">
        <f>E36*'Parametre EMU550'!D$93</f>
        <v>0</v>
      </c>
      <c r="F49" s="262">
        <f>F36*'Parametre EMU550'!E$93</f>
        <v>0</v>
      </c>
      <c r="G49" s="262">
        <f>G36*'Parametre EMU550'!F$93</f>
        <v>0</v>
      </c>
      <c r="H49" s="262">
        <f>H36*'Parametre EMU550'!G$93</f>
        <v>0</v>
      </c>
      <c r="I49" s="262">
        <f>I36*'Parametre EMU550'!H$93</f>
        <v>0</v>
      </c>
      <c r="J49" s="262">
        <f>J36*'Parametre EMU550'!I$93</f>
        <v>0</v>
      </c>
      <c r="K49" s="262">
        <f>K36*'Parametre EMU550'!J$93</f>
        <v>0</v>
      </c>
      <c r="L49" s="262">
        <f>L36*'Parametre EMU550'!K$93</f>
        <v>0</v>
      </c>
      <c r="M49" s="262">
        <f>M36*'Parametre EMU550'!L$93</f>
        <v>0</v>
      </c>
      <c r="N49" s="262">
        <f>N36*'Parametre EMU550'!M$93</f>
        <v>0</v>
      </c>
      <c r="O49" s="262">
        <f>O36*'Parametre EMU550'!N$93</f>
        <v>0</v>
      </c>
      <c r="P49" s="262">
        <f>P36*'Parametre EMU550'!O$93</f>
        <v>0</v>
      </c>
      <c r="Q49" s="262">
        <f>Q36*'Parametre EMU550'!P$93</f>
        <v>0</v>
      </c>
      <c r="R49" s="262">
        <f>R36*'Parametre EMU550'!Q$93</f>
        <v>0</v>
      </c>
      <c r="S49" s="262">
        <f>S36*'Parametre EMU550'!R$93</f>
        <v>0</v>
      </c>
      <c r="T49" s="262">
        <f>T36*'Parametre EMU550'!S$93</f>
        <v>0</v>
      </c>
      <c r="U49" s="262">
        <f>U36*'Parametre EMU550'!T$93</f>
        <v>0</v>
      </c>
      <c r="V49" s="262">
        <f>V36*'Parametre EMU550'!U$93</f>
        <v>0</v>
      </c>
      <c r="W49" s="262">
        <f>W36*'Parametre EMU550'!V$93</f>
        <v>0</v>
      </c>
      <c r="X49" s="262">
        <f>X36*'Parametre EMU550'!W$93</f>
        <v>0</v>
      </c>
      <c r="Y49" s="262">
        <f>Y36*'Parametre EMU550'!X$93</f>
        <v>0</v>
      </c>
      <c r="Z49" s="262">
        <f>Z36*'Parametre EMU550'!Y$93</f>
        <v>0</v>
      </c>
      <c r="AA49" s="262">
        <f>AA36*'Parametre EMU550'!Z$93</f>
        <v>0</v>
      </c>
      <c r="AB49" s="262">
        <f>AB36*'Parametre EMU550'!AA$93</f>
        <v>0</v>
      </c>
      <c r="AC49" s="262">
        <f>AC36*'Parametre EMU550'!AB$93</f>
        <v>0</v>
      </c>
      <c r="AD49" s="262">
        <f>AD36*'Parametre EMU550'!AC$93</f>
        <v>0</v>
      </c>
      <c r="AE49" s="262">
        <f>AE36*'Parametre EMU550'!AD$93</f>
        <v>0</v>
      </c>
      <c r="AF49" s="262">
        <f>AF36*'Parametre EMU550'!AE$93</f>
        <v>0</v>
      </c>
      <c r="AG49" s="262">
        <f>AG36*'Parametre EMU550'!AF$93</f>
        <v>0</v>
      </c>
      <c r="AH49" s="262">
        <f>AH36*'Parametre EMU550'!AG$93</f>
        <v>0</v>
      </c>
      <c r="AI49" s="262">
        <f>AI36*'Parametre EMU550'!AH$93</f>
        <v>0</v>
      </c>
      <c r="AJ49" s="262">
        <f>AJ36*'Parametre EMU550'!AI$93</f>
        <v>0</v>
      </c>
      <c r="AK49" s="262">
        <f>AK36*'Parametre EMU550'!AJ$93</f>
        <v>0</v>
      </c>
      <c r="AL49" s="262">
        <f>AL36*'Parametre EMU550'!AK$93</f>
        <v>0</v>
      </c>
      <c r="AM49" s="262">
        <f>AM36*'Parametre EMU550'!AL$93</f>
        <v>0</v>
      </c>
      <c r="AN49" s="262">
        <f>AN36*'Parametre EMU550'!AM$93</f>
        <v>0</v>
      </c>
      <c r="AO49" s="262">
        <f>AO36*'Parametre EMU550'!AN$93</f>
        <v>0</v>
      </c>
      <c r="AP49" s="262">
        <f>AP36*'Parametre EMU550'!AO$93</f>
        <v>0</v>
      </c>
    </row>
    <row r="50" spans="2:42" x14ac:dyDescent="0.2">
      <c r="B50" s="256" t="s">
        <v>137</v>
      </c>
      <c r="C50" s="262">
        <f t="shared" si="12"/>
        <v>0</v>
      </c>
      <c r="D50" s="262">
        <f>D37*'Parametre EMU550'!C$94</f>
        <v>0</v>
      </c>
      <c r="E50" s="262">
        <f>E37*'Parametre EMU550'!D$94</f>
        <v>0</v>
      </c>
      <c r="F50" s="262">
        <f>F37*'Parametre EMU550'!E$94</f>
        <v>0</v>
      </c>
      <c r="G50" s="262">
        <f>G37*'Parametre EMU550'!F$94</f>
        <v>0</v>
      </c>
      <c r="H50" s="262">
        <f>H37*'Parametre EMU550'!G$94</f>
        <v>0</v>
      </c>
      <c r="I50" s="262">
        <f>I37*'Parametre EMU550'!H$94</f>
        <v>0</v>
      </c>
      <c r="J50" s="262">
        <f>J37*'Parametre EMU550'!I$94</f>
        <v>0</v>
      </c>
      <c r="K50" s="262">
        <f>K37*'Parametre EMU550'!J$94</f>
        <v>0</v>
      </c>
      <c r="L50" s="262">
        <f>L37*'Parametre EMU550'!K$94</f>
        <v>0</v>
      </c>
      <c r="M50" s="262">
        <f>M37*'Parametre EMU550'!L$94</f>
        <v>0</v>
      </c>
      <c r="N50" s="262">
        <f>N37*'Parametre EMU550'!M$94</f>
        <v>0</v>
      </c>
      <c r="O50" s="262">
        <f>O37*'Parametre EMU550'!N$94</f>
        <v>0</v>
      </c>
      <c r="P50" s="262">
        <f>P37*'Parametre EMU550'!O$94</f>
        <v>0</v>
      </c>
      <c r="Q50" s="262">
        <f>Q37*'Parametre EMU550'!P$94</f>
        <v>0</v>
      </c>
      <c r="R50" s="262">
        <f>R37*'Parametre EMU550'!Q$94</f>
        <v>0</v>
      </c>
      <c r="S50" s="262">
        <f>S37*'Parametre EMU550'!R$94</f>
        <v>0</v>
      </c>
      <c r="T50" s="262">
        <f>T37*'Parametre EMU550'!S$94</f>
        <v>0</v>
      </c>
      <c r="U50" s="262">
        <f>U37*'Parametre EMU550'!T$94</f>
        <v>0</v>
      </c>
      <c r="V50" s="262">
        <f>V37*'Parametre EMU550'!U$94</f>
        <v>0</v>
      </c>
      <c r="W50" s="262">
        <f>W37*'Parametre EMU550'!V$94</f>
        <v>0</v>
      </c>
      <c r="X50" s="262">
        <f>X37*'Parametre EMU550'!W$94</f>
        <v>0</v>
      </c>
      <c r="Y50" s="262">
        <f>Y37*'Parametre EMU550'!X$94</f>
        <v>0</v>
      </c>
      <c r="Z50" s="262">
        <f>Z37*'Parametre EMU550'!Y$94</f>
        <v>0</v>
      </c>
      <c r="AA50" s="262">
        <f>AA37*'Parametre EMU550'!Z$94</f>
        <v>0</v>
      </c>
      <c r="AB50" s="262">
        <f>AB37*'Parametre EMU550'!AA$94</f>
        <v>0</v>
      </c>
      <c r="AC50" s="262">
        <f>AC37*'Parametre EMU550'!AB$94</f>
        <v>0</v>
      </c>
      <c r="AD50" s="262">
        <f>AD37*'Parametre EMU550'!AC$94</f>
        <v>0</v>
      </c>
      <c r="AE50" s="262">
        <f>AE37*'Parametre EMU550'!AD$94</f>
        <v>0</v>
      </c>
      <c r="AF50" s="262">
        <f>AF37*'Parametre EMU550'!AE$94</f>
        <v>0</v>
      </c>
      <c r="AG50" s="262">
        <f>AG37*'Parametre EMU550'!AF$94</f>
        <v>0</v>
      </c>
      <c r="AH50" s="262">
        <f>AH37*'Parametre EMU550'!AG$94</f>
        <v>0</v>
      </c>
      <c r="AI50" s="262">
        <f>AI37*'Parametre EMU550'!AH$94</f>
        <v>0</v>
      </c>
      <c r="AJ50" s="262">
        <f>AJ37*'Parametre EMU550'!AI$94</f>
        <v>0</v>
      </c>
      <c r="AK50" s="262">
        <f>AK37*'Parametre EMU550'!AJ$94</f>
        <v>0</v>
      </c>
      <c r="AL50" s="262">
        <f>AL37*'Parametre EMU550'!AK$94</f>
        <v>0</v>
      </c>
      <c r="AM50" s="262">
        <f>AM37*'Parametre EMU550'!AL$94</f>
        <v>0</v>
      </c>
      <c r="AN50" s="262">
        <f>AN37*'Parametre EMU550'!AM$94</f>
        <v>0</v>
      </c>
      <c r="AO50" s="262">
        <f>AO37*'Parametre EMU550'!AN$94</f>
        <v>0</v>
      </c>
      <c r="AP50" s="262">
        <f>AP37*'Parametre EMU550'!AO$94</f>
        <v>0</v>
      </c>
    </row>
    <row r="51" spans="2:42" x14ac:dyDescent="0.2">
      <c r="B51" s="273" t="s">
        <v>59</v>
      </c>
      <c r="C51" s="275">
        <f t="shared" si="12"/>
        <v>0</v>
      </c>
      <c r="D51" s="275">
        <f>SUM(D44:D50)</f>
        <v>0</v>
      </c>
      <c r="E51" s="274">
        <f t="shared" ref="E51:AP51" si="13">SUM(E44:E50)</f>
        <v>0</v>
      </c>
      <c r="F51" s="274">
        <f t="shared" si="13"/>
        <v>0</v>
      </c>
      <c r="G51" s="274">
        <f t="shared" si="13"/>
        <v>0</v>
      </c>
      <c r="H51" s="274">
        <f t="shared" si="13"/>
        <v>0</v>
      </c>
      <c r="I51" s="274">
        <f t="shared" si="13"/>
        <v>0</v>
      </c>
      <c r="J51" s="274">
        <f t="shared" si="13"/>
        <v>0</v>
      </c>
      <c r="K51" s="274">
        <f t="shared" si="13"/>
        <v>0</v>
      </c>
      <c r="L51" s="274">
        <f t="shared" si="13"/>
        <v>0</v>
      </c>
      <c r="M51" s="274">
        <f t="shared" si="13"/>
        <v>0</v>
      </c>
      <c r="N51" s="274">
        <f t="shared" si="13"/>
        <v>0</v>
      </c>
      <c r="O51" s="274">
        <f t="shared" si="13"/>
        <v>0</v>
      </c>
      <c r="P51" s="274">
        <f t="shared" si="13"/>
        <v>0</v>
      </c>
      <c r="Q51" s="274">
        <f t="shared" si="13"/>
        <v>0</v>
      </c>
      <c r="R51" s="274">
        <f t="shared" si="13"/>
        <v>0</v>
      </c>
      <c r="S51" s="274">
        <f t="shared" si="13"/>
        <v>0</v>
      </c>
      <c r="T51" s="274">
        <f t="shared" si="13"/>
        <v>0</v>
      </c>
      <c r="U51" s="274">
        <f t="shared" si="13"/>
        <v>0</v>
      </c>
      <c r="V51" s="274">
        <f t="shared" si="13"/>
        <v>0</v>
      </c>
      <c r="W51" s="274">
        <f t="shared" si="13"/>
        <v>0</v>
      </c>
      <c r="X51" s="274">
        <f t="shared" si="13"/>
        <v>0</v>
      </c>
      <c r="Y51" s="274">
        <f t="shared" si="13"/>
        <v>0</v>
      </c>
      <c r="Z51" s="274">
        <f t="shared" si="13"/>
        <v>0</v>
      </c>
      <c r="AA51" s="274">
        <f t="shared" si="13"/>
        <v>0</v>
      </c>
      <c r="AB51" s="274">
        <f t="shared" si="13"/>
        <v>0</v>
      </c>
      <c r="AC51" s="274">
        <f t="shared" si="13"/>
        <v>0</v>
      </c>
      <c r="AD51" s="274">
        <f t="shared" si="13"/>
        <v>0</v>
      </c>
      <c r="AE51" s="274">
        <f t="shared" si="13"/>
        <v>0</v>
      </c>
      <c r="AF51" s="274">
        <f t="shared" si="13"/>
        <v>0</v>
      </c>
      <c r="AG51" s="274">
        <f t="shared" si="13"/>
        <v>0</v>
      </c>
      <c r="AH51" s="274">
        <f t="shared" si="13"/>
        <v>0</v>
      </c>
      <c r="AI51" s="274">
        <f t="shared" si="13"/>
        <v>0</v>
      </c>
      <c r="AJ51" s="274">
        <f t="shared" si="13"/>
        <v>0</v>
      </c>
      <c r="AK51" s="274">
        <f t="shared" si="13"/>
        <v>0</v>
      </c>
      <c r="AL51" s="274">
        <f t="shared" si="13"/>
        <v>0</v>
      </c>
      <c r="AM51" s="274">
        <f t="shared" si="13"/>
        <v>0</v>
      </c>
      <c r="AN51" s="274">
        <f t="shared" si="13"/>
        <v>0</v>
      </c>
      <c r="AO51" s="274">
        <f t="shared" si="13"/>
        <v>0</v>
      </c>
      <c r="AP51" s="274">
        <f t="shared" si="13"/>
        <v>0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7646-DC58-4555-8F21-BA4C89D6E98F}">
  <sheetPr>
    <tabColor rgb="FF92D050"/>
  </sheetPr>
  <dimension ref="B2:AQ76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56.42578125" style="255" bestFit="1" customWidth="1"/>
    <col min="3" max="3" width="11.42578125" style="255" bestFit="1" customWidth="1"/>
    <col min="4" max="43" width="9.42578125" style="255" bestFit="1" customWidth="1"/>
    <col min="44" max="16384" width="9.140625" style="255"/>
  </cols>
  <sheetData>
    <row r="2" spans="2:43" x14ac:dyDescent="0.2">
      <c r="B2" s="735" t="s">
        <v>453</v>
      </c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</row>
    <row r="3" spans="2:43" x14ac:dyDescent="0.2">
      <c r="B3" s="737"/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  <c r="AQ3" s="258">
        <v>40</v>
      </c>
    </row>
    <row r="4" spans="2:43" x14ac:dyDescent="0.2">
      <c r="B4" s="259" t="s">
        <v>33</v>
      </c>
      <c r="C4" s="259" t="s">
        <v>9</v>
      </c>
      <c r="D4" s="261">
        <f>'Parametre EMU550'!C13</f>
        <v>2026</v>
      </c>
      <c r="E4" s="261">
        <f>$D$4+D3</f>
        <v>2027</v>
      </c>
      <c r="F4" s="261">
        <f>$D$4+E3</f>
        <v>2028</v>
      </c>
      <c r="G4" s="261">
        <f t="shared" ref="G4:AQ4" si="0">$D$4+F3</f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  <c r="AQ4" s="261">
        <f t="shared" si="0"/>
        <v>2065</v>
      </c>
    </row>
    <row r="5" spans="2:43" x14ac:dyDescent="0.2">
      <c r="B5" s="256" t="s">
        <v>150</v>
      </c>
      <c r="C5" s="262">
        <f>SUM(D5:AQ5)</f>
        <v>0</v>
      </c>
      <c r="D5" s="263">
        <f>'11a Znečisťujúce l. (voz.) EMU'!D6*'Parametre EMU550'!$C$107/1000</f>
        <v>0</v>
      </c>
      <c r="E5" s="263">
        <f>'11a Znečisťujúce l. (voz.) EMU'!E6*'Parametre EMU550'!$C$107/1000</f>
        <v>0</v>
      </c>
      <c r="F5" s="263">
        <f>'11a Znečisťujúce l. (voz.) EMU'!F6*'Parametre EMU550'!$C$107/1000</f>
        <v>0</v>
      </c>
      <c r="G5" s="263">
        <f>'11a Znečisťujúce l. (voz.) EMU'!G6*'Parametre EMU550'!$C$107/1000</f>
        <v>0</v>
      </c>
      <c r="H5" s="263">
        <f>'11a Znečisťujúce l. (voz.) EMU'!H6*'Parametre EMU550'!$C$107/1000</f>
        <v>0</v>
      </c>
      <c r="I5" s="263">
        <f>'11a Znečisťujúce l. (voz.) EMU'!I6*'Parametre EMU550'!$C$107/1000</f>
        <v>0</v>
      </c>
      <c r="J5" s="263">
        <f>'11a Znečisťujúce l. (voz.) EMU'!J6*'Parametre EMU550'!$C$107/1000</f>
        <v>0</v>
      </c>
      <c r="K5" s="263">
        <f>'11a Znečisťujúce l. (voz.) EMU'!K6*'Parametre EMU550'!$C$107/1000</f>
        <v>0</v>
      </c>
      <c r="L5" s="263">
        <f>'11a Znečisťujúce l. (voz.) EMU'!L6*'Parametre EMU550'!$C$107/1000</f>
        <v>0</v>
      </c>
      <c r="M5" s="263">
        <f>'11a Znečisťujúce l. (voz.) EMU'!M6*'Parametre EMU550'!$C$107/1000</f>
        <v>0</v>
      </c>
      <c r="N5" s="263">
        <f>'11a Znečisťujúce l. (voz.) EMU'!N6*'Parametre EMU550'!$C$107/1000</f>
        <v>0</v>
      </c>
      <c r="O5" s="263">
        <f>'11a Znečisťujúce l. (voz.) EMU'!O6*'Parametre EMU550'!$C$107/1000</f>
        <v>0</v>
      </c>
      <c r="P5" s="263">
        <f>'11a Znečisťujúce l. (voz.) EMU'!P6*'Parametre EMU550'!$C$107/1000</f>
        <v>0</v>
      </c>
      <c r="Q5" s="263">
        <f>'11a Znečisťujúce l. (voz.) EMU'!Q6*'Parametre EMU550'!$C$107/1000</f>
        <v>0</v>
      </c>
      <c r="R5" s="263">
        <f>'11a Znečisťujúce l. (voz.) EMU'!R6*'Parametre EMU550'!$C$107/1000</f>
        <v>0</v>
      </c>
      <c r="S5" s="263">
        <f>'11a Znečisťujúce l. (voz.) EMU'!S6*'Parametre EMU550'!$C$107/1000</f>
        <v>0</v>
      </c>
      <c r="T5" s="263">
        <f>'11a Znečisťujúce l. (voz.) EMU'!T6*'Parametre EMU550'!$C$107/1000</f>
        <v>0</v>
      </c>
      <c r="U5" s="263">
        <f>'11a Znečisťujúce l. (voz.) EMU'!U6*'Parametre EMU550'!$C$107/1000</f>
        <v>0</v>
      </c>
      <c r="V5" s="263">
        <f>'11a Znečisťujúce l. (voz.) EMU'!V6*'Parametre EMU550'!$C$107/1000</f>
        <v>0</v>
      </c>
      <c r="W5" s="263">
        <f>'11a Znečisťujúce l. (voz.) EMU'!W6*'Parametre EMU550'!$C$107/1000</f>
        <v>0</v>
      </c>
      <c r="X5" s="263">
        <f>'11a Znečisťujúce l. (voz.) EMU'!X6*'Parametre EMU550'!$C$107/1000</f>
        <v>0</v>
      </c>
      <c r="Y5" s="263">
        <f>'11a Znečisťujúce l. (voz.) EMU'!Y6*'Parametre EMU550'!$C$107/1000</f>
        <v>0</v>
      </c>
      <c r="Z5" s="263">
        <f>'11a Znečisťujúce l. (voz.) EMU'!Z6*'Parametre EMU550'!$C$107/1000</f>
        <v>0</v>
      </c>
      <c r="AA5" s="263">
        <f>'11a Znečisťujúce l. (voz.) EMU'!AA6*'Parametre EMU550'!$C$107/1000</f>
        <v>0</v>
      </c>
      <c r="AB5" s="263">
        <f>'11a Znečisťujúce l. (voz.) EMU'!AB6*'Parametre EMU550'!$C$107/1000</f>
        <v>0</v>
      </c>
      <c r="AC5" s="263">
        <f>'11a Znečisťujúce l. (voz.) EMU'!AC6*'Parametre EMU550'!$C$107/1000</f>
        <v>0</v>
      </c>
      <c r="AD5" s="263">
        <f>'11a Znečisťujúce l. (voz.) EMU'!AD6*'Parametre EMU550'!$C$107/1000</f>
        <v>0</v>
      </c>
      <c r="AE5" s="263">
        <f>'11a Znečisťujúce l. (voz.) EMU'!AE6*'Parametre EMU550'!$C$107/1000</f>
        <v>0</v>
      </c>
      <c r="AF5" s="263">
        <f>'11a Znečisťujúce l. (voz.) EMU'!AF6*'Parametre EMU550'!$C$107/1000</f>
        <v>0</v>
      </c>
      <c r="AG5" s="263">
        <f>'11a Znečisťujúce l. (voz.) EMU'!AG6*'Parametre EMU550'!$C$107/1000</f>
        <v>0</v>
      </c>
      <c r="AH5" s="263">
        <f>'11a Znečisťujúce l. (voz.) EMU'!AH6*'Parametre EMU550'!$C$107/1000</f>
        <v>0</v>
      </c>
      <c r="AI5" s="263">
        <f>'11a Znečisťujúce l. (voz.) EMU'!AI6*'Parametre EMU550'!$C$107/1000</f>
        <v>0</v>
      </c>
      <c r="AJ5" s="263">
        <f>'11a Znečisťujúce l. (voz.) EMU'!AJ6*'Parametre EMU550'!$C$107/1000</f>
        <v>0</v>
      </c>
      <c r="AK5" s="263">
        <f>'11a Znečisťujúce l. (voz.) EMU'!AK6*'Parametre EMU550'!$C$107/1000</f>
        <v>0</v>
      </c>
      <c r="AL5" s="263">
        <f>'11a Znečisťujúce l. (voz.) EMU'!AL6*'Parametre EMU550'!$C$107/1000</f>
        <v>0</v>
      </c>
      <c r="AM5" s="263">
        <f>'11a Znečisťujúce l. (voz.) EMU'!AM6*'Parametre EMU550'!$C$107/1000</f>
        <v>0</v>
      </c>
      <c r="AN5" s="263">
        <f>'11a Znečisťujúce l. (voz.) EMU'!AN6*'Parametre EMU550'!$C$107/1000</f>
        <v>0</v>
      </c>
      <c r="AO5" s="263">
        <f>'11a Znečisťujúce l. (voz.) EMU'!AO6*'Parametre EMU550'!$C$107/1000</f>
        <v>0</v>
      </c>
      <c r="AP5" s="263">
        <f>'11a Znečisťujúce l. (voz.) EMU'!AP6*'Parametre EMU550'!$C$107/1000</f>
        <v>0</v>
      </c>
      <c r="AQ5" s="263">
        <f>'11a Znečisťujúce l. (voz.) EMU'!AQ6*'Parametre EMU550'!$C$107/1000</f>
        <v>0</v>
      </c>
    </row>
    <row r="6" spans="2:43" x14ac:dyDescent="0.2">
      <c r="B6" s="256" t="s">
        <v>151</v>
      </c>
      <c r="C6" s="262">
        <f t="shared" ref="C6:C8" si="1">SUM(D6:AQ6)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  <c r="AQ6" s="263">
        <v>0</v>
      </c>
    </row>
    <row r="7" spans="2:43" x14ac:dyDescent="0.2">
      <c r="B7" s="256" t="s">
        <v>152</v>
      </c>
      <c r="C7" s="262">
        <f t="shared" si="1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  <c r="AQ7" s="263">
        <v>0</v>
      </c>
    </row>
    <row r="8" spans="2:43" x14ac:dyDescent="0.2">
      <c r="B8" s="257" t="s">
        <v>9</v>
      </c>
      <c r="C8" s="264">
        <f t="shared" si="1"/>
        <v>0</v>
      </c>
      <c r="D8" s="264">
        <v>0</v>
      </c>
      <c r="E8" s="264">
        <f t="shared" ref="E8:AP8" si="2">SUM(E5:E7)</f>
        <v>0</v>
      </c>
      <c r="F8" s="264">
        <f t="shared" si="2"/>
        <v>0</v>
      </c>
      <c r="G8" s="264">
        <f t="shared" si="2"/>
        <v>0</v>
      </c>
      <c r="H8" s="264">
        <f t="shared" si="2"/>
        <v>0</v>
      </c>
      <c r="I8" s="264">
        <f t="shared" si="2"/>
        <v>0</v>
      </c>
      <c r="J8" s="264">
        <f t="shared" si="2"/>
        <v>0</v>
      </c>
      <c r="K8" s="264">
        <f t="shared" si="2"/>
        <v>0</v>
      </c>
      <c r="L8" s="264">
        <f t="shared" si="2"/>
        <v>0</v>
      </c>
      <c r="M8" s="264">
        <f t="shared" si="2"/>
        <v>0</v>
      </c>
      <c r="N8" s="264">
        <f t="shared" si="2"/>
        <v>0</v>
      </c>
      <c r="O8" s="264">
        <f t="shared" si="2"/>
        <v>0</v>
      </c>
      <c r="P8" s="264">
        <f t="shared" si="2"/>
        <v>0</v>
      </c>
      <c r="Q8" s="264">
        <f t="shared" si="2"/>
        <v>0</v>
      </c>
      <c r="R8" s="264">
        <f t="shared" si="2"/>
        <v>0</v>
      </c>
      <c r="S8" s="264">
        <f t="shared" si="2"/>
        <v>0</v>
      </c>
      <c r="T8" s="264">
        <f t="shared" si="2"/>
        <v>0</v>
      </c>
      <c r="U8" s="264">
        <f t="shared" si="2"/>
        <v>0</v>
      </c>
      <c r="V8" s="264">
        <f t="shared" si="2"/>
        <v>0</v>
      </c>
      <c r="W8" s="264">
        <f t="shared" si="2"/>
        <v>0</v>
      </c>
      <c r="X8" s="264">
        <f t="shared" si="2"/>
        <v>0</v>
      </c>
      <c r="Y8" s="264">
        <f t="shared" si="2"/>
        <v>0</v>
      </c>
      <c r="Z8" s="264">
        <f t="shared" si="2"/>
        <v>0</v>
      </c>
      <c r="AA8" s="264">
        <f t="shared" si="2"/>
        <v>0</v>
      </c>
      <c r="AB8" s="264">
        <f t="shared" si="2"/>
        <v>0</v>
      </c>
      <c r="AC8" s="264">
        <f t="shared" si="2"/>
        <v>0</v>
      </c>
      <c r="AD8" s="264">
        <f t="shared" si="2"/>
        <v>0</v>
      </c>
      <c r="AE8" s="264">
        <f t="shared" si="2"/>
        <v>0</v>
      </c>
      <c r="AF8" s="264">
        <f t="shared" si="2"/>
        <v>0</v>
      </c>
      <c r="AG8" s="264">
        <f t="shared" si="2"/>
        <v>0</v>
      </c>
      <c r="AH8" s="264">
        <f t="shared" si="2"/>
        <v>0</v>
      </c>
      <c r="AI8" s="264">
        <f t="shared" si="2"/>
        <v>0</v>
      </c>
      <c r="AJ8" s="264">
        <f t="shared" si="2"/>
        <v>0</v>
      </c>
      <c r="AK8" s="264">
        <f t="shared" si="2"/>
        <v>0</v>
      </c>
      <c r="AL8" s="264">
        <f t="shared" si="2"/>
        <v>0</v>
      </c>
      <c r="AM8" s="264">
        <f t="shared" si="2"/>
        <v>0</v>
      </c>
      <c r="AN8" s="264">
        <f t="shared" si="2"/>
        <v>0</v>
      </c>
      <c r="AO8" s="264">
        <f t="shared" si="2"/>
        <v>0</v>
      </c>
      <c r="AP8" s="264">
        <f t="shared" si="2"/>
        <v>0</v>
      </c>
      <c r="AQ8" s="264">
        <f t="shared" ref="AQ8" si="3">SUM(AQ5:AQ7)</f>
        <v>0</v>
      </c>
    </row>
    <row r="11" spans="2:43" x14ac:dyDescent="0.2">
      <c r="B11" s="735" t="s">
        <v>454</v>
      </c>
      <c r="C11" s="256"/>
      <c r="D11" s="256" t="s">
        <v>10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</row>
    <row r="12" spans="2:43" x14ac:dyDescent="0.2">
      <c r="B12" s="737"/>
      <c r="C12" s="257"/>
      <c r="D12" s="258">
        <v>1</v>
      </c>
      <c r="E12" s="258">
        <v>2</v>
      </c>
      <c r="F12" s="258">
        <v>3</v>
      </c>
      <c r="G12" s="258">
        <v>4</v>
      </c>
      <c r="H12" s="258">
        <v>5</v>
      </c>
      <c r="I12" s="258">
        <v>6</v>
      </c>
      <c r="J12" s="258">
        <v>7</v>
      </c>
      <c r="K12" s="258">
        <v>8</v>
      </c>
      <c r="L12" s="258">
        <v>9</v>
      </c>
      <c r="M12" s="258">
        <v>10</v>
      </c>
      <c r="N12" s="258">
        <v>11</v>
      </c>
      <c r="O12" s="258">
        <v>12</v>
      </c>
      <c r="P12" s="258">
        <v>13</v>
      </c>
      <c r="Q12" s="258">
        <v>14</v>
      </c>
      <c r="R12" s="258">
        <v>15</v>
      </c>
      <c r="S12" s="258">
        <v>16</v>
      </c>
      <c r="T12" s="258">
        <v>17</v>
      </c>
      <c r="U12" s="258">
        <v>18</v>
      </c>
      <c r="V12" s="258">
        <v>19</v>
      </c>
      <c r="W12" s="258">
        <v>20</v>
      </c>
      <c r="X12" s="258">
        <v>21</v>
      </c>
      <c r="Y12" s="258">
        <v>22</v>
      </c>
      <c r="Z12" s="258">
        <v>23</v>
      </c>
      <c r="AA12" s="258">
        <v>24</v>
      </c>
      <c r="AB12" s="258">
        <v>25</v>
      </c>
      <c r="AC12" s="258">
        <v>26</v>
      </c>
      <c r="AD12" s="258">
        <v>27</v>
      </c>
      <c r="AE12" s="258">
        <v>28</v>
      </c>
      <c r="AF12" s="258">
        <v>29</v>
      </c>
      <c r="AG12" s="258">
        <v>30</v>
      </c>
      <c r="AH12" s="258">
        <v>31</v>
      </c>
      <c r="AI12" s="258">
        <v>32</v>
      </c>
      <c r="AJ12" s="258">
        <v>33</v>
      </c>
      <c r="AK12" s="258">
        <v>34</v>
      </c>
      <c r="AL12" s="258">
        <v>35</v>
      </c>
      <c r="AM12" s="258">
        <v>36</v>
      </c>
      <c r="AN12" s="258">
        <v>37</v>
      </c>
      <c r="AO12" s="258">
        <v>38</v>
      </c>
      <c r="AP12" s="258">
        <v>39</v>
      </c>
      <c r="AQ12" s="258">
        <v>40</v>
      </c>
    </row>
    <row r="13" spans="2:43" x14ac:dyDescent="0.2">
      <c r="B13" s="259" t="s">
        <v>34</v>
      </c>
      <c r="C13" s="259" t="s">
        <v>9</v>
      </c>
      <c r="D13" s="261">
        <f>D4</f>
        <v>2026</v>
      </c>
      <c r="E13" s="261">
        <f t="shared" ref="E13:AP13" si="4">E4</f>
        <v>2027</v>
      </c>
      <c r="F13" s="261">
        <f t="shared" si="4"/>
        <v>2028</v>
      </c>
      <c r="G13" s="261">
        <f t="shared" si="4"/>
        <v>2029</v>
      </c>
      <c r="H13" s="261">
        <f t="shared" si="4"/>
        <v>2030</v>
      </c>
      <c r="I13" s="261">
        <f t="shared" si="4"/>
        <v>2031</v>
      </c>
      <c r="J13" s="261">
        <f t="shared" si="4"/>
        <v>2032</v>
      </c>
      <c r="K13" s="261">
        <f t="shared" si="4"/>
        <v>2033</v>
      </c>
      <c r="L13" s="261">
        <f t="shared" si="4"/>
        <v>2034</v>
      </c>
      <c r="M13" s="261">
        <f t="shared" si="4"/>
        <v>2035</v>
      </c>
      <c r="N13" s="261">
        <f t="shared" si="4"/>
        <v>2036</v>
      </c>
      <c r="O13" s="261">
        <f t="shared" si="4"/>
        <v>2037</v>
      </c>
      <c r="P13" s="261">
        <f t="shared" si="4"/>
        <v>2038</v>
      </c>
      <c r="Q13" s="261">
        <f t="shared" si="4"/>
        <v>2039</v>
      </c>
      <c r="R13" s="261">
        <f t="shared" si="4"/>
        <v>2040</v>
      </c>
      <c r="S13" s="261">
        <f t="shared" si="4"/>
        <v>2041</v>
      </c>
      <c r="T13" s="261">
        <f t="shared" si="4"/>
        <v>2042</v>
      </c>
      <c r="U13" s="261">
        <f t="shared" si="4"/>
        <v>2043</v>
      </c>
      <c r="V13" s="261">
        <f t="shared" si="4"/>
        <v>2044</v>
      </c>
      <c r="W13" s="261">
        <f t="shared" si="4"/>
        <v>2045</v>
      </c>
      <c r="X13" s="261">
        <f t="shared" si="4"/>
        <v>2046</v>
      </c>
      <c r="Y13" s="261">
        <f t="shared" si="4"/>
        <v>2047</v>
      </c>
      <c r="Z13" s="261">
        <f t="shared" si="4"/>
        <v>2048</v>
      </c>
      <c r="AA13" s="261">
        <f t="shared" si="4"/>
        <v>2049</v>
      </c>
      <c r="AB13" s="261">
        <f t="shared" si="4"/>
        <v>2050</v>
      </c>
      <c r="AC13" s="261">
        <f t="shared" si="4"/>
        <v>2051</v>
      </c>
      <c r="AD13" s="261">
        <f t="shared" si="4"/>
        <v>2052</v>
      </c>
      <c r="AE13" s="261">
        <f t="shared" si="4"/>
        <v>2053</v>
      </c>
      <c r="AF13" s="261">
        <f t="shared" si="4"/>
        <v>2054</v>
      </c>
      <c r="AG13" s="261">
        <f t="shared" si="4"/>
        <v>2055</v>
      </c>
      <c r="AH13" s="261">
        <f t="shared" si="4"/>
        <v>2056</v>
      </c>
      <c r="AI13" s="261">
        <f t="shared" si="4"/>
        <v>2057</v>
      </c>
      <c r="AJ13" s="261">
        <f t="shared" si="4"/>
        <v>2058</v>
      </c>
      <c r="AK13" s="261">
        <f t="shared" si="4"/>
        <v>2059</v>
      </c>
      <c r="AL13" s="261">
        <f t="shared" si="4"/>
        <v>2060</v>
      </c>
      <c r="AM13" s="261">
        <f t="shared" si="4"/>
        <v>2061</v>
      </c>
      <c r="AN13" s="261">
        <f t="shared" si="4"/>
        <v>2062</v>
      </c>
      <c r="AO13" s="261">
        <f t="shared" si="4"/>
        <v>2063</v>
      </c>
      <c r="AP13" s="261">
        <f t="shared" si="4"/>
        <v>2064</v>
      </c>
      <c r="AQ13" s="261">
        <f t="shared" ref="AQ13" si="5">AQ4</f>
        <v>2065</v>
      </c>
    </row>
    <row r="14" spans="2:43" x14ac:dyDescent="0.2">
      <c r="B14" s="256" t="s">
        <v>150</v>
      </c>
      <c r="C14" s="262">
        <f>SUM(D14:AQ14)</f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0</v>
      </c>
      <c r="AN14" s="263">
        <v>0</v>
      </c>
      <c r="AO14" s="263">
        <v>0</v>
      </c>
      <c r="AP14" s="263">
        <v>0</v>
      </c>
      <c r="AQ14" s="263">
        <v>0</v>
      </c>
    </row>
    <row r="15" spans="2:43" x14ac:dyDescent="0.2">
      <c r="B15" s="256" t="s">
        <v>151</v>
      </c>
      <c r="C15" s="262">
        <f t="shared" ref="C15:C17" si="6">SUM(D15:AQ15)</f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0</v>
      </c>
      <c r="AN15" s="263">
        <v>0</v>
      </c>
      <c r="AO15" s="263">
        <v>0</v>
      </c>
      <c r="AP15" s="263">
        <v>0</v>
      </c>
      <c r="AQ15" s="263">
        <v>0</v>
      </c>
    </row>
    <row r="16" spans="2:43" x14ac:dyDescent="0.2">
      <c r="B16" s="256" t="s">
        <v>152</v>
      </c>
      <c r="C16" s="262">
        <f t="shared" si="6"/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  <c r="AQ16" s="263">
        <v>0</v>
      </c>
    </row>
    <row r="17" spans="2:43" x14ac:dyDescent="0.2">
      <c r="B17" s="257" t="s">
        <v>35</v>
      </c>
      <c r="C17" s="264">
        <f t="shared" si="6"/>
        <v>0</v>
      </c>
      <c r="D17" s="264">
        <f t="shared" ref="D17:AP17" si="7">SUM(D14:D16)</f>
        <v>0</v>
      </c>
      <c r="E17" s="264">
        <f t="shared" si="7"/>
        <v>0</v>
      </c>
      <c r="F17" s="264">
        <f t="shared" si="7"/>
        <v>0</v>
      </c>
      <c r="G17" s="264">
        <f t="shared" si="7"/>
        <v>0</v>
      </c>
      <c r="H17" s="264">
        <f t="shared" si="7"/>
        <v>0</v>
      </c>
      <c r="I17" s="264">
        <f t="shared" si="7"/>
        <v>0</v>
      </c>
      <c r="J17" s="264">
        <f t="shared" si="7"/>
        <v>0</v>
      </c>
      <c r="K17" s="264">
        <f t="shared" si="7"/>
        <v>0</v>
      </c>
      <c r="L17" s="264">
        <f t="shared" si="7"/>
        <v>0</v>
      </c>
      <c r="M17" s="264">
        <f t="shared" si="7"/>
        <v>0</v>
      </c>
      <c r="N17" s="264">
        <f t="shared" si="7"/>
        <v>0</v>
      </c>
      <c r="O17" s="264">
        <f t="shared" si="7"/>
        <v>0</v>
      </c>
      <c r="P17" s="264">
        <f t="shared" si="7"/>
        <v>0</v>
      </c>
      <c r="Q17" s="264">
        <f t="shared" si="7"/>
        <v>0</v>
      </c>
      <c r="R17" s="264">
        <f t="shared" si="7"/>
        <v>0</v>
      </c>
      <c r="S17" s="264">
        <f t="shared" si="7"/>
        <v>0</v>
      </c>
      <c r="T17" s="264">
        <f t="shared" si="7"/>
        <v>0</v>
      </c>
      <c r="U17" s="264">
        <f t="shared" si="7"/>
        <v>0</v>
      </c>
      <c r="V17" s="264">
        <f t="shared" si="7"/>
        <v>0</v>
      </c>
      <c r="W17" s="264">
        <f t="shared" si="7"/>
        <v>0</v>
      </c>
      <c r="X17" s="264">
        <f t="shared" si="7"/>
        <v>0</v>
      </c>
      <c r="Y17" s="264">
        <f t="shared" si="7"/>
        <v>0</v>
      </c>
      <c r="Z17" s="264">
        <f t="shared" si="7"/>
        <v>0</v>
      </c>
      <c r="AA17" s="264">
        <f t="shared" si="7"/>
        <v>0</v>
      </c>
      <c r="AB17" s="264">
        <f t="shared" si="7"/>
        <v>0</v>
      </c>
      <c r="AC17" s="264">
        <f t="shared" si="7"/>
        <v>0</v>
      </c>
      <c r="AD17" s="264">
        <f t="shared" si="7"/>
        <v>0</v>
      </c>
      <c r="AE17" s="264">
        <f t="shared" si="7"/>
        <v>0</v>
      </c>
      <c r="AF17" s="264">
        <f t="shared" si="7"/>
        <v>0</v>
      </c>
      <c r="AG17" s="264">
        <f t="shared" si="7"/>
        <v>0</v>
      </c>
      <c r="AH17" s="264">
        <f t="shared" si="7"/>
        <v>0</v>
      </c>
      <c r="AI17" s="264">
        <f t="shared" si="7"/>
        <v>0</v>
      </c>
      <c r="AJ17" s="264">
        <f t="shared" si="7"/>
        <v>0</v>
      </c>
      <c r="AK17" s="264">
        <f t="shared" si="7"/>
        <v>0</v>
      </c>
      <c r="AL17" s="264">
        <f t="shared" si="7"/>
        <v>0</v>
      </c>
      <c r="AM17" s="264">
        <f t="shared" si="7"/>
        <v>0</v>
      </c>
      <c r="AN17" s="264">
        <f t="shared" si="7"/>
        <v>0</v>
      </c>
      <c r="AO17" s="264">
        <f t="shared" si="7"/>
        <v>0</v>
      </c>
      <c r="AP17" s="264">
        <f t="shared" si="7"/>
        <v>0</v>
      </c>
      <c r="AQ17" s="264">
        <f t="shared" ref="AQ17" si="8">SUM(AQ14:AQ16)</f>
        <v>0</v>
      </c>
    </row>
    <row r="20" spans="2:43" x14ac:dyDescent="0.2">
      <c r="B20" s="735" t="s">
        <v>455</v>
      </c>
      <c r="C20" s="256"/>
      <c r="D20" s="256" t="s">
        <v>10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</row>
    <row r="21" spans="2:43" x14ac:dyDescent="0.2">
      <c r="B21" s="737"/>
      <c r="C21" s="257"/>
      <c r="D21" s="258">
        <v>1</v>
      </c>
      <c r="E21" s="258">
        <v>2</v>
      </c>
      <c r="F21" s="258">
        <v>3</v>
      </c>
      <c r="G21" s="258">
        <v>4</v>
      </c>
      <c r="H21" s="258">
        <v>5</v>
      </c>
      <c r="I21" s="258">
        <v>6</v>
      </c>
      <c r="J21" s="258">
        <v>7</v>
      </c>
      <c r="K21" s="258">
        <v>8</v>
      </c>
      <c r="L21" s="258">
        <v>9</v>
      </c>
      <c r="M21" s="258">
        <v>10</v>
      </c>
      <c r="N21" s="258">
        <v>11</v>
      </c>
      <c r="O21" s="258">
        <v>12</v>
      </c>
      <c r="P21" s="258">
        <v>13</v>
      </c>
      <c r="Q21" s="258">
        <v>14</v>
      </c>
      <c r="R21" s="258">
        <v>15</v>
      </c>
      <c r="S21" s="258">
        <v>16</v>
      </c>
      <c r="T21" s="258">
        <v>17</v>
      </c>
      <c r="U21" s="258">
        <v>18</v>
      </c>
      <c r="V21" s="258">
        <v>19</v>
      </c>
      <c r="W21" s="258">
        <v>20</v>
      </c>
      <c r="X21" s="258">
        <v>21</v>
      </c>
      <c r="Y21" s="258">
        <v>22</v>
      </c>
      <c r="Z21" s="258">
        <v>23</v>
      </c>
      <c r="AA21" s="258">
        <v>24</v>
      </c>
      <c r="AB21" s="258">
        <v>25</v>
      </c>
      <c r="AC21" s="258">
        <v>26</v>
      </c>
      <c r="AD21" s="258">
        <v>27</v>
      </c>
      <c r="AE21" s="258">
        <v>28</v>
      </c>
      <c r="AF21" s="258">
        <v>29</v>
      </c>
      <c r="AG21" s="258">
        <v>30</v>
      </c>
      <c r="AH21" s="258">
        <v>31</v>
      </c>
      <c r="AI21" s="258">
        <v>32</v>
      </c>
      <c r="AJ21" s="258">
        <v>33</v>
      </c>
      <c r="AK21" s="258">
        <v>34</v>
      </c>
      <c r="AL21" s="258">
        <v>35</v>
      </c>
      <c r="AM21" s="258">
        <v>36</v>
      </c>
      <c r="AN21" s="258">
        <v>37</v>
      </c>
      <c r="AO21" s="258">
        <v>38</v>
      </c>
      <c r="AP21" s="258">
        <v>39</v>
      </c>
      <c r="AQ21" s="258">
        <v>40</v>
      </c>
    </row>
    <row r="22" spans="2:43" x14ac:dyDescent="0.2">
      <c r="B22" s="259" t="s">
        <v>63</v>
      </c>
      <c r="C22" s="259" t="s">
        <v>9</v>
      </c>
      <c r="D22" s="261">
        <f>D4</f>
        <v>2026</v>
      </c>
      <c r="E22" s="261">
        <f t="shared" ref="E22:AP22" si="9">E4</f>
        <v>2027</v>
      </c>
      <c r="F22" s="261">
        <f t="shared" si="9"/>
        <v>2028</v>
      </c>
      <c r="G22" s="261">
        <f t="shared" si="9"/>
        <v>2029</v>
      </c>
      <c r="H22" s="261">
        <f t="shared" si="9"/>
        <v>2030</v>
      </c>
      <c r="I22" s="261">
        <f t="shared" si="9"/>
        <v>2031</v>
      </c>
      <c r="J22" s="261">
        <f t="shared" si="9"/>
        <v>2032</v>
      </c>
      <c r="K22" s="261">
        <f t="shared" si="9"/>
        <v>2033</v>
      </c>
      <c r="L22" s="261">
        <f t="shared" si="9"/>
        <v>2034</v>
      </c>
      <c r="M22" s="261">
        <f t="shared" si="9"/>
        <v>2035</v>
      </c>
      <c r="N22" s="261">
        <f t="shared" si="9"/>
        <v>2036</v>
      </c>
      <c r="O22" s="261">
        <f t="shared" si="9"/>
        <v>2037</v>
      </c>
      <c r="P22" s="261">
        <f t="shared" si="9"/>
        <v>2038</v>
      </c>
      <c r="Q22" s="261">
        <f t="shared" si="9"/>
        <v>2039</v>
      </c>
      <c r="R22" s="261">
        <f t="shared" si="9"/>
        <v>2040</v>
      </c>
      <c r="S22" s="261">
        <f t="shared" si="9"/>
        <v>2041</v>
      </c>
      <c r="T22" s="261">
        <f t="shared" si="9"/>
        <v>2042</v>
      </c>
      <c r="U22" s="261">
        <f t="shared" si="9"/>
        <v>2043</v>
      </c>
      <c r="V22" s="261">
        <f t="shared" si="9"/>
        <v>2044</v>
      </c>
      <c r="W22" s="261">
        <f t="shared" si="9"/>
        <v>2045</v>
      </c>
      <c r="X22" s="261">
        <f t="shared" si="9"/>
        <v>2046</v>
      </c>
      <c r="Y22" s="261">
        <f t="shared" si="9"/>
        <v>2047</v>
      </c>
      <c r="Z22" s="261">
        <f t="shared" si="9"/>
        <v>2048</v>
      </c>
      <c r="AA22" s="261">
        <f t="shared" si="9"/>
        <v>2049</v>
      </c>
      <c r="AB22" s="261">
        <f t="shared" si="9"/>
        <v>2050</v>
      </c>
      <c r="AC22" s="261">
        <f t="shared" si="9"/>
        <v>2051</v>
      </c>
      <c r="AD22" s="261">
        <f t="shared" si="9"/>
        <v>2052</v>
      </c>
      <c r="AE22" s="261">
        <f t="shared" si="9"/>
        <v>2053</v>
      </c>
      <c r="AF22" s="261">
        <f t="shared" si="9"/>
        <v>2054</v>
      </c>
      <c r="AG22" s="261">
        <f t="shared" si="9"/>
        <v>2055</v>
      </c>
      <c r="AH22" s="261">
        <f t="shared" si="9"/>
        <v>2056</v>
      </c>
      <c r="AI22" s="261">
        <f t="shared" si="9"/>
        <v>2057</v>
      </c>
      <c r="AJ22" s="261">
        <f t="shared" si="9"/>
        <v>2058</v>
      </c>
      <c r="AK22" s="261">
        <f t="shared" si="9"/>
        <v>2059</v>
      </c>
      <c r="AL22" s="261">
        <f t="shared" si="9"/>
        <v>2060</v>
      </c>
      <c r="AM22" s="261">
        <f t="shared" si="9"/>
        <v>2061</v>
      </c>
      <c r="AN22" s="261">
        <f t="shared" si="9"/>
        <v>2062</v>
      </c>
      <c r="AO22" s="261">
        <f t="shared" si="9"/>
        <v>2063</v>
      </c>
      <c r="AP22" s="261">
        <f t="shared" si="9"/>
        <v>2064</v>
      </c>
      <c r="AQ22" s="261">
        <f t="shared" ref="AQ22" si="10">AQ4</f>
        <v>2065</v>
      </c>
    </row>
    <row r="23" spans="2:43" x14ac:dyDescent="0.2">
      <c r="B23" s="256" t="s">
        <v>150</v>
      </c>
      <c r="C23" s="262">
        <f>SUM(D23:AQ23)</f>
        <v>0</v>
      </c>
      <c r="D23" s="262">
        <f t="shared" ref="D23:AP25" si="11">D5-D14</f>
        <v>0</v>
      </c>
      <c r="E23" s="262">
        <f t="shared" si="11"/>
        <v>0</v>
      </c>
      <c r="F23" s="262">
        <f t="shared" si="11"/>
        <v>0</v>
      </c>
      <c r="G23" s="262">
        <f t="shared" si="11"/>
        <v>0</v>
      </c>
      <c r="H23" s="262">
        <f t="shared" si="11"/>
        <v>0</v>
      </c>
      <c r="I23" s="262">
        <f t="shared" si="11"/>
        <v>0</v>
      </c>
      <c r="J23" s="262">
        <f t="shared" si="11"/>
        <v>0</v>
      </c>
      <c r="K23" s="262">
        <f t="shared" si="11"/>
        <v>0</v>
      </c>
      <c r="L23" s="262">
        <f t="shared" si="11"/>
        <v>0</v>
      </c>
      <c r="M23" s="262">
        <f t="shared" si="11"/>
        <v>0</v>
      </c>
      <c r="N23" s="262">
        <f t="shared" si="11"/>
        <v>0</v>
      </c>
      <c r="O23" s="262">
        <f t="shared" si="11"/>
        <v>0</v>
      </c>
      <c r="P23" s="262">
        <f t="shared" si="11"/>
        <v>0</v>
      </c>
      <c r="Q23" s="262">
        <f t="shared" si="11"/>
        <v>0</v>
      </c>
      <c r="R23" s="262">
        <f t="shared" si="11"/>
        <v>0</v>
      </c>
      <c r="S23" s="262">
        <f t="shared" si="11"/>
        <v>0</v>
      </c>
      <c r="T23" s="262">
        <f t="shared" si="11"/>
        <v>0</v>
      </c>
      <c r="U23" s="262">
        <f t="shared" si="11"/>
        <v>0</v>
      </c>
      <c r="V23" s="262">
        <f t="shared" si="11"/>
        <v>0</v>
      </c>
      <c r="W23" s="262">
        <f t="shared" si="11"/>
        <v>0</v>
      </c>
      <c r="X23" s="262">
        <f t="shared" si="11"/>
        <v>0</v>
      </c>
      <c r="Y23" s="262">
        <f t="shared" si="11"/>
        <v>0</v>
      </c>
      <c r="Z23" s="262">
        <f t="shared" si="11"/>
        <v>0</v>
      </c>
      <c r="AA23" s="262">
        <f t="shared" si="11"/>
        <v>0</v>
      </c>
      <c r="AB23" s="262">
        <f t="shared" si="11"/>
        <v>0</v>
      </c>
      <c r="AC23" s="262">
        <f t="shared" si="11"/>
        <v>0</v>
      </c>
      <c r="AD23" s="262">
        <f t="shared" si="11"/>
        <v>0</v>
      </c>
      <c r="AE23" s="262">
        <f t="shared" si="11"/>
        <v>0</v>
      </c>
      <c r="AF23" s="262">
        <f t="shared" si="11"/>
        <v>0</v>
      </c>
      <c r="AG23" s="262">
        <f t="shared" si="11"/>
        <v>0</v>
      </c>
      <c r="AH23" s="262">
        <f t="shared" si="11"/>
        <v>0</v>
      </c>
      <c r="AI23" s="262">
        <f t="shared" si="11"/>
        <v>0</v>
      </c>
      <c r="AJ23" s="262">
        <f t="shared" si="11"/>
        <v>0</v>
      </c>
      <c r="AK23" s="262">
        <f t="shared" si="11"/>
        <v>0</v>
      </c>
      <c r="AL23" s="262">
        <f t="shared" si="11"/>
        <v>0</v>
      </c>
      <c r="AM23" s="262">
        <f t="shared" si="11"/>
        <v>0</v>
      </c>
      <c r="AN23" s="262">
        <f t="shared" si="11"/>
        <v>0</v>
      </c>
      <c r="AO23" s="262">
        <f t="shared" si="11"/>
        <v>0</v>
      </c>
      <c r="AP23" s="262">
        <f t="shared" si="11"/>
        <v>0</v>
      </c>
      <c r="AQ23" s="262">
        <f t="shared" ref="AQ23" si="12">AQ5-AQ14</f>
        <v>0</v>
      </c>
    </row>
    <row r="24" spans="2:43" x14ac:dyDescent="0.2">
      <c r="B24" s="256" t="s">
        <v>151</v>
      </c>
      <c r="C24" s="262">
        <f t="shared" ref="C24:C27" si="13">SUM(D24:AQ24)</f>
        <v>0</v>
      </c>
      <c r="D24" s="262">
        <f t="shared" si="11"/>
        <v>0</v>
      </c>
      <c r="E24" s="262">
        <f t="shared" si="11"/>
        <v>0</v>
      </c>
      <c r="F24" s="262">
        <f t="shared" si="11"/>
        <v>0</v>
      </c>
      <c r="G24" s="262">
        <f t="shared" si="11"/>
        <v>0</v>
      </c>
      <c r="H24" s="262">
        <f t="shared" si="11"/>
        <v>0</v>
      </c>
      <c r="I24" s="262">
        <f t="shared" si="11"/>
        <v>0</v>
      </c>
      <c r="J24" s="262">
        <f t="shared" si="11"/>
        <v>0</v>
      </c>
      <c r="K24" s="262">
        <f t="shared" si="11"/>
        <v>0</v>
      </c>
      <c r="L24" s="262">
        <f t="shared" si="11"/>
        <v>0</v>
      </c>
      <c r="M24" s="262">
        <f t="shared" si="11"/>
        <v>0</v>
      </c>
      <c r="N24" s="262">
        <f t="shared" si="11"/>
        <v>0</v>
      </c>
      <c r="O24" s="262">
        <f t="shared" si="11"/>
        <v>0</v>
      </c>
      <c r="P24" s="262">
        <f t="shared" si="11"/>
        <v>0</v>
      </c>
      <c r="Q24" s="262">
        <f t="shared" si="11"/>
        <v>0</v>
      </c>
      <c r="R24" s="262">
        <f t="shared" si="11"/>
        <v>0</v>
      </c>
      <c r="S24" s="262">
        <f t="shared" si="11"/>
        <v>0</v>
      </c>
      <c r="T24" s="262">
        <f t="shared" si="11"/>
        <v>0</v>
      </c>
      <c r="U24" s="262">
        <f t="shared" si="11"/>
        <v>0</v>
      </c>
      <c r="V24" s="262">
        <f t="shared" si="11"/>
        <v>0</v>
      </c>
      <c r="W24" s="262">
        <f t="shared" si="11"/>
        <v>0</v>
      </c>
      <c r="X24" s="262">
        <f t="shared" si="11"/>
        <v>0</v>
      </c>
      <c r="Y24" s="262">
        <f t="shared" si="11"/>
        <v>0</v>
      </c>
      <c r="Z24" s="262">
        <f t="shared" si="11"/>
        <v>0</v>
      </c>
      <c r="AA24" s="262">
        <f t="shared" si="11"/>
        <v>0</v>
      </c>
      <c r="AB24" s="262">
        <f t="shared" si="11"/>
        <v>0</v>
      </c>
      <c r="AC24" s="262">
        <f t="shared" si="11"/>
        <v>0</v>
      </c>
      <c r="AD24" s="262">
        <f t="shared" si="11"/>
        <v>0</v>
      </c>
      <c r="AE24" s="262">
        <f t="shared" si="11"/>
        <v>0</v>
      </c>
      <c r="AF24" s="262">
        <f t="shared" si="11"/>
        <v>0</v>
      </c>
      <c r="AG24" s="262">
        <f t="shared" si="11"/>
        <v>0</v>
      </c>
      <c r="AH24" s="262">
        <f t="shared" si="11"/>
        <v>0</v>
      </c>
      <c r="AI24" s="262">
        <f t="shared" si="11"/>
        <v>0</v>
      </c>
      <c r="AJ24" s="262">
        <f t="shared" si="11"/>
        <v>0</v>
      </c>
      <c r="AK24" s="262">
        <f t="shared" si="11"/>
        <v>0</v>
      </c>
      <c r="AL24" s="262">
        <f t="shared" si="11"/>
        <v>0</v>
      </c>
      <c r="AM24" s="262">
        <f t="shared" si="11"/>
        <v>0</v>
      </c>
      <c r="AN24" s="262">
        <f t="shared" si="11"/>
        <v>0</v>
      </c>
      <c r="AO24" s="262">
        <f t="shared" si="11"/>
        <v>0</v>
      </c>
      <c r="AP24" s="262">
        <f t="shared" si="11"/>
        <v>0</v>
      </c>
      <c r="AQ24" s="262">
        <f t="shared" ref="AQ24" si="14">AQ6-AQ15</f>
        <v>0</v>
      </c>
    </row>
    <row r="25" spans="2:43" x14ac:dyDescent="0.2">
      <c r="B25" s="256" t="s">
        <v>152</v>
      </c>
      <c r="C25" s="262">
        <f t="shared" si="13"/>
        <v>0</v>
      </c>
      <c r="D25" s="262">
        <f t="shared" si="11"/>
        <v>0</v>
      </c>
      <c r="E25" s="262">
        <f t="shared" si="11"/>
        <v>0</v>
      </c>
      <c r="F25" s="262">
        <f t="shared" si="11"/>
        <v>0</v>
      </c>
      <c r="G25" s="262">
        <f t="shared" si="11"/>
        <v>0</v>
      </c>
      <c r="H25" s="262">
        <f t="shared" si="11"/>
        <v>0</v>
      </c>
      <c r="I25" s="262">
        <f t="shared" si="11"/>
        <v>0</v>
      </c>
      <c r="J25" s="262">
        <f t="shared" si="11"/>
        <v>0</v>
      </c>
      <c r="K25" s="262">
        <f t="shared" si="11"/>
        <v>0</v>
      </c>
      <c r="L25" s="262">
        <f t="shared" si="11"/>
        <v>0</v>
      </c>
      <c r="M25" s="262">
        <f t="shared" si="11"/>
        <v>0</v>
      </c>
      <c r="N25" s="262">
        <f t="shared" si="11"/>
        <v>0</v>
      </c>
      <c r="O25" s="262">
        <f t="shared" si="11"/>
        <v>0</v>
      </c>
      <c r="P25" s="262">
        <f t="shared" si="11"/>
        <v>0</v>
      </c>
      <c r="Q25" s="262">
        <f t="shared" si="11"/>
        <v>0</v>
      </c>
      <c r="R25" s="262">
        <f t="shared" si="11"/>
        <v>0</v>
      </c>
      <c r="S25" s="262">
        <f t="shared" si="11"/>
        <v>0</v>
      </c>
      <c r="T25" s="262">
        <f t="shared" si="11"/>
        <v>0</v>
      </c>
      <c r="U25" s="262">
        <f t="shared" si="11"/>
        <v>0</v>
      </c>
      <c r="V25" s="262">
        <f t="shared" si="11"/>
        <v>0</v>
      </c>
      <c r="W25" s="262">
        <f t="shared" si="11"/>
        <v>0</v>
      </c>
      <c r="X25" s="262">
        <f t="shared" si="11"/>
        <v>0</v>
      </c>
      <c r="Y25" s="262">
        <f t="shared" si="11"/>
        <v>0</v>
      </c>
      <c r="Z25" s="262">
        <f t="shared" si="11"/>
        <v>0</v>
      </c>
      <c r="AA25" s="262">
        <f t="shared" si="11"/>
        <v>0</v>
      </c>
      <c r="AB25" s="262">
        <f t="shared" si="11"/>
        <v>0</v>
      </c>
      <c r="AC25" s="262">
        <f t="shared" si="11"/>
        <v>0</v>
      </c>
      <c r="AD25" s="262">
        <f t="shared" si="11"/>
        <v>0</v>
      </c>
      <c r="AE25" s="262">
        <f t="shared" si="11"/>
        <v>0</v>
      </c>
      <c r="AF25" s="262">
        <f t="shared" si="11"/>
        <v>0</v>
      </c>
      <c r="AG25" s="262">
        <f t="shared" si="11"/>
        <v>0</v>
      </c>
      <c r="AH25" s="262">
        <f t="shared" si="11"/>
        <v>0</v>
      </c>
      <c r="AI25" s="262">
        <f t="shared" si="11"/>
        <v>0</v>
      </c>
      <c r="AJ25" s="262">
        <f t="shared" si="11"/>
        <v>0</v>
      </c>
      <c r="AK25" s="262">
        <f t="shared" si="11"/>
        <v>0</v>
      </c>
      <c r="AL25" s="262">
        <f t="shared" si="11"/>
        <v>0</v>
      </c>
      <c r="AM25" s="262">
        <f t="shared" si="11"/>
        <v>0</v>
      </c>
      <c r="AN25" s="262">
        <f t="shared" si="11"/>
        <v>0</v>
      </c>
      <c r="AO25" s="262">
        <f t="shared" si="11"/>
        <v>0</v>
      </c>
      <c r="AP25" s="262">
        <f t="shared" si="11"/>
        <v>0</v>
      </c>
      <c r="AQ25" s="262">
        <f t="shared" ref="AQ25" si="15">AQ7-AQ16</f>
        <v>0</v>
      </c>
    </row>
    <row r="26" spans="2:43" x14ac:dyDescent="0.2">
      <c r="B26" s="499" t="s">
        <v>59</v>
      </c>
      <c r="C26" s="500">
        <f t="shared" si="13"/>
        <v>0</v>
      </c>
      <c r="D26" s="500">
        <f t="shared" ref="D26:AP26" si="16">SUM(D23:D25)</f>
        <v>0</v>
      </c>
      <c r="E26" s="501">
        <f t="shared" si="16"/>
        <v>0</v>
      </c>
      <c r="F26" s="501">
        <f t="shared" si="16"/>
        <v>0</v>
      </c>
      <c r="G26" s="501">
        <f t="shared" si="16"/>
        <v>0</v>
      </c>
      <c r="H26" s="501">
        <f t="shared" si="16"/>
        <v>0</v>
      </c>
      <c r="I26" s="501">
        <f t="shared" si="16"/>
        <v>0</v>
      </c>
      <c r="J26" s="501">
        <f t="shared" si="16"/>
        <v>0</v>
      </c>
      <c r="K26" s="501">
        <f t="shared" si="16"/>
        <v>0</v>
      </c>
      <c r="L26" s="501">
        <f t="shared" si="16"/>
        <v>0</v>
      </c>
      <c r="M26" s="501">
        <f t="shared" si="16"/>
        <v>0</v>
      </c>
      <c r="N26" s="501">
        <f t="shared" si="16"/>
        <v>0</v>
      </c>
      <c r="O26" s="501">
        <f t="shared" si="16"/>
        <v>0</v>
      </c>
      <c r="P26" s="501">
        <f t="shared" si="16"/>
        <v>0</v>
      </c>
      <c r="Q26" s="501">
        <f t="shared" si="16"/>
        <v>0</v>
      </c>
      <c r="R26" s="501">
        <f t="shared" si="16"/>
        <v>0</v>
      </c>
      <c r="S26" s="501">
        <f t="shared" si="16"/>
        <v>0</v>
      </c>
      <c r="T26" s="501">
        <f t="shared" si="16"/>
        <v>0</v>
      </c>
      <c r="U26" s="501">
        <f t="shared" si="16"/>
        <v>0</v>
      </c>
      <c r="V26" s="501">
        <f t="shared" si="16"/>
        <v>0</v>
      </c>
      <c r="W26" s="501">
        <f t="shared" si="16"/>
        <v>0</v>
      </c>
      <c r="X26" s="501">
        <f t="shared" si="16"/>
        <v>0</v>
      </c>
      <c r="Y26" s="501">
        <f t="shared" si="16"/>
        <v>0</v>
      </c>
      <c r="Z26" s="501">
        <f t="shared" si="16"/>
        <v>0</v>
      </c>
      <c r="AA26" s="501">
        <f t="shared" si="16"/>
        <v>0</v>
      </c>
      <c r="AB26" s="501">
        <f t="shared" si="16"/>
        <v>0</v>
      </c>
      <c r="AC26" s="501">
        <f t="shared" si="16"/>
        <v>0</v>
      </c>
      <c r="AD26" s="501">
        <f t="shared" si="16"/>
        <v>0</v>
      </c>
      <c r="AE26" s="501">
        <f t="shared" si="16"/>
        <v>0</v>
      </c>
      <c r="AF26" s="501">
        <f t="shared" si="16"/>
        <v>0</v>
      </c>
      <c r="AG26" s="501">
        <f t="shared" si="16"/>
        <v>0</v>
      </c>
      <c r="AH26" s="501">
        <f t="shared" si="16"/>
        <v>0</v>
      </c>
      <c r="AI26" s="501">
        <f t="shared" si="16"/>
        <v>0</v>
      </c>
      <c r="AJ26" s="501">
        <f t="shared" si="16"/>
        <v>0</v>
      </c>
      <c r="AK26" s="501">
        <f t="shared" si="16"/>
        <v>0</v>
      </c>
      <c r="AL26" s="501">
        <f t="shared" si="16"/>
        <v>0</v>
      </c>
      <c r="AM26" s="501">
        <f t="shared" si="16"/>
        <v>0</v>
      </c>
      <c r="AN26" s="501">
        <f t="shared" si="16"/>
        <v>0</v>
      </c>
      <c r="AO26" s="501">
        <f t="shared" si="16"/>
        <v>0</v>
      </c>
      <c r="AP26" s="501">
        <f t="shared" si="16"/>
        <v>0</v>
      </c>
      <c r="AQ26" s="501">
        <f t="shared" ref="AQ26" si="17">SUM(AQ23:AQ25)</f>
        <v>0</v>
      </c>
    </row>
    <row r="27" spans="2:43" x14ac:dyDescent="0.2">
      <c r="B27" s="506" t="s">
        <v>409</v>
      </c>
      <c r="C27" s="507">
        <f t="shared" si="13"/>
        <v>0</v>
      </c>
      <c r="D27" s="507">
        <f>(D23*'Parametre EMU550'!$C$117)+(D24*'Parametre EMU550'!$D$117)+(D25*'Parametre EMU550'!$E$117)</f>
        <v>0</v>
      </c>
      <c r="E27" s="507">
        <f>(E23*'Parametre EMU550'!$C$117)+(E24*'Parametre EMU550'!$D$117)+(E25*'Parametre EMU550'!$E$117)</f>
        <v>0</v>
      </c>
      <c r="F27" s="507">
        <f>(F23*'Parametre EMU550'!$C$117)+(F24*'Parametre EMU550'!$D$117)+(F25*'Parametre EMU550'!$E$117)</f>
        <v>0</v>
      </c>
      <c r="G27" s="507">
        <f>(G23*'Parametre EMU550'!$C$117)+(G24*'Parametre EMU550'!$D$117)+(G25*'Parametre EMU550'!$E$117)</f>
        <v>0</v>
      </c>
      <c r="H27" s="507">
        <f>(H23*'Parametre EMU550'!$C$117)+(H24*'Parametre EMU550'!$D$117)+(H25*'Parametre EMU550'!$E$117)</f>
        <v>0</v>
      </c>
      <c r="I27" s="507">
        <f>(I23*'Parametre EMU550'!$C$117)+(I24*'Parametre EMU550'!$D$117)+(I25*'Parametre EMU550'!$E$117)</f>
        <v>0</v>
      </c>
      <c r="J27" s="507">
        <f>(J23*'Parametre EMU550'!$C$117)+(J24*'Parametre EMU550'!$D$117)+(J25*'Parametre EMU550'!$E$117)</f>
        <v>0</v>
      </c>
      <c r="K27" s="507">
        <f>(K23*'Parametre EMU550'!$C$117)+(K24*'Parametre EMU550'!$D$117)+(K25*'Parametre EMU550'!$E$117)</f>
        <v>0</v>
      </c>
      <c r="L27" s="507">
        <f>(L23*'Parametre EMU550'!$C$117)+(L24*'Parametre EMU550'!$D$117)+(L25*'Parametre EMU550'!$E$117)</f>
        <v>0</v>
      </c>
      <c r="M27" s="507">
        <f>(M23*'Parametre EMU550'!$C$117)+(M24*'Parametre EMU550'!$D$117)+(M25*'Parametre EMU550'!$E$117)</f>
        <v>0</v>
      </c>
      <c r="N27" s="507">
        <f>(N23*'Parametre EMU550'!$C$117)+(N24*'Parametre EMU550'!$D$117)+(N25*'Parametre EMU550'!$E$117)</f>
        <v>0</v>
      </c>
      <c r="O27" s="507">
        <f>(O23*'Parametre EMU550'!$C$117)+(O24*'Parametre EMU550'!$D$117)+(O25*'Parametre EMU550'!$E$117)</f>
        <v>0</v>
      </c>
      <c r="P27" s="507">
        <f>(P23*'Parametre EMU550'!$C$117)+(P24*'Parametre EMU550'!$D$117)+(P25*'Parametre EMU550'!$E$117)</f>
        <v>0</v>
      </c>
      <c r="Q27" s="507">
        <f>(Q23*'Parametre EMU550'!$C$117)+(Q24*'Parametre EMU550'!$D$117)+(Q25*'Parametre EMU550'!$E$117)</f>
        <v>0</v>
      </c>
      <c r="R27" s="507">
        <f>(R23*'Parametre EMU550'!$C$117)+(R24*'Parametre EMU550'!$D$117)+(R25*'Parametre EMU550'!$E$117)</f>
        <v>0</v>
      </c>
      <c r="S27" s="507">
        <f>(S23*'Parametre EMU550'!$C$117)+(S24*'Parametre EMU550'!$D$117)+(S25*'Parametre EMU550'!$E$117)</f>
        <v>0</v>
      </c>
      <c r="T27" s="507">
        <f>(T23*'Parametre EMU550'!$C$117)+(T24*'Parametre EMU550'!$D$117)+(T25*'Parametre EMU550'!$E$117)</f>
        <v>0</v>
      </c>
      <c r="U27" s="507">
        <f>(U23*'Parametre EMU550'!$C$117)+(U24*'Parametre EMU550'!$D$117)+(U25*'Parametre EMU550'!$E$117)</f>
        <v>0</v>
      </c>
      <c r="V27" s="507">
        <f>(V23*'Parametre EMU550'!$C$117)+(V24*'Parametre EMU550'!$D$117)+(V25*'Parametre EMU550'!$E$117)</f>
        <v>0</v>
      </c>
      <c r="W27" s="507">
        <f>(W23*'Parametre EMU550'!$C$117)+(W24*'Parametre EMU550'!$D$117)+(W25*'Parametre EMU550'!$E$117)</f>
        <v>0</v>
      </c>
      <c r="X27" s="507">
        <f>(X23*'Parametre EMU550'!$C$117)+(X24*'Parametre EMU550'!$D$117)+(X25*'Parametre EMU550'!$E$117)</f>
        <v>0</v>
      </c>
      <c r="Y27" s="507">
        <f>(Y23*'Parametre EMU550'!$C$117)+(Y24*'Parametre EMU550'!$D$117)+(Y25*'Parametre EMU550'!$E$117)</f>
        <v>0</v>
      </c>
      <c r="Z27" s="507">
        <f>(Z23*'Parametre EMU550'!$C$117)+(Z24*'Parametre EMU550'!$D$117)+(Z25*'Parametre EMU550'!$E$117)</f>
        <v>0</v>
      </c>
      <c r="AA27" s="507">
        <f>(AA23*'Parametre EMU550'!$C$117)+(AA24*'Parametre EMU550'!$D$117)+(AA25*'Parametre EMU550'!$E$117)</f>
        <v>0</v>
      </c>
      <c r="AB27" s="507">
        <f>(AB23*'Parametre EMU550'!$C$117)+(AB24*'Parametre EMU550'!$D$117)+(AB25*'Parametre EMU550'!$E$117)</f>
        <v>0</v>
      </c>
      <c r="AC27" s="507">
        <f>(AC23*'Parametre EMU550'!$C$117)+(AC24*'Parametre EMU550'!$D$117)+(AC25*'Parametre EMU550'!$E$117)</f>
        <v>0</v>
      </c>
      <c r="AD27" s="507">
        <f>(AD23*'Parametre EMU550'!$C$117)+(AD24*'Parametre EMU550'!$D$117)+(AD25*'Parametre EMU550'!$E$117)</f>
        <v>0</v>
      </c>
      <c r="AE27" s="507">
        <f>(AE23*'Parametre EMU550'!$C$117)+(AE24*'Parametre EMU550'!$D$117)+(AE25*'Parametre EMU550'!$E$117)</f>
        <v>0</v>
      </c>
      <c r="AF27" s="507">
        <f>(AF23*'Parametre EMU550'!$C$117)+(AF24*'Parametre EMU550'!$D$117)+(AF25*'Parametre EMU550'!$E$117)</f>
        <v>0</v>
      </c>
      <c r="AG27" s="507">
        <f>(AG23*'Parametre EMU550'!$C$117)+(AG24*'Parametre EMU550'!$D$117)+(AG25*'Parametre EMU550'!$E$117)</f>
        <v>0</v>
      </c>
      <c r="AH27" s="507">
        <f>(AH23*'Parametre EMU550'!$C$117)+(AH24*'Parametre EMU550'!$D$117)+(AH25*'Parametre EMU550'!$E$117)</f>
        <v>0</v>
      </c>
      <c r="AI27" s="507">
        <f>(AI23*'Parametre EMU550'!$C$117)+(AI24*'Parametre EMU550'!$D$117)+(AI25*'Parametre EMU550'!$E$117)</f>
        <v>0</v>
      </c>
      <c r="AJ27" s="507">
        <f>(AJ23*'Parametre EMU550'!$C$117)+(AJ24*'Parametre EMU550'!$D$117)+(AJ25*'Parametre EMU550'!$E$117)</f>
        <v>0</v>
      </c>
      <c r="AK27" s="507">
        <f>(AK23*'Parametre EMU550'!$C$117)+(AK24*'Parametre EMU550'!$D$117)+(AK25*'Parametre EMU550'!$E$117)</f>
        <v>0</v>
      </c>
      <c r="AL27" s="507">
        <f>(AL23*'Parametre EMU550'!$C$117)+(AL24*'Parametre EMU550'!$D$117)+(AL25*'Parametre EMU550'!$E$117)</f>
        <v>0</v>
      </c>
      <c r="AM27" s="507">
        <f>(AM23*'Parametre EMU550'!$C$117)+(AM24*'Parametre EMU550'!$D$117)+(AM25*'Parametre EMU550'!$E$117)</f>
        <v>0</v>
      </c>
      <c r="AN27" s="507">
        <f>(AN23*'Parametre EMU550'!$C$117)+(AN24*'Parametre EMU550'!$D$117)+(AN25*'Parametre EMU550'!$E$117)</f>
        <v>0</v>
      </c>
      <c r="AO27" s="507">
        <f>(AO23*'Parametre EMU550'!$C$117)+(AO24*'Parametre EMU550'!$D$117)+(AO25*'Parametre EMU550'!$E$117)</f>
        <v>0</v>
      </c>
      <c r="AP27" s="507">
        <f>(AP23*'Parametre EMU550'!$C$117)+(AP24*'Parametre EMU550'!$D$117)+(AP25*'Parametre EMU550'!$E$117)</f>
        <v>0</v>
      </c>
      <c r="AQ27" s="507">
        <f>(AQ23*'Parametre EMU550'!$C$117)+(AQ24*'Parametre EMU550'!$D$117)+(AQ25*'Parametre EMU550'!$E$117)</f>
        <v>0</v>
      </c>
    </row>
    <row r="30" spans="2:43" x14ac:dyDescent="0.2">
      <c r="B30" s="735" t="s">
        <v>456</v>
      </c>
      <c r="C30" s="256"/>
      <c r="D30" s="256" t="s">
        <v>10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</row>
    <row r="31" spans="2:43" x14ac:dyDescent="0.2">
      <c r="B31" s="737"/>
      <c r="C31" s="257"/>
      <c r="D31" s="258">
        <v>1</v>
      </c>
      <c r="E31" s="258">
        <v>2</v>
      </c>
      <c r="F31" s="258">
        <v>3</v>
      </c>
      <c r="G31" s="258">
        <v>4</v>
      </c>
      <c r="H31" s="258">
        <v>5</v>
      </c>
      <c r="I31" s="258">
        <v>6</v>
      </c>
      <c r="J31" s="258">
        <v>7</v>
      </c>
      <c r="K31" s="258">
        <v>8</v>
      </c>
      <c r="L31" s="258">
        <v>9</v>
      </c>
      <c r="M31" s="258">
        <v>10</v>
      </c>
      <c r="N31" s="258">
        <v>11</v>
      </c>
      <c r="O31" s="258">
        <v>12</v>
      </c>
      <c r="P31" s="258">
        <v>13</v>
      </c>
      <c r="Q31" s="258">
        <v>14</v>
      </c>
      <c r="R31" s="258">
        <v>15</v>
      </c>
      <c r="S31" s="258">
        <v>16</v>
      </c>
      <c r="T31" s="258">
        <v>17</v>
      </c>
      <c r="U31" s="258">
        <v>18</v>
      </c>
      <c r="V31" s="258">
        <v>19</v>
      </c>
      <c r="W31" s="258">
        <v>20</v>
      </c>
      <c r="X31" s="258">
        <v>21</v>
      </c>
      <c r="Y31" s="258">
        <v>22</v>
      </c>
      <c r="Z31" s="258">
        <v>23</v>
      </c>
      <c r="AA31" s="258">
        <v>24</v>
      </c>
      <c r="AB31" s="258">
        <v>25</v>
      </c>
      <c r="AC31" s="258">
        <v>26</v>
      </c>
      <c r="AD31" s="258">
        <v>27</v>
      </c>
      <c r="AE31" s="258">
        <v>28</v>
      </c>
      <c r="AF31" s="258">
        <v>29</v>
      </c>
      <c r="AG31" s="258">
        <v>30</v>
      </c>
      <c r="AH31" s="258">
        <v>31</v>
      </c>
      <c r="AI31" s="258">
        <v>32</v>
      </c>
      <c r="AJ31" s="258">
        <v>33</v>
      </c>
      <c r="AK31" s="258">
        <v>34</v>
      </c>
      <c r="AL31" s="258">
        <v>35</v>
      </c>
      <c r="AM31" s="258">
        <v>36</v>
      </c>
      <c r="AN31" s="258">
        <v>37</v>
      </c>
      <c r="AO31" s="258">
        <v>38</v>
      </c>
      <c r="AP31" s="258">
        <v>39</v>
      </c>
      <c r="AQ31" s="258">
        <v>40</v>
      </c>
    </row>
    <row r="32" spans="2:43" x14ac:dyDescent="0.2">
      <c r="B32" s="259" t="s">
        <v>33</v>
      </c>
      <c r="C32" s="259" t="s">
        <v>9</v>
      </c>
      <c r="D32" s="261">
        <f>D4</f>
        <v>2026</v>
      </c>
      <c r="E32" s="261">
        <f t="shared" ref="E32:AP32" si="18">E4</f>
        <v>2027</v>
      </c>
      <c r="F32" s="261">
        <f t="shared" si="18"/>
        <v>2028</v>
      </c>
      <c r="G32" s="261">
        <f t="shared" si="18"/>
        <v>2029</v>
      </c>
      <c r="H32" s="261">
        <f t="shared" si="18"/>
        <v>2030</v>
      </c>
      <c r="I32" s="261">
        <f t="shared" si="18"/>
        <v>2031</v>
      </c>
      <c r="J32" s="261">
        <f t="shared" si="18"/>
        <v>2032</v>
      </c>
      <c r="K32" s="261">
        <f t="shared" si="18"/>
        <v>2033</v>
      </c>
      <c r="L32" s="261">
        <f t="shared" si="18"/>
        <v>2034</v>
      </c>
      <c r="M32" s="261">
        <f t="shared" si="18"/>
        <v>2035</v>
      </c>
      <c r="N32" s="261">
        <f t="shared" si="18"/>
        <v>2036</v>
      </c>
      <c r="O32" s="261">
        <f t="shared" si="18"/>
        <v>2037</v>
      </c>
      <c r="P32" s="261">
        <f t="shared" si="18"/>
        <v>2038</v>
      </c>
      <c r="Q32" s="261">
        <f t="shared" si="18"/>
        <v>2039</v>
      </c>
      <c r="R32" s="261">
        <f t="shared" si="18"/>
        <v>2040</v>
      </c>
      <c r="S32" s="261">
        <f t="shared" si="18"/>
        <v>2041</v>
      </c>
      <c r="T32" s="261">
        <f t="shared" si="18"/>
        <v>2042</v>
      </c>
      <c r="U32" s="261">
        <f t="shared" si="18"/>
        <v>2043</v>
      </c>
      <c r="V32" s="261">
        <f t="shared" si="18"/>
        <v>2044</v>
      </c>
      <c r="W32" s="261">
        <f t="shared" si="18"/>
        <v>2045</v>
      </c>
      <c r="X32" s="261">
        <f t="shared" si="18"/>
        <v>2046</v>
      </c>
      <c r="Y32" s="261">
        <f t="shared" si="18"/>
        <v>2047</v>
      </c>
      <c r="Z32" s="261">
        <f t="shared" si="18"/>
        <v>2048</v>
      </c>
      <c r="AA32" s="261">
        <f t="shared" si="18"/>
        <v>2049</v>
      </c>
      <c r="AB32" s="261">
        <f t="shared" si="18"/>
        <v>2050</v>
      </c>
      <c r="AC32" s="261">
        <f t="shared" si="18"/>
        <v>2051</v>
      </c>
      <c r="AD32" s="261">
        <f t="shared" si="18"/>
        <v>2052</v>
      </c>
      <c r="AE32" s="261">
        <f t="shared" si="18"/>
        <v>2053</v>
      </c>
      <c r="AF32" s="261">
        <f t="shared" si="18"/>
        <v>2054</v>
      </c>
      <c r="AG32" s="261">
        <f t="shared" si="18"/>
        <v>2055</v>
      </c>
      <c r="AH32" s="261">
        <f t="shared" si="18"/>
        <v>2056</v>
      </c>
      <c r="AI32" s="261">
        <f t="shared" si="18"/>
        <v>2057</v>
      </c>
      <c r="AJ32" s="261">
        <f t="shared" si="18"/>
        <v>2058</v>
      </c>
      <c r="AK32" s="261">
        <f t="shared" si="18"/>
        <v>2059</v>
      </c>
      <c r="AL32" s="261">
        <f t="shared" si="18"/>
        <v>2060</v>
      </c>
      <c r="AM32" s="261">
        <f t="shared" si="18"/>
        <v>2061</v>
      </c>
      <c r="AN32" s="261">
        <f t="shared" si="18"/>
        <v>2062</v>
      </c>
      <c r="AO32" s="261">
        <f t="shared" si="18"/>
        <v>2063</v>
      </c>
      <c r="AP32" s="261">
        <f t="shared" si="18"/>
        <v>2064</v>
      </c>
      <c r="AQ32" s="261">
        <f t="shared" ref="AQ32" si="19">AQ4</f>
        <v>2065</v>
      </c>
    </row>
    <row r="33" spans="2:43" x14ac:dyDescent="0.2">
      <c r="B33" s="761" t="s">
        <v>230</v>
      </c>
      <c r="C33" s="262">
        <f>SUM(D33:AQ33)</f>
        <v>0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</row>
    <row r="34" spans="2:43" x14ac:dyDescent="0.2">
      <c r="B34" s="761" t="s">
        <v>287</v>
      </c>
      <c r="C34" s="262">
        <f t="shared" ref="C34:C38" si="20">SUM(D34:AQ34)</f>
        <v>0</v>
      </c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</row>
    <row r="35" spans="2:43" x14ac:dyDescent="0.2">
      <c r="B35" s="761" t="s">
        <v>239</v>
      </c>
      <c r="C35" s="262">
        <f t="shared" si="20"/>
        <v>1337612891.999999</v>
      </c>
      <c r="D35" s="263">
        <f>'12a_A Skleník. p. (voz.)EMU550'!D6</f>
        <v>33440322.299999997</v>
      </c>
      <c r="E35" s="263">
        <f>'12a_A Skleník. p. (voz.)EMU550'!E6</f>
        <v>33440322.299999997</v>
      </c>
      <c r="F35" s="263">
        <f>'12a_A Skleník. p. (voz.)EMU550'!F6</f>
        <v>33440322.299999997</v>
      </c>
      <c r="G35" s="263">
        <f>'12a_A Skleník. p. (voz.)EMU550'!G6</f>
        <v>33440322.299999997</v>
      </c>
      <c r="H35" s="263">
        <f>'12a_A Skleník. p. (voz.)EMU550'!H6</f>
        <v>33440322.299999997</v>
      </c>
      <c r="I35" s="263">
        <f>'12a_A Skleník. p. (voz.)EMU550'!I6</f>
        <v>33440322.299999997</v>
      </c>
      <c r="J35" s="263">
        <f>'12a_A Skleník. p. (voz.)EMU550'!J6</f>
        <v>33440322.299999997</v>
      </c>
      <c r="K35" s="263">
        <f>'12a_A Skleník. p. (voz.)EMU550'!K6</f>
        <v>33440322.299999997</v>
      </c>
      <c r="L35" s="263">
        <f>'12a_A Skleník. p. (voz.)EMU550'!L6</f>
        <v>33440322.299999997</v>
      </c>
      <c r="M35" s="263">
        <f>'12a_A Skleník. p. (voz.)EMU550'!M6</f>
        <v>33440322.299999997</v>
      </c>
      <c r="N35" s="263">
        <f>'12a_A Skleník. p. (voz.)EMU550'!N6</f>
        <v>33440322.299999997</v>
      </c>
      <c r="O35" s="263">
        <f>'12a_A Skleník. p. (voz.)EMU550'!O6</f>
        <v>33440322.299999997</v>
      </c>
      <c r="P35" s="263">
        <f>'12a_A Skleník. p. (voz.)EMU550'!P6</f>
        <v>33440322.299999997</v>
      </c>
      <c r="Q35" s="263">
        <f>'12a_A Skleník. p. (voz.)EMU550'!Q6</f>
        <v>33440322.299999997</v>
      </c>
      <c r="R35" s="263">
        <f>'12a_A Skleník. p. (voz.)EMU550'!R6</f>
        <v>33440322.299999997</v>
      </c>
      <c r="S35" s="263">
        <f>'12a_A Skleník. p. (voz.)EMU550'!S6</f>
        <v>33440322.299999997</v>
      </c>
      <c r="T35" s="263">
        <f>'12a_A Skleník. p. (voz.)EMU550'!T6</f>
        <v>33440322.299999997</v>
      </c>
      <c r="U35" s="263">
        <f>'12a_A Skleník. p. (voz.)EMU550'!U6</f>
        <v>33440322.299999997</v>
      </c>
      <c r="V35" s="263">
        <f>'12a_A Skleník. p. (voz.)EMU550'!V6</f>
        <v>33440322.299999997</v>
      </c>
      <c r="W35" s="263">
        <f>'12a_A Skleník. p. (voz.)EMU550'!W6</f>
        <v>33440322.299999997</v>
      </c>
      <c r="X35" s="263">
        <f>'12a_A Skleník. p. (voz.)EMU550'!X6</f>
        <v>33440322.299999997</v>
      </c>
      <c r="Y35" s="263">
        <f>'12a_A Skleník. p. (voz.)EMU550'!Y6</f>
        <v>33440322.299999997</v>
      </c>
      <c r="Z35" s="263">
        <f>'12a_A Skleník. p. (voz.)EMU550'!Z6</f>
        <v>33440322.299999997</v>
      </c>
      <c r="AA35" s="263">
        <f>'12a_A Skleník. p. (voz.)EMU550'!AA6</f>
        <v>33440322.299999997</v>
      </c>
      <c r="AB35" s="263">
        <f>'12a_A Skleník. p. (voz.)EMU550'!AB6</f>
        <v>33440322.299999997</v>
      </c>
      <c r="AC35" s="263">
        <f>'12a_A Skleník. p. (voz.)EMU550'!AC6</f>
        <v>33440322.299999997</v>
      </c>
      <c r="AD35" s="263">
        <f>'12a_A Skleník. p. (voz.)EMU550'!AD6</f>
        <v>33440322.299999997</v>
      </c>
      <c r="AE35" s="263">
        <f>'12a_A Skleník. p. (voz.)EMU550'!AE6</f>
        <v>33440322.299999997</v>
      </c>
      <c r="AF35" s="263">
        <f>'12a_A Skleník. p. (voz.)EMU550'!AF6</f>
        <v>33440322.299999997</v>
      </c>
      <c r="AG35" s="263">
        <f>'12a_A Skleník. p. (voz.)EMU550'!AG6</f>
        <v>33440322.299999997</v>
      </c>
      <c r="AH35" s="263">
        <f>'12a_A Skleník. p. (voz.)EMU550'!AH6</f>
        <v>33440322.299999997</v>
      </c>
      <c r="AI35" s="263">
        <f>'12a_A Skleník. p. (voz.)EMU550'!AI6</f>
        <v>33440322.299999997</v>
      </c>
      <c r="AJ35" s="263">
        <f>'12a_A Skleník. p. (voz.)EMU550'!AJ6</f>
        <v>33440322.299999997</v>
      </c>
      <c r="AK35" s="263">
        <f>'12a_A Skleník. p. (voz.)EMU550'!AK6</f>
        <v>33440322.299999997</v>
      </c>
      <c r="AL35" s="263">
        <f>'12a_A Skleník. p. (voz.)EMU550'!AL6</f>
        <v>33440322.299999997</v>
      </c>
      <c r="AM35" s="263">
        <f>'12a_A Skleník. p. (voz.)EMU550'!AM6</f>
        <v>33440322.299999997</v>
      </c>
      <c r="AN35" s="263">
        <f>'12a_A Skleník. p. (voz.)EMU550'!AN6</f>
        <v>33440322.299999997</v>
      </c>
      <c r="AO35" s="263">
        <f>'12a_A Skleník. p. (voz.)EMU550'!AO6</f>
        <v>33440322.299999997</v>
      </c>
      <c r="AP35" s="263">
        <f>'12a_A Skleník. p. (voz.)EMU550'!AP6</f>
        <v>33440322.299999997</v>
      </c>
      <c r="AQ35" s="263">
        <f>'12a_A Skleník. p. (voz.)EMU550'!AQ6</f>
        <v>33440322.299999997</v>
      </c>
    </row>
    <row r="36" spans="2:43" x14ac:dyDescent="0.2">
      <c r="B36" s="761" t="s">
        <v>240</v>
      </c>
      <c r="C36" s="262">
        <f t="shared" si="20"/>
        <v>0</v>
      </c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</row>
    <row r="37" spans="2:43" x14ac:dyDescent="0.2">
      <c r="B37" s="761" t="s">
        <v>601</v>
      </c>
      <c r="C37" s="262">
        <f t="shared" si="20"/>
        <v>0</v>
      </c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</row>
    <row r="38" spans="2:43" x14ac:dyDescent="0.2">
      <c r="B38" s="257" t="s">
        <v>35</v>
      </c>
      <c r="C38" s="264">
        <f t="shared" si="20"/>
        <v>1337612891.999999</v>
      </c>
      <c r="D38" s="264">
        <f t="shared" ref="D38:AP38" si="21">SUM(D33:D37)</f>
        <v>33440322.299999997</v>
      </c>
      <c r="E38" s="264">
        <f t="shared" si="21"/>
        <v>33440322.299999997</v>
      </c>
      <c r="F38" s="264">
        <f t="shared" si="21"/>
        <v>33440322.299999997</v>
      </c>
      <c r="G38" s="264">
        <f t="shared" si="21"/>
        <v>33440322.299999997</v>
      </c>
      <c r="H38" s="264">
        <f t="shared" si="21"/>
        <v>33440322.299999997</v>
      </c>
      <c r="I38" s="264">
        <f t="shared" si="21"/>
        <v>33440322.299999997</v>
      </c>
      <c r="J38" s="264">
        <f t="shared" si="21"/>
        <v>33440322.299999997</v>
      </c>
      <c r="K38" s="264">
        <f t="shared" si="21"/>
        <v>33440322.299999997</v>
      </c>
      <c r="L38" s="264">
        <f t="shared" si="21"/>
        <v>33440322.299999997</v>
      </c>
      <c r="M38" s="264">
        <f t="shared" si="21"/>
        <v>33440322.299999997</v>
      </c>
      <c r="N38" s="264">
        <f t="shared" si="21"/>
        <v>33440322.299999997</v>
      </c>
      <c r="O38" s="264">
        <f t="shared" si="21"/>
        <v>33440322.299999997</v>
      </c>
      <c r="P38" s="264">
        <f t="shared" si="21"/>
        <v>33440322.299999997</v>
      </c>
      <c r="Q38" s="264">
        <f t="shared" si="21"/>
        <v>33440322.299999997</v>
      </c>
      <c r="R38" s="264">
        <f t="shared" si="21"/>
        <v>33440322.299999997</v>
      </c>
      <c r="S38" s="264">
        <f t="shared" si="21"/>
        <v>33440322.299999997</v>
      </c>
      <c r="T38" s="264">
        <f t="shared" si="21"/>
        <v>33440322.299999997</v>
      </c>
      <c r="U38" s="264">
        <f t="shared" si="21"/>
        <v>33440322.299999997</v>
      </c>
      <c r="V38" s="264">
        <f t="shared" si="21"/>
        <v>33440322.299999997</v>
      </c>
      <c r="W38" s="264">
        <f t="shared" si="21"/>
        <v>33440322.299999997</v>
      </c>
      <c r="X38" s="264">
        <f t="shared" si="21"/>
        <v>33440322.299999997</v>
      </c>
      <c r="Y38" s="264">
        <f t="shared" si="21"/>
        <v>33440322.299999997</v>
      </c>
      <c r="Z38" s="264">
        <f t="shared" si="21"/>
        <v>33440322.299999997</v>
      </c>
      <c r="AA38" s="264">
        <f t="shared" si="21"/>
        <v>33440322.299999997</v>
      </c>
      <c r="AB38" s="264">
        <f t="shared" si="21"/>
        <v>33440322.299999997</v>
      </c>
      <c r="AC38" s="264">
        <f t="shared" si="21"/>
        <v>33440322.299999997</v>
      </c>
      <c r="AD38" s="264">
        <f t="shared" si="21"/>
        <v>33440322.299999997</v>
      </c>
      <c r="AE38" s="264">
        <f t="shared" si="21"/>
        <v>33440322.299999997</v>
      </c>
      <c r="AF38" s="264">
        <f t="shared" si="21"/>
        <v>33440322.299999997</v>
      </c>
      <c r="AG38" s="264">
        <f t="shared" si="21"/>
        <v>33440322.299999997</v>
      </c>
      <c r="AH38" s="264">
        <f t="shared" si="21"/>
        <v>33440322.299999997</v>
      </c>
      <c r="AI38" s="264">
        <f t="shared" si="21"/>
        <v>33440322.299999997</v>
      </c>
      <c r="AJ38" s="264">
        <f t="shared" si="21"/>
        <v>33440322.299999997</v>
      </c>
      <c r="AK38" s="264">
        <f t="shared" si="21"/>
        <v>33440322.299999997</v>
      </c>
      <c r="AL38" s="264">
        <f t="shared" si="21"/>
        <v>33440322.299999997</v>
      </c>
      <c r="AM38" s="264">
        <f t="shared" si="21"/>
        <v>33440322.299999997</v>
      </c>
      <c r="AN38" s="264">
        <f t="shared" si="21"/>
        <v>33440322.299999997</v>
      </c>
      <c r="AO38" s="264">
        <f t="shared" si="21"/>
        <v>33440322.299999997</v>
      </c>
      <c r="AP38" s="264">
        <f t="shared" si="21"/>
        <v>33440322.299999997</v>
      </c>
      <c r="AQ38" s="264">
        <f t="shared" ref="AQ38" si="22">SUM(AQ33:AQ37)</f>
        <v>33440322.299999997</v>
      </c>
    </row>
    <row r="41" spans="2:43" x14ac:dyDescent="0.2">
      <c r="B41" s="735" t="s">
        <v>457</v>
      </c>
      <c r="C41" s="256"/>
      <c r="D41" s="256" t="s">
        <v>10</v>
      </c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</row>
    <row r="42" spans="2:43" x14ac:dyDescent="0.2">
      <c r="B42" s="737"/>
      <c r="C42" s="257"/>
      <c r="D42" s="258">
        <v>1</v>
      </c>
      <c r="E42" s="258">
        <v>2</v>
      </c>
      <c r="F42" s="258">
        <v>3</v>
      </c>
      <c r="G42" s="258">
        <v>4</v>
      </c>
      <c r="H42" s="258">
        <v>5</v>
      </c>
      <c r="I42" s="258">
        <v>6</v>
      </c>
      <c r="J42" s="258">
        <v>7</v>
      </c>
      <c r="K42" s="258">
        <v>8</v>
      </c>
      <c r="L42" s="258">
        <v>9</v>
      </c>
      <c r="M42" s="258">
        <v>10</v>
      </c>
      <c r="N42" s="258">
        <v>11</v>
      </c>
      <c r="O42" s="258">
        <v>12</v>
      </c>
      <c r="P42" s="258">
        <v>13</v>
      </c>
      <c r="Q42" s="258">
        <v>14</v>
      </c>
      <c r="R42" s="258">
        <v>15</v>
      </c>
      <c r="S42" s="258">
        <v>16</v>
      </c>
      <c r="T42" s="258">
        <v>17</v>
      </c>
      <c r="U42" s="258">
        <v>18</v>
      </c>
      <c r="V42" s="258">
        <v>19</v>
      </c>
      <c r="W42" s="258">
        <v>20</v>
      </c>
      <c r="X42" s="258">
        <v>21</v>
      </c>
      <c r="Y42" s="258">
        <v>22</v>
      </c>
      <c r="Z42" s="258">
        <v>23</v>
      </c>
      <c r="AA42" s="258">
        <v>24</v>
      </c>
      <c r="AB42" s="258">
        <v>25</v>
      </c>
      <c r="AC42" s="258">
        <v>26</v>
      </c>
      <c r="AD42" s="258">
        <v>27</v>
      </c>
      <c r="AE42" s="258">
        <v>28</v>
      </c>
      <c r="AF42" s="258">
        <v>29</v>
      </c>
      <c r="AG42" s="258">
        <v>30</v>
      </c>
      <c r="AH42" s="258">
        <v>31</v>
      </c>
      <c r="AI42" s="258">
        <v>32</v>
      </c>
      <c r="AJ42" s="258">
        <v>33</v>
      </c>
      <c r="AK42" s="258">
        <v>34</v>
      </c>
      <c r="AL42" s="258">
        <v>35</v>
      </c>
      <c r="AM42" s="258">
        <v>36</v>
      </c>
      <c r="AN42" s="258">
        <v>37</v>
      </c>
      <c r="AO42" s="258">
        <v>38</v>
      </c>
      <c r="AP42" s="258">
        <v>39</v>
      </c>
      <c r="AQ42" s="258">
        <v>40</v>
      </c>
    </row>
    <row r="43" spans="2:43" x14ac:dyDescent="0.2">
      <c r="B43" s="259" t="s">
        <v>34</v>
      </c>
      <c r="C43" s="259" t="s">
        <v>9</v>
      </c>
      <c r="D43" s="261">
        <f t="shared" ref="D43:AP43" si="23">D4</f>
        <v>2026</v>
      </c>
      <c r="E43" s="261">
        <f t="shared" si="23"/>
        <v>2027</v>
      </c>
      <c r="F43" s="261">
        <f t="shared" si="23"/>
        <v>2028</v>
      </c>
      <c r="G43" s="261">
        <f t="shared" si="23"/>
        <v>2029</v>
      </c>
      <c r="H43" s="261">
        <f t="shared" si="23"/>
        <v>2030</v>
      </c>
      <c r="I43" s="261">
        <f t="shared" si="23"/>
        <v>2031</v>
      </c>
      <c r="J43" s="261">
        <f t="shared" si="23"/>
        <v>2032</v>
      </c>
      <c r="K43" s="261">
        <f t="shared" si="23"/>
        <v>2033</v>
      </c>
      <c r="L43" s="261">
        <f t="shared" si="23"/>
        <v>2034</v>
      </c>
      <c r="M43" s="261">
        <f t="shared" si="23"/>
        <v>2035</v>
      </c>
      <c r="N43" s="261">
        <f t="shared" si="23"/>
        <v>2036</v>
      </c>
      <c r="O43" s="261">
        <f t="shared" si="23"/>
        <v>2037</v>
      </c>
      <c r="P43" s="261">
        <f t="shared" si="23"/>
        <v>2038</v>
      </c>
      <c r="Q43" s="261">
        <f t="shared" si="23"/>
        <v>2039</v>
      </c>
      <c r="R43" s="261">
        <f t="shared" si="23"/>
        <v>2040</v>
      </c>
      <c r="S43" s="261">
        <f t="shared" si="23"/>
        <v>2041</v>
      </c>
      <c r="T43" s="261">
        <f t="shared" si="23"/>
        <v>2042</v>
      </c>
      <c r="U43" s="261">
        <f t="shared" si="23"/>
        <v>2043</v>
      </c>
      <c r="V43" s="261">
        <f t="shared" si="23"/>
        <v>2044</v>
      </c>
      <c r="W43" s="261">
        <f t="shared" si="23"/>
        <v>2045</v>
      </c>
      <c r="X43" s="261">
        <f t="shared" si="23"/>
        <v>2046</v>
      </c>
      <c r="Y43" s="261">
        <f t="shared" si="23"/>
        <v>2047</v>
      </c>
      <c r="Z43" s="261">
        <f t="shared" si="23"/>
        <v>2048</v>
      </c>
      <c r="AA43" s="261">
        <f t="shared" si="23"/>
        <v>2049</v>
      </c>
      <c r="AB43" s="261">
        <f t="shared" si="23"/>
        <v>2050</v>
      </c>
      <c r="AC43" s="261">
        <f t="shared" si="23"/>
        <v>2051</v>
      </c>
      <c r="AD43" s="261">
        <f t="shared" si="23"/>
        <v>2052</v>
      </c>
      <c r="AE43" s="261">
        <f t="shared" si="23"/>
        <v>2053</v>
      </c>
      <c r="AF43" s="261">
        <f t="shared" si="23"/>
        <v>2054</v>
      </c>
      <c r="AG43" s="261">
        <f t="shared" si="23"/>
        <v>2055</v>
      </c>
      <c r="AH43" s="261">
        <f t="shared" si="23"/>
        <v>2056</v>
      </c>
      <c r="AI43" s="261">
        <f t="shared" si="23"/>
        <v>2057</v>
      </c>
      <c r="AJ43" s="261">
        <f t="shared" si="23"/>
        <v>2058</v>
      </c>
      <c r="AK43" s="261">
        <f t="shared" si="23"/>
        <v>2059</v>
      </c>
      <c r="AL43" s="261">
        <f t="shared" si="23"/>
        <v>2060</v>
      </c>
      <c r="AM43" s="261">
        <f t="shared" si="23"/>
        <v>2061</v>
      </c>
      <c r="AN43" s="261">
        <f t="shared" si="23"/>
        <v>2062</v>
      </c>
      <c r="AO43" s="261">
        <f t="shared" si="23"/>
        <v>2063</v>
      </c>
      <c r="AP43" s="261">
        <f t="shared" si="23"/>
        <v>2064</v>
      </c>
      <c r="AQ43" s="261">
        <f t="shared" ref="AQ43" si="24">AQ4</f>
        <v>2065</v>
      </c>
    </row>
    <row r="44" spans="2:43" x14ac:dyDescent="0.2">
      <c r="B44" s="761" t="s">
        <v>230</v>
      </c>
      <c r="C44" s="262">
        <f>SUM(D44:AQ44)</f>
        <v>0</v>
      </c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</row>
    <row r="45" spans="2:43" x14ac:dyDescent="0.2">
      <c r="B45" s="761" t="s">
        <v>287</v>
      </c>
      <c r="C45" s="262">
        <f t="shared" ref="C45:C49" si="25">SUM(D45:AQ45)</f>
        <v>0</v>
      </c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</row>
    <row r="46" spans="2:43" x14ac:dyDescent="0.2">
      <c r="B46" s="761" t="s">
        <v>239</v>
      </c>
      <c r="C46" s="262">
        <f t="shared" si="25"/>
        <v>0</v>
      </c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</row>
    <row r="47" spans="2:43" x14ac:dyDescent="0.2">
      <c r="B47" s="761" t="s">
        <v>240</v>
      </c>
      <c r="C47" s="262">
        <f t="shared" si="25"/>
        <v>0</v>
      </c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</row>
    <row r="48" spans="2:43" x14ac:dyDescent="0.2">
      <c r="B48" s="761" t="s">
        <v>675</v>
      </c>
      <c r="C48" s="262">
        <f t="shared" si="25"/>
        <v>1327449908.4000008</v>
      </c>
      <c r="D48" s="263">
        <f>'12a_A Skleník. p. (voz.)EMU550'!D12</f>
        <v>33440322.299999997</v>
      </c>
      <c r="E48" s="263">
        <f>'12a_A Skleník. p. (voz.)EMU550'!E12</f>
        <v>33440322.299999997</v>
      </c>
      <c r="F48" s="263">
        <f>'12a_A Skleník. p. (voz.)EMU550'!F12</f>
        <v>33440322.299999997</v>
      </c>
      <c r="G48" s="263">
        <f>'12a_A Skleník. p. (voz.)EMU550'!G12</f>
        <v>33440322.299999997</v>
      </c>
      <c r="H48" s="263">
        <f>'12a_A Skleník. p. (voz.)EMU550'!H12</f>
        <v>33158017.199999999</v>
      </c>
      <c r="I48" s="263">
        <f>'12a_A Skleník. p. (voz.)EMU550'!I12</f>
        <v>33158017.199999999</v>
      </c>
      <c r="J48" s="263">
        <f>'12a_A Skleník. p. (voz.)EMU550'!J12</f>
        <v>33158017.199999999</v>
      </c>
      <c r="K48" s="263">
        <f>'12a_A Skleník. p. (voz.)EMU550'!K12</f>
        <v>33158017.199999999</v>
      </c>
      <c r="L48" s="263">
        <f>'12a_A Skleník. p. (voz.)EMU550'!L12</f>
        <v>33158017.199999999</v>
      </c>
      <c r="M48" s="263">
        <f>'12a_A Skleník. p. (voz.)EMU550'!M12</f>
        <v>33158017.199999999</v>
      </c>
      <c r="N48" s="263">
        <f>'12a_A Skleník. p. (voz.)EMU550'!N12</f>
        <v>33158017.199999999</v>
      </c>
      <c r="O48" s="263">
        <f>'12a_A Skleník. p. (voz.)EMU550'!O12</f>
        <v>33158017.199999999</v>
      </c>
      <c r="P48" s="263">
        <f>'12a_A Skleník. p. (voz.)EMU550'!P12</f>
        <v>33158017.199999999</v>
      </c>
      <c r="Q48" s="263">
        <f>'12a_A Skleník. p. (voz.)EMU550'!Q12</f>
        <v>33158017.199999999</v>
      </c>
      <c r="R48" s="263">
        <f>'12a_A Skleník. p. (voz.)EMU550'!R12</f>
        <v>33158017.199999999</v>
      </c>
      <c r="S48" s="263">
        <f>'12a_A Skleník. p. (voz.)EMU550'!S12</f>
        <v>33158017.199999999</v>
      </c>
      <c r="T48" s="263">
        <f>'12a_A Skleník. p. (voz.)EMU550'!T12</f>
        <v>33158017.199999999</v>
      </c>
      <c r="U48" s="263">
        <f>'12a_A Skleník. p. (voz.)EMU550'!U12</f>
        <v>33158017.199999999</v>
      </c>
      <c r="V48" s="263">
        <f>'12a_A Skleník. p. (voz.)EMU550'!V12</f>
        <v>33158017.199999999</v>
      </c>
      <c r="W48" s="263">
        <f>'12a_A Skleník. p. (voz.)EMU550'!W12</f>
        <v>33158017.199999999</v>
      </c>
      <c r="X48" s="263">
        <f>'12a_A Skleník. p. (voz.)EMU550'!X12</f>
        <v>33158017.199999999</v>
      </c>
      <c r="Y48" s="263">
        <f>'12a_A Skleník. p. (voz.)EMU550'!Y12</f>
        <v>33158017.199999999</v>
      </c>
      <c r="Z48" s="263">
        <f>'12a_A Skleník. p. (voz.)EMU550'!Z12</f>
        <v>33158017.199999999</v>
      </c>
      <c r="AA48" s="263">
        <f>'12a_A Skleník. p. (voz.)EMU550'!AA12</f>
        <v>33158017.199999999</v>
      </c>
      <c r="AB48" s="263">
        <f>'12a_A Skleník. p. (voz.)EMU550'!AB12</f>
        <v>33158017.199999999</v>
      </c>
      <c r="AC48" s="263">
        <f>'12a_A Skleník. p. (voz.)EMU550'!AC12</f>
        <v>33158017.199999999</v>
      </c>
      <c r="AD48" s="263">
        <f>'12a_A Skleník. p. (voz.)EMU550'!AD12</f>
        <v>33158017.199999999</v>
      </c>
      <c r="AE48" s="263">
        <f>'12a_A Skleník. p. (voz.)EMU550'!AE12</f>
        <v>33158017.199999999</v>
      </c>
      <c r="AF48" s="263">
        <f>'12a_A Skleník. p. (voz.)EMU550'!AF12</f>
        <v>33158017.199999999</v>
      </c>
      <c r="AG48" s="263">
        <f>'12a_A Skleník. p. (voz.)EMU550'!AG12</f>
        <v>33158017.199999999</v>
      </c>
      <c r="AH48" s="263">
        <f>'12a_A Skleník. p. (voz.)EMU550'!AH12</f>
        <v>33158017.199999999</v>
      </c>
      <c r="AI48" s="263">
        <f>'12a_A Skleník. p. (voz.)EMU550'!AI12</f>
        <v>33158017.199999999</v>
      </c>
      <c r="AJ48" s="263">
        <f>'12a_A Skleník. p. (voz.)EMU550'!AJ12</f>
        <v>33158017.199999999</v>
      </c>
      <c r="AK48" s="263">
        <f>'12a_A Skleník. p. (voz.)EMU550'!AK12</f>
        <v>33158017.199999999</v>
      </c>
      <c r="AL48" s="263">
        <f>'12a_A Skleník. p. (voz.)EMU550'!AL12</f>
        <v>33158017.199999999</v>
      </c>
      <c r="AM48" s="263">
        <f>'12a_A Skleník. p. (voz.)EMU550'!AM12</f>
        <v>33158017.199999999</v>
      </c>
      <c r="AN48" s="263">
        <f>'12a_A Skleník. p. (voz.)EMU550'!AN12</f>
        <v>33158017.199999999</v>
      </c>
      <c r="AO48" s="263">
        <f>'12a_A Skleník. p. (voz.)EMU550'!AO12</f>
        <v>33158017.199999999</v>
      </c>
      <c r="AP48" s="263">
        <f>'12a_A Skleník. p. (voz.)EMU550'!AP12</f>
        <v>33158017.199999999</v>
      </c>
      <c r="AQ48" s="263">
        <f>'12a_A Skleník. p. (voz.)EMU550'!AQ12</f>
        <v>33158017.199999999</v>
      </c>
    </row>
    <row r="49" spans="2:43" x14ac:dyDescent="0.2">
      <c r="B49" s="257" t="s">
        <v>35</v>
      </c>
      <c r="C49" s="264">
        <f t="shared" si="25"/>
        <v>0</v>
      </c>
      <c r="D49" s="264">
        <f t="shared" ref="D49:AQ49" si="26">SUM(D44:D47)</f>
        <v>0</v>
      </c>
      <c r="E49" s="264">
        <f t="shared" si="26"/>
        <v>0</v>
      </c>
      <c r="F49" s="264">
        <f t="shared" si="26"/>
        <v>0</v>
      </c>
      <c r="G49" s="264">
        <f t="shared" si="26"/>
        <v>0</v>
      </c>
      <c r="H49" s="264">
        <f t="shared" si="26"/>
        <v>0</v>
      </c>
      <c r="I49" s="264">
        <f t="shared" si="26"/>
        <v>0</v>
      </c>
      <c r="J49" s="264">
        <f t="shared" si="26"/>
        <v>0</v>
      </c>
      <c r="K49" s="264">
        <f t="shared" si="26"/>
        <v>0</v>
      </c>
      <c r="L49" s="264">
        <f t="shared" si="26"/>
        <v>0</v>
      </c>
      <c r="M49" s="264">
        <f t="shared" si="26"/>
        <v>0</v>
      </c>
      <c r="N49" s="264">
        <f t="shared" si="26"/>
        <v>0</v>
      </c>
      <c r="O49" s="264">
        <f t="shared" si="26"/>
        <v>0</v>
      </c>
      <c r="P49" s="264">
        <f t="shared" si="26"/>
        <v>0</v>
      </c>
      <c r="Q49" s="264">
        <f t="shared" si="26"/>
        <v>0</v>
      </c>
      <c r="R49" s="264">
        <f t="shared" si="26"/>
        <v>0</v>
      </c>
      <c r="S49" s="264">
        <f t="shared" si="26"/>
        <v>0</v>
      </c>
      <c r="T49" s="264">
        <f t="shared" si="26"/>
        <v>0</v>
      </c>
      <c r="U49" s="264">
        <f t="shared" si="26"/>
        <v>0</v>
      </c>
      <c r="V49" s="264">
        <f t="shared" si="26"/>
        <v>0</v>
      </c>
      <c r="W49" s="264">
        <f t="shared" si="26"/>
        <v>0</v>
      </c>
      <c r="X49" s="264">
        <f t="shared" si="26"/>
        <v>0</v>
      </c>
      <c r="Y49" s="264">
        <f t="shared" si="26"/>
        <v>0</v>
      </c>
      <c r="Z49" s="264">
        <f t="shared" si="26"/>
        <v>0</v>
      </c>
      <c r="AA49" s="264">
        <f t="shared" si="26"/>
        <v>0</v>
      </c>
      <c r="AB49" s="264">
        <f t="shared" si="26"/>
        <v>0</v>
      </c>
      <c r="AC49" s="264">
        <f t="shared" si="26"/>
        <v>0</v>
      </c>
      <c r="AD49" s="264">
        <f t="shared" si="26"/>
        <v>0</v>
      </c>
      <c r="AE49" s="264">
        <f t="shared" si="26"/>
        <v>0</v>
      </c>
      <c r="AF49" s="264">
        <f t="shared" si="26"/>
        <v>0</v>
      </c>
      <c r="AG49" s="264">
        <f t="shared" si="26"/>
        <v>0</v>
      </c>
      <c r="AH49" s="264">
        <f t="shared" si="26"/>
        <v>0</v>
      </c>
      <c r="AI49" s="264">
        <f t="shared" si="26"/>
        <v>0</v>
      </c>
      <c r="AJ49" s="264">
        <f t="shared" si="26"/>
        <v>0</v>
      </c>
      <c r="AK49" s="264">
        <f t="shared" si="26"/>
        <v>0</v>
      </c>
      <c r="AL49" s="264">
        <f t="shared" si="26"/>
        <v>0</v>
      </c>
      <c r="AM49" s="264">
        <f t="shared" si="26"/>
        <v>0</v>
      </c>
      <c r="AN49" s="264">
        <f t="shared" si="26"/>
        <v>0</v>
      </c>
      <c r="AO49" s="264">
        <f t="shared" si="26"/>
        <v>0</v>
      </c>
      <c r="AP49" s="264">
        <f t="shared" si="26"/>
        <v>0</v>
      </c>
      <c r="AQ49" s="264">
        <f t="shared" si="26"/>
        <v>0</v>
      </c>
    </row>
    <row r="52" spans="2:43" x14ac:dyDescent="0.2">
      <c r="B52" s="735" t="s">
        <v>458</v>
      </c>
      <c r="C52" s="256"/>
      <c r="D52" s="256" t="s">
        <v>10</v>
      </c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</row>
    <row r="53" spans="2:43" x14ac:dyDescent="0.2">
      <c r="B53" s="737"/>
      <c r="C53" s="257"/>
      <c r="D53" s="258">
        <v>1</v>
      </c>
      <c r="E53" s="258">
        <v>2</v>
      </c>
      <c r="F53" s="258">
        <v>3</v>
      </c>
      <c r="G53" s="258">
        <v>4</v>
      </c>
      <c r="H53" s="258">
        <v>5</v>
      </c>
      <c r="I53" s="258">
        <v>6</v>
      </c>
      <c r="J53" s="258">
        <v>7</v>
      </c>
      <c r="K53" s="258">
        <v>8</v>
      </c>
      <c r="L53" s="258">
        <v>9</v>
      </c>
      <c r="M53" s="258">
        <v>10</v>
      </c>
      <c r="N53" s="258">
        <v>11</v>
      </c>
      <c r="O53" s="258">
        <v>12</v>
      </c>
      <c r="P53" s="258">
        <v>13</v>
      </c>
      <c r="Q53" s="258">
        <v>14</v>
      </c>
      <c r="R53" s="258">
        <v>15</v>
      </c>
      <c r="S53" s="258">
        <v>16</v>
      </c>
      <c r="T53" s="258">
        <v>17</v>
      </c>
      <c r="U53" s="258">
        <v>18</v>
      </c>
      <c r="V53" s="258">
        <v>19</v>
      </c>
      <c r="W53" s="258">
        <v>20</v>
      </c>
      <c r="X53" s="258">
        <v>21</v>
      </c>
      <c r="Y53" s="258">
        <v>22</v>
      </c>
      <c r="Z53" s="258">
        <v>23</v>
      </c>
      <c r="AA53" s="258">
        <v>24</v>
      </c>
      <c r="AB53" s="258">
        <v>25</v>
      </c>
      <c r="AC53" s="258">
        <v>26</v>
      </c>
      <c r="AD53" s="258">
        <v>27</v>
      </c>
      <c r="AE53" s="258">
        <v>28</v>
      </c>
      <c r="AF53" s="258">
        <v>29</v>
      </c>
      <c r="AG53" s="258">
        <v>30</v>
      </c>
      <c r="AH53" s="258">
        <v>31</v>
      </c>
      <c r="AI53" s="258">
        <v>32</v>
      </c>
      <c r="AJ53" s="258">
        <v>33</v>
      </c>
      <c r="AK53" s="258">
        <v>34</v>
      </c>
      <c r="AL53" s="258">
        <v>35</v>
      </c>
      <c r="AM53" s="258">
        <v>36</v>
      </c>
      <c r="AN53" s="258">
        <v>37</v>
      </c>
      <c r="AO53" s="258">
        <v>38</v>
      </c>
      <c r="AP53" s="258">
        <v>39</v>
      </c>
      <c r="AQ53" s="258">
        <v>40</v>
      </c>
    </row>
    <row r="54" spans="2:43" x14ac:dyDescent="0.2">
      <c r="B54" s="259" t="s">
        <v>63</v>
      </c>
      <c r="C54" s="259" t="s">
        <v>9</v>
      </c>
      <c r="D54" s="261">
        <f t="shared" ref="D54:AQ54" si="27">D4</f>
        <v>2026</v>
      </c>
      <c r="E54" s="261">
        <f t="shared" si="27"/>
        <v>2027</v>
      </c>
      <c r="F54" s="261">
        <f t="shared" si="27"/>
        <v>2028</v>
      </c>
      <c r="G54" s="261">
        <f t="shared" si="27"/>
        <v>2029</v>
      </c>
      <c r="H54" s="261">
        <f t="shared" si="27"/>
        <v>2030</v>
      </c>
      <c r="I54" s="261">
        <f t="shared" si="27"/>
        <v>2031</v>
      </c>
      <c r="J54" s="261">
        <f t="shared" si="27"/>
        <v>2032</v>
      </c>
      <c r="K54" s="261">
        <f t="shared" si="27"/>
        <v>2033</v>
      </c>
      <c r="L54" s="261">
        <f t="shared" si="27"/>
        <v>2034</v>
      </c>
      <c r="M54" s="261">
        <f t="shared" si="27"/>
        <v>2035</v>
      </c>
      <c r="N54" s="261">
        <f t="shared" si="27"/>
        <v>2036</v>
      </c>
      <c r="O54" s="261">
        <f t="shared" si="27"/>
        <v>2037</v>
      </c>
      <c r="P54" s="261">
        <f t="shared" si="27"/>
        <v>2038</v>
      </c>
      <c r="Q54" s="261">
        <f t="shared" si="27"/>
        <v>2039</v>
      </c>
      <c r="R54" s="261">
        <f t="shared" si="27"/>
        <v>2040</v>
      </c>
      <c r="S54" s="261">
        <f t="shared" si="27"/>
        <v>2041</v>
      </c>
      <c r="T54" s="261">
        <f t="shared" si="27"/>
        <v>2042</v>
      </c>
      <c r="U54" s="261">
        <f t="shared" si="27"/>
        <v>2043</v>
      </c>
      <c r="V54" s="261">
        <f t="shared" si="27"/>
        <v>2044</v>
      </c>
      <c r="W54" s="261">
        <f t="shared" si="27"/>
        <v>2045</v>
      </c>
      <c r="X54" s="261">
        <f t="shared" si="27"/>
        <v>2046</v>
      </c>
      <c r="Y54" s="261">
        <f t="shared" si="27"/>
        <v>2047</v>
      </c>
      <c r="Z54" s="261">
        <f t="shared" si="27"/>
        <v>2048</v>
      </c>
      <c r="AA54" s="261">
        <f t="shared" si="27"/>
        <v>2049</v>
      </c>
      <c r="AB54" s="261">
        <f t="shared" si="27"/>
        <v>2050</v>
      </c>
      <c r="AC54" s="261">
        <f t="shared" si="27"/>
        <v>2051</v>
      </c>
      <c r="AD54" s="261">
        <f t="shared" si="27"/>
        <v>2052</v>
      </c>
      <c r="AE54" s="261">
        <f t="shared" si="27"/>
        <v>2053</v>
      </c>
      <c r="AF54" s="261">
        <f t="shared" si="27"/>
        <v>2054</v>
      </c>
      <c r="AG54" s="261">
        <f t="shared" si="27"/>
        <v>2055</v>
      </c>
      <c r="AH54" s="261">
        <f t="shared" si="27"/>
        <v>2056</v>
      </c>
      <c r="AI54" s="261">
        <f t="shared" si="27"/>
        <v>2057</v>
      </c>
      <c r="AJ54" s="261">
        <f t="shared" si="27"/>
        <v>2058</v>
      </c>
      <c r="AK54" s="261">
        <f t="shared" si="27"/>
        <v>2059</v>
      </c>
      <c r="AL54" s="261">
        <f t="shared" si="27"/>
        <v>2060</v>
      </c>
      <c r="AM54" s="261">
        <f t="shared" si="27"/>
        <v>2061</v>
      </c>
      <c r="AN54" s="261">
        <f t="shared" si="27"/>
        <v>2062</v>
      </c>
      <c r="AO54" s="261">
        <f t="shared" si="27"/>
        <v>2063</v>
      </c>
      <c r="AP54" s="261">
        <f t="shared" si="27"/>
        <v>2064</v>
      </c>
      <c r="AQ54" s="261">
        <f t="shared" si="27"/>
        <v>2065</v>
      </c>
    </row>
    <row r="55" spans="2:43" x14ac:dyDescent="0.2">
      <c r="B55" s="761" t="s">
        <v>230</v>
      </c>
      <c r="C55" s="262">
        <f>SUM(D55:AQ55)</f>
        <v>0</v>
      </c>
      <c r="D55" s="262">
        <f t="shared" ref="D55:AQ55" si="28">D33-D44</f>
        <v>0</v>
      </c>
      <c r="E55" s="262">
        <f t="shared" si="28"/>
        <v>0</v>
      </c>
      <c r="F55" s="262">
        <f t="shared" si="28"/>
        <v>0</v>
      </c>
      <c r="G55" s="262">
        <f t="shared" si="28"/>
        <v>0</v>
      </c>
      <c r="H55" s="262">
        <f t="shared" si="28"/>
        <v>0</v>
      </c>
      <c r="I55" s="262">
        <f t="shared" si="28"/>
        <v>0</v>
      </c>
      <c r="J55" s="262">
        <f t="shared" si="28"/>
        <v>0</v>
      </c>
      <c r="K55" s="262">
        <f t="shared" si="28"/>
        <v>0</v>
      </c>
      <c r="L55" s="262">
        <f t="shared" si="28"/>
        <v>0</v>
      </c>
      <c r="M55" s="262">
        <f t="shared" si="28"/>
        <v>0</v>
      </c>
      <c r="N55" s="262">
        <f t="shared" si="28"/>
        <v>0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</row>
    <row r="56" spans="2:43" x14ac:dyDescent="0.2">
      <c r="B56" s="761" t="s">
        <v>287</v>
      </c>
      <c r="C56" s="262">
        <f t="shared" ref="C56:C61" si="29">SUM(D56:AQ56)</f>
        <v>0</v>
      </c>
      <c r="D56" s="262">
        <f t="shared" ref="D56:AQ56" si="30">D34-D45</f>
        <v>0</v>
      </c>
      <c r="E56" s="262">
        <f t="shared" si="30"/>
        <v>0</v>
      </c>
      <c r="F56" s="262">
        <f t="shared" si="30"/>
        <v>0</v>
      </c>
      <c r="G56" s="262">
        <f t="shared" si="30"/>
        <v>0</v>
      </c>
      <c r="H56" s="262">
        <f t="shared" si="30"/>
        <v>0</v>
      </c>
      <c r="I56" s="262">
        <f t="shared" si="30"/>
        <v>0</v>
      </c>
      <c r="J56" s="262">
        <f t="shared" si="30"/>
        <v>0</v>
      </c>
      <c r="K56" s="262">
        <f t="shared" si="30"/>
        <v>0</v>
      </c>
      <c r="L56" s="262">
        <f t="shared" si="30"/>
        <v>0</v>
      </c>
      <c r="M56" s="262">
        <f t="shared" si="30"/>
        <v>0</v>
      </c>
      <c r="N56" s="262">
        <f t="shared" si="30"/>
        <v>0</v>
      </c>
      <c r="O56" s="262">
        <f t="shared" si="30"/>
        <v>0</v>
      </c>
      <c r="P56" s="262">
        <f t="shared" si="30"/>
        <v>0</v>
      </c>
      <c r="Q56" s="262">
        <f t="shared" si="30"/>
        <v>0</v>
      </c>
      <c r="R56" s="262">
        <f t="shared" si="30"/>
        <v>0</v>
      </c>
      <c r="S56" s="262">
        <f t="shared" si="30"/>
        <v>0</v>
      </c>
      <c r="T56" s="262">
        <f t="shared" si="30"/>
        <v>0</v>
      </c>
      <c r="U56" s="262">
        <f t="shared" si="30"/>
        <v>0</v>
      </c>
      <c r="V56" s="262">
        <f t="shared" si="30"/>
        <v>0</v>
      </c>
      <c r="W56" s="262">
        <f t="shared" si="30"/>
        <v>0</v>
      </c>
      <c r="X56" s="262">
        <f t="shared" si="30"/>
        <v>0</v>
      </c>
      <c r="Y56" s="262">
        <f t="shared" si="30"/>
        <v>0</v>
      </c>
      <c r="Z56" s="262">
        <f t="shared" si="30"/>
        <v>0</v>
      </c>
      <c r="AA56" s="262">
        <f t="shared" si="30"/>
        <v>0</v>
      </c>
      <c r="AB56" s="262">
        <f t="shared" si="30"/>
        <v>0</v>
      </c>
      <c r="AC56" s="262">
        <f t="shared" si="30"/>
        <v>0</v>
      </c>
      <c r="AD56" s="262">
        <f t="shared" si="30"/>
        <v>0</v>
      </c>
      <c r="AE56" s="262">
        <f t="shared" si="30"/>
        <v>0</v>
      </c>
      <c r="AF56" s="262">
        <f t="shared" si="30"/>
        <v>0</v>
      </c>
      <c r="AG56" s="262">
        <f t="shared" si="30"/>
        <v>0</v>
      </c>
      <c r="AH56" s="262">
        <f t="shared" si="30"/>
        <v>0</v>
      </c>
      <c r="AI56" s="262">
        <f t="shared" si="30"/>
        <v>0</v>
      </c>
      <c r="AJ56" s="262">
        <f t="shared" si="30"/>
        <v>0</v>
      </c>
      <c r="AK56" s="262">
        <f t="shared" si="30"/>
        <v>0</v>
      </c>
      <c r="AL56" s="262">
        <f t="shared" si="30"/>
        <v>0</v>
      </c>
      <c r="AM56" s="262">
        <f t="shared" si="30"/>
        <v>0</v>
      </c>
      <c r="AN56" s="262">
        <f t="shared" si="30"/>
        <v>0</v>
      </c>
      <c r="AO56" s="262">
        <f t="shared" si="30"/>
        <v>0</v>
      </c>
      <c r="AP56" s="262">
        <f t="shared" si="30"/>
        <v>0</v>
      </c>
      <c r="AQ56" s="262">
        <f t="shared" si="30"/>
        <v>0</v>
      </c>
    </row>
    <row r="57" spans="2:43" x14ac:dyDescent="0.2">
      <c r="B57" s="761" t="s">
        <v>239</v>
      </c>
      <c r="C57" s="262">
        <f t="shared" si="29"/>
        <v>1337612891.999999</v>
      </c>
      <c r="D57" s="262">
        <f t="shared" ref="D57:AQ57" si="31">D35-D46</f>
        <v>33440322.299999997</v>
      </c>
      <c r="E57" s="262">
        <f t="shared" si="31"/>
        <v>33440322.299999997</v>
      </c>
      <c r="F57" s="262">
        <f t="shared" si="31"/>
        <v>33440322.299999997</v>
      </c>
      <c r="G57" s="262">
        <f t="shared" si="31"/>
        <v>33440322.299999997</v>
      </c>
      <c r="H57" s="262">
        <f t="shared" si="31"/>
        <v>33440322.299999997</v>
      </c>
      <c r="I57" s="262">
        <f t="shared" si="31"/>
        <v>33440322.299999997</v>
      </c>
      <c r="J57" s="262">
        <f t="shared" si="31"/>
        <v>33440322.299999997</v>
      </c>
      <c r="K57" s="262">
        <f t="shared" si="31"/>
        <v>33440322.299999997</v>
      </c>
      <c r="L57" s="262">
        <f t="shared" si="31"/>
        <v>33440322.299999997</v>
      </c>
      <c r="M57" s="262">
        <f t="shared" si="31"/>
        <v>33440322.299999997</v>
      </c>
      <c r="N57" s="262">
        <f t="shared" si="31"/>
        <v>33440322.299999997</v>
      </c>
      <c r="O57" s="262">
        <f t="shared" si="31"/>
        <v>33440322.299999997</v>
      </c>
      <c r="P57" s="262">
        <f t="shared" si="31"/>
        <v>33440322.299999997</v>
      </c>
      <c r="Q57" s="262">
        <f t="shared" si="31"/>
        <v>33440322.299999997</v>
      </c>
      <c r="R57" s="262">
        <f t="shared" si="31"/>
        <v>33440322.299999997</v>
      </c>
      <c r="S57" s="262">
        <f t="shared" si="31"/>
        <v>33440322.299999997</v>
      </c>
      <c r="T57" s="262">
        <f t="shared" si="31"/>
        <v>33440322.299999997</v>
      </c>
      <c r="U57" s="262">
        <f t="shared" si="31"/>
        <v>33440322.299999997</v>
      </c>
      <c r="V57" s="262">
        <f t="shared" si="31"/>
        <v>33440322.299999997</v>
      </c>
      <c r="W57" s="262">
        <f t="shared" si="31"/>
        <v>33440322.299999997</v>
      </c>
      <c r="X57" s="262">
        <f t="shared" si="31"/>
        <v>33440322.299999997</v>
      </c>
      <c r="Y57" s="262">
        <f t="shared" si="31"/>
        <v>33440322.299999997</v>
      </c>
      <c r="Z57" s="262">
        <f t="shared" si="31"/>
        <v>33440322.299999997</v>
      </c>
      <c r="AA57" s="262">
        <f t="shared" si="31"/>
        <v>33440322.299999997</v>
      </c>
      <c r="AB57" s="262">
        <f t="shared" si="31"/>
        <v>33440322.299999997</v>
      </c>
      <c r="AC57" s="262">
        <f t="shared" si="31"/>
        <v>33440322.299999997</v>
      </c>
      <c r="AD57" s="262">
        <f t="shared" si="31"/>
        <v>33440322.299999997</v>
      </c>
      <c r="AE57" s="262">
        <f t="shared" si="31"/>
        <v>33440322.299999997</v>
      </c>
      <c r="AF57" s="262">
        <f t="shared" si="31"/>
        <v>33440322.299999997</v>
      </c>
      <c r="AG57" s="262">
        <f t="shared" si="31"/>
        <v>33440322.299999997</v>
      </c>
      <c r="AH57" s="262">
        <f t="shared" si="31"/>
        <v>33440322.299999997</v>
      </c>
      <c r="AI57" s="262">
        <f t="shared" si="31"/>
        <v>33440322.299999997</v>
      </c>
      <c r="AJ57" s="262">
        <f t="shared" si="31"/>
        <v>33440322.299999997</v>
      </c>
      <c r="AK57" s="262">
        <f t="shared" si="31"/>
        <v>33440322.299999997</v>
      </c>
      <c r="AL57" s="262">
        <f t="shared" si="31"/>
        <v>33440322.299999997</v>
      </c>
      <c r="AM57" s="262">
        <f t="shared" si="31"/>
        <v>33440322.299999997</v>
      </c>
      <c r="AN57" s="262">
        <f t="shared" si="31"/>
        <v>33440322.299999997</v>
      </c>
      <c r="AO57" s="262">
        <f t="shared" si="31"/>
        <v>33440322.299999997</v>
      </c>
      <c r="AP57" s="262">
        <f t="shared" si="31"/>
        <v>33440322.299999997</v>
      </c>
      <c r="AQ57" s="262">
        <f t="shared" si="31"/>
        <v>33440322.299999997</v>
      </c>
    </row>
    <row r="58" spans="2:43" x14ac:dyDescent="0.2">
      <c r="B58" s="761" t="s">
        <v>240</v>
      </c>
      <c r="C58" s="262">
        <f t="shared" si="29"/>
        <v>0</v>
      </c>
      <c r="D58" s="262">
        <f t="shared" ref="D58:S59" si="32">D36-D47</f>
        <v>0</v>
      </c>
      <c r="E58" s="262">
        <f t="shared" ref="E58:AQ58" si="33">E36-E47</f>
        <v>0</v>
      </c>
      <c r="F58" s="262">
        <f t="shared" si="33"/>
        <v>0</v>
      </c>
      <c r="G58" s="262">
        <f t="shared" si="33"/>
        <v>0</v>
      </c>
      <c r="H58" s="262">
        <f t="shared" si="33"/>
        <v>0</v>
      </c>
      <c r="I58" s="262">
        <f t="shared" si="33"/>
        <v>0</v>
      </c>
      <c r="J58" s="262">
        <f t="shared" si="33"/>
        <v>0</v>
      </c>
      <c r="K58" s="262">
        <f t="shared" si="33"/>
        <v>0</v>
      </c>
      <c r="L58" s="262">
        <f t="shared" si="33"/>
        <v>0</v>
      </c>
      <c r="M58" s="262">
        <f t="shared" si="33"/>
        <v>0</v>
      </c>
      <c r="N58" s="262">
        <f t="shared" si="33"/>
        <v>0</v>
      </c>
      <c r="O58" s="262">
        <f t="shared" si="33"/>
        <v>0</v>
      </c>
      <c r="P58" s="262">
        <f t="shared" si="33"/>
        <v>0</v>
      </c>
      <c r="Q58" s="262">
        <f t="shared" si="33"/>
        <v>0</v>
      </c>
      <c r="R58" s="262">
        <f t="shared" si="33"/>
        <v>0</v>
      </c>
      <c r="S58" s="262">
        <f t="shared" si="33"/>
        <v>0</v>
      </c>
      <c r="T58" s="262">
        <f t="shared" si="33"/>
        <v>0</v>
      </c>
      <c r="U58" s="262">
        <f t="shared" si="33"/>
        <v>0</v>
      </c>
      <c r="V58" s="262">
        <f t="shared" si="33"/>
        <v>0</v>
      </c>
      <c r="W58" s="262">
        <f t="shared" si="33"/>
        <v>0</v>
      </c>
      <c r="X58" s="262">
        <f t="shared" si="33"/>
        <v>0</v>
      </c>
      <c r="Y58" s="262">
        <f t="shared" si="33"/>
        <v>0</v>
      </c>
      <c r="Z58" s="262">
        <f t="shared" si="33"/>
        <v>0</v>
      </c>
      <c r="AA58" s="262">
        <f t="shared" si="33"/>
        <v>0</v>
      </c>
      <c r="AB58" s="262">
        <f t="shared" si="33"/>
        <v>0</v>
      </c>
      <c r="AC58" s="262">
        <f t="shared" si="33"/>
        <v>0</v>
      </c>
      <c r="AD58" s="262">
        <f t="shared" si="33"/>
        <v>0</v>
      </c>
      <c r="AE58" s="262">
        <f t="shared" si="33"/>
        <v>0</v>
      </c>
      <c r="AF58" s="262">
        <f t="shared" si="33"/>
        <v>0</v>
      </c>
      <c r="AG58" s="262">
        <f t="shared" si="33"/>
        <v>0</v>
      </c>
      <c r="AH58" s="262">
        <f t="shared" si="33"/>
        <v>0</v>
      </c>
      <c r="AI58" s="262">
        <f t="shared" si="33"/>
        <v>0</v>
      </c>
      <c r="AJ58" s="262">
        <f t="shared" si="33"/>
        <v>0</v>
      </c>
      <c r="AK58" s="262">
        <f t="shared" si="33"/>
        <v>0</v>
      </c>
      <c r="AL58" s="262">
        <f t="shared" si="33"/>
        <v>0</v>
      </c>
      <c r="AM58" s="262">
        <f t="shared" si="33"/>
        <v>0</v>
      </c>
      <c r="AN58" s="262">
        <f t="shared" si="33"/>
        <v>0</v>
      </c>
      <c r="AO58" s="262">
        <f t="shared" si="33"/>
        <v>0</v>
      </c>
      <c r="AP58" s="262">
        <f t="shared" si="33"/>
        <v>0</v>
      </c>
      <c r="AQ58" s="262">
        <f t="shared" si="33"/>
        <v>0</v>
      </c>
    </row>
    <row r="59" spans="2:43" x14ac:dyDescent="0.2">
      <c r="B59" s="761" t="s">
        <v>675</v>
      </c>
      <c r="C59" s="262">
        <f t="shared" si="29"/>
        <v>-1327449908.4000008</v>
      </c>
      <c r="D59" s="262">
        <f t="shared" si="32"/>
        <v>-33440322.299999997</v>
      </c>
      <c r="E59" s="262">
        <f t="shared" si="32"/>
        <v>-33440322.299999997</v>
      </c>
      <c r="F59" s="262">
        <f t="shared" si="32"/>
        <v>-33440322.299999997</v>
      </c>
      <c r="G59" s="262">
        <f t="shared" si="32"/>
        <v>-33440322.299999997</v>
      </c>
      <c r="H59" s="262">
        <f t="shared" si="32"/>
        <v>-33158017.199999999</v>
      </c>
      <c r="I59" s="262">
        <f t="shared" si="32"/>
        <v>-33158017.199999999</v>
      </c>
      <c r="J59" s="262">
        <f t="shared" si="32"/>
        <v>-33158017.199999999</v>
      </c>
      <c r="K59" s="262">
        <f t="shared" si="32"/>
        <v>-33158017.199999999</v>
      </c>
      <c r="L59" s="262">
        <f t="shared" si="32"/>
        <v>-33158017.199999999</v>
      </c>
      <c r="M59" s="262">
        <f t="shared" si="32"/>
        <v>-33158017.199999999</v>
      </c>
      <c r="N59" s="262">
        <f t="shared" si="32"/>
        <v>-33158017.199999999</v>
      </c>
      <c r="O59" s="262">
        <f t="shared" si="32"/>
        <v>-33158017.199999999</v>
      </c>
      <c r="P59" s="262">
        <f t="shared" si="32"/>
        <v>-33158017.199999999</v>
      </c>
      <c r="Q59" s="262">
        <f t="shared" si="32"/>
        <v>-33158017.199999999</v>
      </c>
      <c r="R59" s="262">
        <f t="shared" si="32"/>
        <v>-33158017.199999999</v>
      </c>
      <c r="S59" s="262">
        <f t="shared" si="32"/>
        <v>-33158017.199999999</v>
      </c>
      <c r="T59" s="262">
        <f t="shared" ref="T59:AQ59" si="34">T37-T48</f>
        <v>-33158017.199999999</v>
      </c>
      <c r="U59" s="262">
        <f t="shared" si="34"/>
        <v>-33158017.199999999</v>
      </c>
      <c r="V59" s="262">
        <f t="shared" si="34"/>
        <v>-33158017.199999999</v>
      </c>
      <c r="W59" s="262">
        <f t="shared" si="34"/>
        <v>-33158017.199999999</v>
      </c>
      <c r="X59" s="262">
        <f t="shared" si="34"/>
        <v>-33158017.199999999</v>
      </c>
      <c r="Y59" s="262">
        <f t="shared" si="34"/>
        <v>-33158017.199999999</v>
      </c>
      <c r="Z59" s="262">
        <f t="shared" si="34"/>
        <v>-33158017.199999999</v>
      </c>
      <c r="AA59" s="262">
        <f t="shared" si="34"/>
        <v>-33158017.199999999</v>
      </c>
      <c r="AB59" s="262">
        <f t="shared" si="34"/>
        <v>-33158017.199999999</v>
      </c>
      <c r="AC59" s="262">
        <f t="shared" si="34"/>
        <v>-33158017.199999999</v>
      </c>
      <c r="AD59" s="262">
        <f t="shared" si="34"/>
        <v>-33158017.199999999</v>
      </c>
      <c r="AE59" s="262">
        <f t="shared" si="34"/>
        <v>-33158017.199999999</v>
      </c>
      <c r="AF59" s="262">
        <f t="shared" si="34"/>
        <v>-33158017.199999999</v>
      </c>
      <c r="AG59" s="262">
        <f t="shared" si="34"/>
        <v>-33158017.199999999</v>
      </c>
      <c r="AH59" s="262">
        <f t="shared" si="34"/>
        <v>-33158017.199999999</v>
      </c>
      <c r="AI59" s="262">
        <f t="shared" si="34"/>
        <v>-33158017.199999999</v>
      </c>
      <c r="AJ59" s="262">
        <f t="shared" si="34"/>
        <v>-33158017.199999999</v>
      </c>
      <c r="AK59" s="262">
        <f t="shared" si="34"/>
        <v>-33158017.199999999</v>
      </c>
      <c r="AL59" s="262">
        <f t="shared" si="34"/>
        <v>-33158017.199999999</v>
      </c>
      <c r="AM59" s="262">
        <f t="shared" si="34"/>
        <v>-33158017.199999999</v>
      </c>
      <c r="AN59" s="262">
        <f t="shared" si="34"/>
        <v>-33158017.199999999</v>
      </c>
      <c r="AO59" s="262">
        <f t="shared" si="34"/>
        <v>-33158017.199999999</v>
      </c>
      <c r="AP59" s="262">
        <f t="shared" si="34"/>
        <v>-33158017.199999999</v>
      </c>
      <c r="AQ59" s="262">
        <f t="shared" si="34"/>
        <v>-33158017.199999999</v>
      </c>
    </row>
    <row r="60" spans="2:43" x14ac:dyDescent="0.2">
      <c r="B60" s="508" t="s">
        <v>263</v>
      </c>
      <c r="C60" s="501">
        <f t="shared" si="29"/>
        <v>10162983.59999992</v>
      </c>
      <c r="D60" s="501">
        <f t="shared" ref="D60:AP60" si="35">SUM(D55:D59)</f>
        <v>0</v>
      </c>
      <c r="E60" s="501">
        <f t="shared" si="35"/>
        <v>0</v>
      </c>
      <c r="F60" s="501">
        <f t="shared" si="35"/>
        <v>0</v>
      </c>
      <c r="G60" s="501">
        <f t="shared" si="35"/>
        <v>0</v>
      </c>
      <c r="H60" s="501">
        <f t="shared" si="35"/>
        <v>282305.09999999776</v>
      </c>
      <c r="I60" s="501">
        <f t="shared" si="35"/>
        <v>282305.09999999776</v>
      </c>
      <c r="J60" s="501">
        <f t="shared" si="35"/>
        <v>282305.09999999776</v>
      </c>
      <c r="K60" s="501">
        <f t="shared" si="35"/>
        <v>282305.09999999776</v>
      </c>
      <c r="L60" s="501">
        <f t="shared" si="35"/>
        <v>282305.09999999776</v>
      </c>
      <c r="M60" s="501">
        <f t="shared" si="35"/>
        <v>282305.09999999776</v>
      </c>
      <c r="N60" s="501">
        <f t="shared" si="35"/>
        <v>282305.09999999776</v>
      </c>
      <c r="O60" s="501">
        <f t="shared" si="35"/>
        <v>282305.09999999776</v>
      </c>
      <c r="P60" s="501">
        <f t="shared" si="35"/>
        <v>282305.09999999776</v>
      </c>
      <c r="Q60" s="501">
        <f t="shared" si="35"/>
        <v>282305.09999999776</v>
      </c>
      <c r="R60" s="501">
        <f t="shared" si="35"/>
        <v>282305.09999999776</v>
      </c>
      <c r="S60" s="501">
        <f t="shared" si="35"/>
        <v>282305.09999999776</v>
      </c>
      <c r="T60" s="501">
        <f t="shared" si="35"/>
        <v>282305.09999999776</v>
      </c>
      <c r="U60" s="501">
        <f t="shared" si="35"/>
        <v>282305.09999999776</v>
      </c>
      <c r="V60" s="501">
        <f t="shared" si="35"/>
        <v>282305.09999999776</v>
      </c>
      <c r="W60" s="501">
        <f t="shared" si="35"/>
        <v>282305.09999999776</v>
      </c>
      <c r="X60" s="501">
        <f t="shared" si="35"/>
        <v>282305.09999999776</v>
      </c>
      <c r="Y60" s="501">
        <f t="shared" si="35"/>
        <v>282305.09999999776</v>
      </c>
      <c r="Z60" s="501">
        <f t="shared" si="35"/>
        <v>282305.09999999776</v>
      </c>
      <c r="AA60" s="501">
        <f t="shared" si="35"/>
        <v>282305.09999999776</v>
      </c>
      <c r="AB60" s="501">
        <f t="shared" si="35"/>
        <v>282305.09999999776</v>
      </c>
      <c r="AC60" s="501">
        <f t="shared" si="35"/>
        <v>282305.09999999776</v>
      </c>
      <c r="AD60" s="501">
        <f t="shared" si="35"/>
        <v>282305.09999999776</v>
      </c>
      <c r="AE60" s="501">
        <f t="shared" si="35"/>
        <v>282305.09999999776</v>
      </c>
      <c r="AF60" s="501">
        <f t="shared" si="35"/>
        <v>282305.09999999776</v>
      </c>
      <c r="AG60" s="501">
        <f t="shared" si="35"/>
        <v>282305.09999999776</v>
      </c>
      <c r="AH60" s="501">
        <f t="shared" si="35"/>
        <v>282305.09999999776</v>
      </c>
      <c r="AI60" s="501">
        <f t="shared" si="35"/>
        <v>282305.09999999776</v>
      </c>
      <c r="AJ60" s="501">
        <f t="shared" si="35"/>
        <v>282305.09999999776</v>
      </c>
      <c r="AK60" s="501">
        <f t="shared" si="35"/>
        <v>282305.09999999776</v>
      </c>
      <c r="AL60" s="501">
        <f t="shared" si="35"/>
        <v>282305.09999999776</v>
      </c>
      <c r="AM60" s="501">
        <f t="shared" si="35"/>
        <v>282305.09999999776</v>
      </c>
      <c r="AN60" s="501">
        <f t="shared" si="35"/>
        <v>282305.09999999776</v>
      </c>
      <c r="AO60" s="501">
        <f t="shared" si="35"/>
        <v>282305.09999999776</v>
      </c>
      <c r="AP60" s="501">
        <f t="shared" si="35"/>
        <v>282305.09999999776</v>
      </c>
      <c r="AQ60" s="501">
        <f t="shared" ref="AQ60" si="36">SUM(AQ55:AQ59)</f>
        <v>282305.09999999776</v>
      </c>
    </row>
    <row r="61" spans="2:43" x14ac:dyDescent="0.2">
      <c r="B61" s="506" t="s">
        <v>410</v>
      </c>
      <c r="C61" s="507">
        <f t="shared" si="29"/>
        <v>2134226.5559999831</v>
      </c>
      <c r="D61" s="507">
        <f>D60*'Parametre EMU550'!$C$112/1000</f>
        <v>0</v>
      </c>
      <c r="E61" s="507">
        <f>E60*'Parametre EMU550'!$C$112/1000</f>
        <v>0</v>
      </c>
      <c r="F61" s="507">
        <f>F60*'Parametre EMU550'!$C$112/1000</f>
        <v>0</v>
      </c>
      <c r="G61" s="507">
        <f>G60*'Parametre EMU550'!$C$112/1000</f>
        <v>0</v>
      </c>
      <c r="H61" s="507">
        <f>H60*'Parametre EMU550'!$C$112/1000</f>
        <v>59284.070999999531</v>
      </c>
      <c r="I61" s="507">
        <f>I60*'Parametre EMU550'!$C$112/1000</f>
        <v>59284.070999999531</v>
      </c>
      <c r="J61" s="507">
        <f>J60*'Parametre EMU550'!$C$112/1000</f>
        <v>59284.070999999531</v>
      </c>
      <c r="K61" s="507">
        <f>K60*'Parametre EMU550'!$C$112/1000</f>
        <v>59284.070999999531</v>
      </c>
      <c r="L61" s="507">
        <f>L60*'Parametre EMU550'!$C$112/1000</f>
        <v>59284.070999999531</v>
      </c>
      <c r="M61" s="507">
        <f>M60*'Parametre EMU550'!$C$112/1000</f>
        <v>59284.070999999531</v>
      </c>
      <c r="N61" s="507">
        <f>N60*'Parametre EMU550'!$C$112/1000</f>
        <v>59284.070999999531</v>
      </c>
      <c r="O61" s="507">
        <f>O60*'Parametre EMU550'!$C$112/1000</f>
        <v>59284.070999999531</v>
      </c>
      <c r="P61" s="507">
        <f>P60*'Parametre EMU550'!$C$112/1000</f>
        <v>59284.070999999531</v>
      </c>
      <c r="Q61" s="507">
        <f>Q60*'Parametre EMU550'!$C$112/1000</f>
        <v>59284.070999999531</v>
      </c>
      <c r="R61" s="507">
        <f>R60*'Parametre EMU550'!$C$112/1000</f>
        <v>59284.070999999531</v>
      </c>
      <c r="S61" s="507">
        <f>S60*'Parametre EMU550'!$C$112/1000</f>
        <v>59284.070999999531</v>
      </c>
      <c r="T61" s="507">
        <f>T60*'Parametre EMU550'!$C$112/1000</f>
        <v>59284.070999999531</v>
      </c>
      <c r="U61" s="507">
        <f>U60*'Parametre EMU550'!$C$112/1000</f>
        <v>59284.070999999531</v>
      </c>
      <c r="V61" s="507">
        <f>V60*'Parametre EMU550'!$C$112/1000</f>
        <v>59284.070999999531</v>
      </c>
      <c r="W61" s="507">
        <f>W60*'Parametre EMU550'!$C$112/1000</f>
        <v>59284.070999999531</v>
      </c>
      <c r="X61" s="507">
        <f>X60*'Parametre EMU550'!$C$112/1000</f>
        <v>59284.070999999531</v>
      </c>
      <c r="Y61" s="507">
        <f>Y60*'Parametre EMU550'!$C$112/1000</f>
        <v>59284.070999999531</v>
      </c>
      <c r="Z61" s="507">
        <f>Z60*'Parametre EMU550'!$C$112/1000</f>
        <v>59284.070999999531</v>
      </c>
      <c r="AA61" s="507">
        <f>AA60*'Parametre EMU550'!$C$112/1000</f>
        <v>59284.070999999531</v>
      </c>
      <c r="AB61" s="507">
        <f>AB60*'Parametre EMU550'!$C$112/1000</f>
        <v>59284.070999999531</v>
      </c>
      <c r="AC61" s="507">
        <f>AC60*'Parametre EMU550'!$C$112/1000</f>
        <v>59284.070999999531</v>
      </c>
      <c r="AD61" s="507">
        <f>AD60*'Parametre EMU550'!$C$112/1000</f>
        <v>59284.070999999531</v>
      </c>
      <c r="AE61" s="507">
        <f>AE60*'Parametre EMU550'!$C$112/1000</f>
        <v>59284.070999999531</v>
      </c>
      <c r="AF61" s="507">
        <f>AF60*'Parametre EMU550'!$C$112/1000</f>
        <v>59284.070999999531</v>
      </c>
      <c r="AG61" s="507">
        <f>AG60*'Parametre EMU550'!$C$112/1000</f>
        <v>59284.070999999531</v>
      </c>
      <c r="AH61" s="507">
        <f>AH60*'Parametre EMU550'!$C$112/1000</f>
        <v>59284.070999999531</v>
      </c>
      <c r="AI61" s="507">
        <f>AI60*'Parametre EMU550'!$C$112/1000</f>
        <v>59284.070999999531</v>
      </c>
      <c r="AJ61" s="507">
        <f>AJ60*'Parametre EMU550'!$C$112/1000</f>
        <v>59284.070999999531</v>
      </c>
      <c r="AK61" s="507">
        <f>AK60*'Parametre EMU550'!$C$112/1000</f>
        <v>59284.070999999531</v>
      </c>
      <c r="AL61" s="507">
        <f>AL60*'Parametre EMU550'!$C$112/1000</f>
        <v>59284.070999999531</v>
      </c>
      <c r="AM61" s="507">
        <f>AM60*'Parametre EMU550'!$C$112/1000</f>
        <v>59284.070999999531</v>
      </c>
      <c r="AN61" s="507">
        <f>AN60*'Parametre EMU550'!$C$112/1000</f>
        <v>59284.070999999531</v>
      </c>
      <c r="AO61" s="507">
        <f>AO60*'Parametre EMU550'!$C$112/1000</f>
        <v>59284.070999999531</v>
      </c>
      <c r="AP61" s="507">
        <f>AP60*'Parametre EMU550'!$C$112/1000</f>
        <v>59284.070999999531</v>
      </c>
      <c r="AQ61" s="507">
        <f>AQ60*'Parametre EMU550'!$C$112/1000</f>
        <v>59284.070999999531</v>
      </c>
    </row>
    <row r="62" spans="2:43" x14ac:dyDescent="0.2">
      <c r="B62" s="383"/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509"/>
      <c r="AA62" s="509"/>
      <c r="AB62" s="509"/>
      <c r="AC62" s="509"/>
      <c r="AD62" s="509"/>
      <c r="AE62" s="509"/>
      <c r="AF62" s="509"/>
      <c r="AG62" s="509"/>
      <c r="AH62" s="509"/>
      <c r="AI62" s="509"/>
      <c r="AJ62" s="509"/>
      <c r="AK62" s="509"/>
      <c r="AL62" s="509"/>
      <c r="AM62" s="509"/>
      <c r="AN62" s="509"/>
      <c r="AO62" s="509"/>
      <c r="AP62" s="509"/>
      <c r="AQ62" s="509"/>
    </row>
    <row r="63" spans="2:43" x14ac:dyDescent="0.2">
      <c r="B63" s="255" t="s">
        <v>2</v>
      </c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  <c r="Z63" s="509"/>
      <c r="AA63" s="509"/>
      <c r="AB63" s="509"/>
      <c r="AC63" s="509"/>
      <c r="AD63" s="509"/>
      <c r="AE63" s="509"/>
      <c r="AF63" s="509"/>
      <c r="AG63" s="509"/>
      <c r="AH63" s="509"/>
      <c r="AI63" s="509"/>
      <c r="AJ63" s="509"/>
      <c r="AK63" s="509"/>
      <c r="AL63" s="509"/>
      <c r="AM63" s="509"/>
      <c r="AN63" s="509"/>
      <c r="AO63" s="509"/>
      <c r="AP63" s="509"/>
      <c r="AQ63" s="509"/>
    </row>
    <row r="64" spans="2:43" x14ac:dyDescent="0.2">
      <c r="B64" s="255" t="s">
        <v>264</v>
      </c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509"/>
      <c r="AC64" s="509"/>
      <c r="AD64" s="509"/>
      <c r="AE64" s="509"/>
      <c r="AF64" s="509"/>
      <c r="AG64" s="509"/>
      <c r="AH64" s="509"/>
      <c r="AI64" s="509"/>
      <c r="AJ64" s="509"/>
      <c r="AK64" s="509"/>
      <c r="AL64" s="509"/>
      <c r="AM64" s="509"/>
      <c r="AN64" s="509"/>
      <c r="AO64" s="509"/>
      <c r="AP64" s="509"/>
      <c r="AQ64" s="509"/>
    </row>
    <row r="65" spans="2:43" x14ac:dyDescent="0.2">
      <c r="B65" s="383"/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09"/>
      <c r="AA65" s="509"/>
      <c r="AB65" s="509"/>
      <c r="AC65" s="509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</row>
    <row r="66" spans="2:43" x14ac:dyDescent="0.2">
      <c r="B66" s="508" t="s">
        <v>411</v>
      </c>
      <c r="C66" s="501">
        <f>SUM(D66:AQ66)</f>
        <v>2134226.5559999831</v>
      </c>
      <c r="D66" s="501">
        <f t="shared" ref="D66:AQ66" si="37">D61+D27</f>
        <v>0</v>
      </c>
      <c r="E66" s="501">
        <f t="shared" si="37"/>
        <v>0</v>
      </c>
      <c r="F66" s="501">
        <f t="shared" si="37"/>
        <v>0</v>
      </c>
      <c r="G66" s="501">
        <f t="shared" si="37"/>
        <v>0</v>
      </c>
      <c r="H66" s="501">
        <f t="shared" si="37"/>
        <v>59284.070999999531</v>
      </c>
      <c r="I66" s="501">
        <f t="shared" si="37"/>
        <v>59284.070999999531</v>
      </c>
      <c r="J66" s="501">
        <f t="shared" si="37"/>
        <v>59284.070999999531</v>
      </c>
      <c r="K66" s="501">
        <f t="shared" si="37"/>
        <v>59284.070999999531</v>
      </c>
      <c r="L66" s="501">
        <f t="shared" si="37"/>
        <v>59284.070999999531</v>
      </c>
      <c r="M66" s="501">
        <f t="shared" si="37"/>
        <v>59284.070999999531</v>
      </c>
      <c r="N66" s="501">
        <f t="shared" si="37"/>
        <v>59284.070999999531</v>
      </c>
      <c r="O66" s="501">
        <f t="shared" si="37"/>
        <v>59284.070999999531</v>
      </c>
      <c r="P66" s="501">
        <f t="shared" si="37"/>
        <v>59284.070999999531</v>
      </c>
      <c r="Q66" s="501">
        <f t="shared" si="37"/>
        <v>59284.070999999531</v>
      </c>
      <c r="R66" s="501">
        <f t="shared" si="37"/>
        <v>59284.070999999531</v>
      </c>
      <c r="S66" s="501">
        <f t="shared" si="37"/>
        <v>59284.070999999531</v>
      </c>
      <c r="T66" s="501">
        <f t="shared" si="37"/>
        <v>59284.070999999531</v>
      </c>
      <c r="U66" s="501">
        <f t="shared" si="37"/>
        <v>59284.070999999531</v>
      </c>
      <c r="V66" s="501">
        <f t="shared" si="37"/>
        <v>59284.070999999531</v>
      </c>
      <c r="W66" s="501">
        <f t="shared" si="37"/>
        <v>59284.070999999531</v>
      </c>
      <c r="X66" s="501">
        <f t="shared" si="37"/>
        <v>59284.070999999531</v>
      </c>
      <c r="Y66" s="501">
        <f t="shared" si="37"/>
        <v>59284.070999999531</v>
      </c>
      <c r="Z66" s="501">
        <f t="shared" si="37"/>
        <v>59284.070999999531</v>
      </c>
      <c r="AA66" s="501">
        <f t="shared" si="37"/>
        <v>59284.070999999531</v>
      </c>
      <c r="AB66" s="501">
        <f t="shared" si="37"/>
        <v>59284.070999999531</v>
      </c>
      <c r="AC66" s="501">
        <f t="shared" si="37"/>
        <v>59284.070999999531</v>
      </c>
      <c r="AD66" s="501">
        <f t="shared" si="37"/>
        <v>59284.070999999531</v>
      </c>
      <c r="AE66" s="501">
        <f t="shared" si="37"/>
        <v>59284.070999999531</v>
      </c>
      <c r="AF66" s="501">
        <f t="shared" si="37"/>
        <v>59284.070999999531</v>
      </c>
      <c r="AG66" s="501">
        <f t="shared" si="37"/>
        <v>59284.070999999531</v>
      </c>
      <c r="AH66" s="501">
        <f t="shared" si="37"/>
        <v>59284.070999999531</v>
      </c>
      <c r="AI66" s="501">
        <f t="shared" si="37"/>
        <v>59284.070999999531</v>
      </c>
      <c r="AJ66" s="501">
        <f t="shared" si="37"/>
        <v>59284.070999999531</v>
      </c>
      <c r="AK66" s="501">
        <f t="shared" si="37"/>
        <v>59284.070999999531</v>
      </c>
      <c r="AL66" s="501">
        <f t="shared" si="37"/>
        <v>59284.070999999531</v>
      </c>
      <c r="AM66" s="501">
        <f t="shared" si="37"/>
        <v>59284.070999999531</v>
      </c>
      <c r="AN66" s="501">
        <f t="shared" si="37"/>
        <v>59284.070999999531</v>
      </c>
      <c r="AO66" s="501">
        <f t="shared" si="37"/>
        <v>59284.070999999531</v>
      </c>
      <c r="AP66" s="501">
        <f t="shared" si="37"/>
        <v>59284.070999999531</v>
      </c>
      <c r="AQ66" s="501">
        <f t="shared" si="37"/>
        <v>59284.070999999531</v>
      </c>
    </row>
    <row r="67" spans="2:43" x14ac:dyDescent="0.2">
      <c r="B67" s="383"/>
      <c r="C67" s="509"/>
      <c r="D67" s="509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  <c r="Z67" s="509"/>
      <c r="AA67" s="509"/>
      <c r="AB67" s="509"/>
      <c r="AC67" s="509"/>
      <c r="AD67" s="509"/>
      <c r="AE67" s="509"/>
      <c r="AF67" s="509"/>
      <c r="AG67" s="509"/>
      <c r="AH67" s="509"/>
      <c r="AI67" s="509"/>
      <c r="AJ67" s="509"/>
      <c r="AK67" s="509"/>
      <c r="AL67" s="509"/>
      <c r="AM67" s="509"/>
      <c r="AN67" s="509"/>
      <c r="AO67" s="509"/>
      <c r="AP67" s="509"/>
      <c r="AQ67" s="509"/>
    </row>
    <row r="69" spans="2:43" x14ac:dyDescent="0.2">
      <c r="B69" s="272"/>
      <c r="C69" s="256"/>
      <c r="D69" s="256" t="s">
        <v>10</v>
      </c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</row>
    <row r="70" spans="2:43" x14ac:dyDescent="0.2">
      <c r="B70" s="735" t="s">
        <v>459</v>
      </c>
      <c r="C70" s="257"/>
      <c r="D70" s="258">
        <v>1</v>
      </c>
      <c r="E70" s="258">
        <v>2</v>
      </c>
      <c r="F70" s="258">
        <v>3</v>
      </c>
      <c r="G70" s="258">
        <v>4</v>
      </c>
      <c r="H70" s="258">
        <v>5</v>
      </c>
      <c r="I70" s="258">
        <v>6</v>
      </c>
      <c r="J70" s="258">
        <v>7</v>
      </c>
      <c r="K70" s="258">
        <v>8</v>
      </c>
      <c r="L70" s="258">
        <v>9</v>
      </c>
      <c r="M70" s="258">
        <v>10</v>
      </c>
      <c r="N70" s="258">
        <v>11</v>
      </c>
      <c r="O70" s="258">
        <v>12</v>
      </c>
      <c r="P70" s="258">
        <v>13</v>
      </c>
      <c r="Q70" s="258">
        <v>14</v>
      </c>
      <c r="R70" s="258">
        <v>15</v>
      </c>
      <c r="S70" s="258">
        <v>16</v>
      </c>
      <c r="T70" s="258">
        <v>17</v>
      </c>
      <c r="U70" s="258">
        <v>18</v>
      </c>
      <c r="V70" s="258">
        <v>19</v>
      </c>
      <c r="W70" s="258">
        <v>20</v>
      </c>
      <c r="X70" s="258">
        <v>21</v>
      </c>
      <c r="Y70" s="258">
        <v>22</v>
      </c>
      <c r="Z70" s="258">
        <v>23</v>
      </c>
      <c r="AA70" s="258">
        <v>24</v>
      </c>
      <c r="AB70" s="258">
        <v>25</v>
      </c>
      <c r="AC70" s="258">
        <v>26</v>
      </c>
      <c r="AD70" s="258">
        <v>27</v>
      </c>
      <c r="AE70" s="258">
        <v>28</v>
      </c>
      <c r="AF70" s="258">
        <v>29</v>
      </c>
      <c r="AG70" s="258">
        <v>30</v>
      </c>
      <c r="AH70" s="258">
        <v>31</v>
      </c>
      <c r="AI70" s="258">
        <v>32</v>
      </c>
      <c r="AJ70" s="258">
        <v>33</v>
      </c>
      <c r="AK70" s="258">
        <v>34</v>
      </c>
      <c r="AL70" s="258">
        <v>35</v>
      </c>
      <c r="AM70" s="258">
        <v>36</v>
      </c>
      <c r="AN70" s="258">
        <v>37</v>
      </c>
      <c r="AO70" s="258">
        <v>38</v>
      </c>
      <c r="AP70" s="258">
        <v>39</v>
      </c>
      <c r="AQ70" s="258">
        <v>40</v>
      </c>
    </row>
    <row r="71" spans="2:43" x14ac:dyDescent="0.2">
      <c r="B71" s="734"/>
      <c r="C71" s="259" t="s">
        <v>9</v>
      </c>
      <c r="D71" s="261">
        <f>D4</f>
        <v>2026</v>
      </c>
      <c r="E71" s="261">
        <f t="shared" ref="E71:AP71" si="38">E4</f>
        <v>2027</v>
      </c>
      <c r="F71" s="261">
        <f t="shared" si="38"/>
        <v>2028</v>
      </c>
      <c r="G71" s="261">
        <f t="shared" si="38"/>
        <v>2029</v>
      </c>
      <c r="H71" s="261">
        <f t="shared" si="38"/>
        <v>2030</v>
      </c>
      <c r="I71" s="261">
        <f t="shared" si="38"/>
        <v>2031</v>
      </c>
      <c r="J71" s="261">
        <f t="shared" si="38"/>
        <v>2032</v>
      </c>
      <c r="K71" s="261">
        <f t="shared" si="38"/>
        <v>2033</v>
      </c>
      <c r="L71" s="261">
        <f t="shared" si="38"/>
        <v>2034</v>
      </c>
      <c r="M71" s="261">
        <f t="shared" si="38"/>
        <v>2035</v>
      </c>
      <c r="N71" s="261">
        <f t="shared" si="38"/>
        <v>2036</v>
      </c>
      <c r="O71" s="261">
        <f t="shared" si="38"/>
        <v>2037</v>
      </c>
      <c r="P71" s="261">
        <f t="shared" si="38"/>
        <v>2038</v>
      </c>
      <c r="Q71" s="261">
        <f t="shared" si="38"/>
        <v>2039</v>
      </c>
      <c r="R71" s="261">
        <f t="shared" si="38"/>
        <v>2040</v>
      </c>
      <c r="S71" s="261">
        <f t="shared" si="38"/>
        <v>2041</v>
      </c>
      <c r="T71" s="261">
        <f t="shared" si="38"/>
        <v>2042</v>
      </c>
      <c r="U71" s="261">
        <f t="shared" si="38"/>
        <v>2043</v>
      </c>
      <c r="V71" s="261">
        <f t="shared" si="38"/>
        <v>2044</v>
      </c>
      <c r="W71" s="261">
        <f t="shared" si="38"/>
        <v>2045</v>
      </c>
      <c r="X71" s="261">
        <f t="shared" si="38"/>
        <v>2046</v>
      </c>
      <c r="Y71" s="261">
        <f t="shared" si="38"/>
        <v>2047</v>
      </c>
      <c r="Z71" s="261">
        <f t="shared" si="38"/>
        <v>2048</v>
      </c>
      <c r="AA71" s="261">
        <f t="shared" si="38"/>
        <v>2049</v>
      </c>
      <c r="AB71" s="261">
        <f t="shared" si="38"/>
        <v>2050</v>
      </c>
      <c r="AC71" s="261">
        <f t="shared" si="38"/>
        <v>2051</v>
      </c>
      <c r="AD71" s="261">
        <f t="shared" si="38"/>
        <v>2052</v>
      </c>
      <c r="AE71" s="261">
        <f t="shared" si="38"/>
        <v>2053</v>
      </c>
      <c r="AF71" s="261">
        <f t="shared" si="38"/>
        <v>2054</v>
      </c>
      <c r="AG71" s="261">
        <f t="shared" si="38"/>
        <v>2055</v>
      </c>
      <c r="AH71" s="261">
        <f t="shared" si="38"/>
        <v>2056</v>
      </c>
      <c r="AI71" s="261">
        <f t="shared" si="38"/>
        <v>2057</v>
      </c>
      <c r="AJ71" s="261">
        <f t="shared" si="38"/>
        <v>2058</v>
      </c>
      <c r="AK71" s="261">
        <f t="shared" si="38"/>
        <v>2059</v>
      </c>
      <c r="AL71" s="261">
        <f t="shared" si="38"/>
        <v>2060</v>
      </c>
      <c r="AM71" s="261">
        <f t="shared" si="38"/>
        <v>2061</v>
      </c>
      <c r="AN71" s="261">
        <f t="shared" si="38"/>
        <v>2062</v>
      </c>
      <c r="AO71" s="261">
        <f t="shared" si="38"/>
        <v>2063</v>
      </c>
      <c r="AP71" s="261">
        <f t="shared" si="38"/>
        <v>2064</v>
      </c>
      <c r="AQ71" s="261">
        <f t="shared" ref="AQ71" si="39">AQ4</f>
        <v>2065</v>
      </c>
    </row>
    <row r="72" spans="2:43" x14ac:dyDescent="0.2">
      <c r="B72" s="502" t="s">
        <v>59</v>
      </c>
      <c r="C72" s="504">
        <f>SUM(D72:AQ72)</f>
        <v>1875522.7269701851</v>
      </c>
      <c r="D72" s="503">
        <f>D66*'Parametre EMU550'!C121/1000</f>
        <v>0</v>
      </c>
      <c r="E72" s="503">
        <f>E66*'Parametre EMU550'!D121/1000</f>
        <v>0</v>
      </c>
      <c r="F72" s="503">
        <f>F66*'Parametre EMU550'!E121/1000</f>
        <v>0</v>
      </c>
      <c r="G72" s="503">
        <f>G66*'Parametre EMU550'!F121/1000</f>
        <v>0</v>
      </c>
      <c r="H72" s="503">
        <f>H66*'Parametre EMU550'!G121/1000</f>
        <v>17915.64625619986</v>
      </c>
      <c r="I72" s="503">
        <f>I66*'Parametre EMU550'!H121/1000</f>
        <v>19326.607145999849</v>
      </c>
      <c r="J72" s="503">
        <f>J66*'Parametre EMU550'!I121/1000</f>
        <v>20737.568035799835</v>
      </c>
      <c r="K72" s="503">
        <f>K66*'Parametre EMU550'!J121/1000</f>
        <v>23061.503618999817</v>
      </c>
      <c r="L72" s="503">
        <f>L66*'Parametre EMU550'!K121/1000</f>
        <v>25385.439202199799</v>
      </c>
      <c r="M72" s="503">
        <f>M66*'Parametre EMU550'!L121/1000</f>
        <v>27709.374785399781</v>
      </c>
      <c r="N72" s="503">
        <f>N66*'Parametre EMU550'!M121/1000</f>
        <v>30033.310368599767</v>
      </c>
      <c r="O72" s="503">
        <f>O66*'Parametre EMU550'!N121/1000</f>
        <v>32345.389137599745</v>
      </c>
      <c r="P72" s="503">
        <f>P66*'Parametre EMU550'!O121/1000</f>
        <v>34586.327021399724</v>
      </c>
      <c r="Q72" s="503">
        <f>Q66*'Parametre EMU550'!P121/1000</f>
        <v>36827.264905199714</v>
      </c>
      <c r="R72" s="503">
        <f>R66*'Parametre EMU550'!Q121/1000</f>
        <v>39068.20278899969</v>
      </c>
      <c r="S72" s="503">
        <f>S66*'Parametre EMU550'!R121/1000</f>
        <v>41309.140672799673</v>
      </c>
      <c r="T72" s="503">
        <f>T66*'Parametre EMU550'!S121/1000</f>
        <v>43544.150149499656</v>
      </c>
      <c r="U72" s="503">
        <f>U66*'Parametre EMU550'!T121/1000</f>
        <v>45785.088033299631</v>
      </c>
      <c r="V72" s="503">
        <f>V66*'Parametre EMU550'!U121/1000</f>
        <v>48026.025917099614</v>
      </c>
      <c r="W72" s="503">
        <f>W66*'Parametre EMU550'!V121/1000</f>
        <v>50266.963800899604</v>
      </c>
      <c r="X72" s="503">
        <f>X66*'Parametre EMU550'!W121/1000</f>
        <v>52507.901684699587</v>
      </c>
      <c r="Y72" s="503">
        <f>Y66*'Parametre EMU550'!X121/1000</f>
        <v>54742.911161399563</v>
      </c>
      <c r="Z72" s="503">
        <f>Z66*'Parametre EMU550'!Y121/1000</f>
        <v>57066.846744599548</v>
      </c>
      <c r="AA72" s="503">
        <f>AA66*'Parametre EMU550'!Z121/1000</f>
        <v>59390.782327799527</v>
      </c>
      <c r="AB72" s="503">
        <f>AB66*'Parametre EMU550'!AA121/1000</f>
        <v>61714.717910999512</v>
      </c>
      <c r="AC72" s="503">
        <f>AC66*'Parametre EMU550'!AB121/1000</f>
        <v>64038.653494199491</v>
      </c>
      <c r="AD72" s="503">
        <f>AD66*'Parametre EMU550'!AC121/1000</f>
        <v>66350.732263199476</v>
      </c>
      <c r="AE72" s="503">
        <f>AE66*'Parametre EMU550'!AD121/1000</f>
        <v>67038.427486799468</v>
      </c>
      <c r="AF72" s="503">
        <f>AF66*'Parametre EMU550'!AE121/1000</f>
        <v>67684.623860699459</v>
      </c>
      <c r="AG72" s="503">
        <f>AG66*'Parametre EMU550'!AF121/1000</f>
        <v>68336.748641699465</v>
      </c>
      <c r="AH72" s="503">
        <f>AH66*'Parametre EMU550'!AG121/1000</f>
        <v>68994.801829799457</v>
      </c>
      <c r="AI72" s="503">
        <f>AI66*'Parametre EMU550'!AH121/1000</f>
        <v>69658.783424999448</v>
      </c>
      <c r="AJ72" s="503">
        <f>AJ66*'Parametre EMU550'!AI121/1000</f>
        <v>70328.69342729944</v>
      </c>
      <c r="AK72" s="503">
        <f>AK66*'Parametre EMU550'!AJ121/1000</f>
        <v>71004.531836699447</v>
      </c>
      <c r="AL72" s="503">
        <f>AL66*'Parametre EMU550'!AK121/1000</f>
        <v>71686.298653199439</v>
      </c>
      <c r="AM72" s="503">
        <f>AM66*'Parametre EMU550'!AL121/1000</f>
        <v>72373.993876799417</v>
      </c>
      <c r="AN72" s="503">
        <f>AN66*'Parametre EMU550'!AM121/1000</f>
        <v>73067.617507499424</v>
      </c>
      <c r="AO72" s="503">
        <f>AO66*'Parametre EMU550'!AN121/1000</f>
        <v>73767.169545299417</v>
      </c>
      <c r="AP72" s="503">
        <f>AP66*'Parametre EMU550'!AO121/1000</f>
        <v>74531.934061199412</v>
      </c>
      <c r="AQ72" s="503">
        <f>AQ66*'Parametre EMU550'!AP121/1000</f>
        <v>75308.555391299393</v>
      </c>
    </row>
    <row r="76" spans="2:43" x14ac:dyDescent="0.2">
      <c r="D76" s="505"/>
    </row>
  </sheetData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93AF-2DEC-4A75-A70C-AE065CD9953F}">
  <sheetPr>
    <tabColor theme="7" tint="0.59999389629810485"/>
  </sheetPr>
  <dimension ref="B3:AQ32"/>
  <sheetViews>
    <sheetView showWhiteSpace="0" zoomScaleNormal="100" workbookViewId="0"/>
  </sheetViews>
  <sheetFormatPr defaultColWidth="9.140625" defaultRowHeight="11.25" x14ac:dyDescent="0.2"/>
  <cols>
    <col min="1" max="1" width="2.85546875" style="231" customWidth="1"/>
    <col min="2" max="2" width="66.5703125" style="231" bestFit="1" customWidth="1"/>
    <col min="3" max="3" width="11.42578125" style="231" bestFit="1" customWidth="1"/>
    <col min="4" max="43" width="9.140625" style="231" bestFit="1" customWidth="1"/>
    <col min="44" max="16384" width="9.140625" style="231"/>
  </cols>
  <sheetData>
    <row r="3" spans="2:43" x14ac:dyDescent="0.2">
      <c r="B3" s="360" t="s">
        <v>639</v>
      </c>
      <c r="C3" s="402"/>
      <c r="D3" s="256" t="s">
        <v>10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</row>
    <row r="4" spans="2:43" x14ac:dyDescent="0.2">
      <c r="B4" s="360"/>
      <c r="C4" s="403"/>
      <c r="D4" s="256">
        <v>1</v>
      </c>
      <c r="E4" s="256">
        <v>2</v>
      </c>
      <c r="F4" s="256">
        <v>3</v>
      </c>
      <c r="G4" s="256">
        <v>4</v>
      </c>
      <c r="H4" s="256">
        <v>5</v>
      </c>
      <c r="I4" s="256">
        <v>6</v>
      </c>
      <c r="J4" s="256">
        <v>7</v>
      </c>
      <c r="K4" s="256">
        <v>8</v>
      </c>
      <c r="L4" s="256">
        <v>9</v>
      </c>
      <c r="M4" s="256">
        <v>10</v>
      </c>
      <c r="N4" s="256">
        <v>11</v>
      </c>
      <c r="O4" s="256">
        <v>12</v>
      </c>
      <c r="P4" s="256">
        <v>13</v>
      </c>
      <c r="Q4" s="256">
        <v>14</v>
      </c>
      <c r="R4" s="256">
        <v>15</v>
      </c>
      <c r="S4" s="256">
        <v>16</v>
      </c>
      <c r="T4" s="256">
        <v>17</v>
      </c>
      <c r="U4" s="256">
        <v>18</v>
      </c>
      <c r="V4" s="256">
        <v>19</v>
      </c>
      <c r="W4" s="256">
        <v>20</v>
      </c>
      <c r="X4" s="256">
        <v>21</v>
      </c>
      <c r="Y4" s="256">
        <v>22</v>
      </c>
      <c r="Z4" s="256">
        <v>23</v>
      </c>
      <c r="AA4" s="256">
        <v>24</v>
      </c>
      <c r="AB4" s="256">
        <v>25</v>
      </c>
      <c r="AC4" s="256">
        <v>26</v>
      </c>
      <c r="AD4" s="256">
        <v>27</v>
      </c>
      <c r="AE4" s="256">
        <v>28</v>
      </c>
      <c r="AF4" s="256">
        <v>29</v>
      </c>
      <c r="AG4" s="256">
        <v>30</v>
      </c>
      <c r="AH4" s="256">
        <v>31</v>
      </c>
      <c r="AI4" s="256">
        <v>32</v>
      </c>
      <c r="AJ4" s="256">
        <v>33</v>
      </c>
      <c r="AK4" s="256">
        <v>34</v>
      </c>
      <c r="AL4" s="256">
        <v>35</v>
      </c>
      <c r="AM4" s="256">
        <v>36</v>
      </c>
      <c r="AN4" s="256">
        <v>37</v>
      </c>
      <c r="AO4" s="256">
        <v>38</v>
      </c>
      <c r="AP4" s="256">
        <v>39</v>
      </c>
      <c r="AQ4" s="256">
        <v>40</v>
      </c>
    </row>
    <row r="5" spans="2:43" x14ac:dyDescent="0.2">
      <c r="B5" s="259" t="s">
        <v>33</v>
      </c>
      <c r="C5" s="259" t="s">
        <v>9</v>
      </c>
      <c r="D5" s="304">
        <v>2026</v>
      </c>
      <c r="E5" s="304">
        <f>$D$5+D4</f>
        <v>2027</v>
      </c>
      <c r="F5" s="304">
        <f t="shared" ref="F5:AQ5" si="0">$D$5+E4</f>
        <v>2028</v>
      </c>
      <c r="G5" s="304">
        <f t="shared" si="0"/>
        <v>2029</v>
      </c>
      <c r="H5" s="304">
        <f t="shared" si="0"/>
        <v>2030</v>
      </c>
      <c r="I5" s="304">
        <f t="shared" si="0"/>
        <v>2031</v>
      </c>
      <c r="J5" s="304">
        <f t="shared" si="0"/>
        <v>2032</v>
      </c>
      <c r="K5" s="304">
        <f t="shared" si="0"/>
        <v>2033</v>
      </c>
      <c r="L5" s="304">
        <f t="shared" si="0"/>
        <v>2034</v>
      </c>
      <c r="M5" s="304">
        <f t="shared" si="0"/>
        <v>2035</v>
      </c>
      <c r="N5" s="304">
        <f t="shared" si="0"/>
        <v>2036</v>
      </c>
      <c r="O5" s="304">
        <f t="shared" si="0"/>
        <v>2037</v>
      </c>
      <c r="P5" s="304">
        <f t="shared" si="0"/>
        <v>2038</v>
      </c>
      <c r="Q5" s="304">
        <f t="shared" si="0"/>
        <v>2039</v>
      </c>
      <c r="R5" s="304">
        <f t="shared" si="0"/>
        <v>2040</v>
      </c>
      <c r="S5" s="304">
        <f t="shared" si="0"/>
        <v>2041</v>
      </c>
      <c r="T5" s="304">
        <f t="shared" si="0"/>
        <v>2042</v>
      </c>
      <c r="U5" s="304">
        <f t="shared" si="0"/>
        <v>2043</v>
      </c>
      <c r="V5" s="304">
        <f t="shared" si="0"/>
        <v>2044</v>
      </c>
      <c r="W5" s="304">
        <f t="shared" si="0"/>
        <v>2045</v>
      </c>
      <c r="X5" s="304">
        <f t="shared" si="0"/>
        <v>2046</v>
      </c>
      <c r="Y5" s="304">
        <f t="shared" si="0"/>
        <v>2047</v>
      </c>
      <c r="Z5" s="304">
        <f t="shared" si="0"/>
        <v>2048</v>
      </c>
      <c r="AA5" s="304">
        <f t="shared" si="0"/>
        <v>2049</v>
      </c>
      <c r="AB5" s="304">
        <f t="shared" si="0"/>
        <v>2050</v>
      </c>
      <c r="AC5" s="304">
        <f t="shared" si="0"/>
        <v>2051</v>
      </c>
      <c r="AD5" s="304">
        <f t="shared" si="0"/>
        <v>2052</v>
      </c>
      <c r="AE5" s="304">
        <f t="shared" si="0"/>
        <v>2053</v>
      </c>
      <c r="AF5" s="304">
        <f t="shared" si="0"/>
        <v>2054</v>
      </c>
      <c r="AG5" s="304">
        <f t="shared" si="0"/>
        <v>2055</v>
      </c>
      <c r="AH5" s="304">
        <f t="shared" si="0"/>
        <v>2056</v>
      </c>
      <c r="AI5" s="304">
        <f t="shared" si="0"/>
        <v>2057</v>
      </c>
      <c r="AJ5" s="304">
        <f t="shared" si="0"/>
        <v>2058</v>
      </c>
      <c r="AK5" s="304">
        <f t="shared" si="0"/>
        <v>2059</v>
      </c>
      <c r="AL5" s="304">
        <f t="shared" si="0"/>
        <v>2060</v>
      </c>
      <c r="AM5" s="304">
        <f t="shared" si="0"/>
        <v>2061</v>
      </c>
      <c r="AN5" s="304">
        <f t="shared" si="0"/>
        <v>2062</v>
      </c>
      <c r="AO5" s="304">
        <f t="shared" si="0"/>
        <v>2063</v>
      </c>
      <c r="AP5" s="304">
        <f t="shared" si="0"/>
        <v>2064</v>
      </c>
      <c r="AQ5" s="304">
        <f t="shared" si="0"/>
        <v>2065</v>
      </c>
    </row>
    <row r="6" spans="2:43" x14ac:dyDescent="0.2">
      <c r="B6" s="362" t="s">
        <v>685</v>
      </c>
      <c r="C6" s="363">
        <f>SUM(D6:AQ6)</f>
        <v>1337612891.999999</v>
      </c>
      <c r="D6" s="235">
        <f>Vstupy!$C$16*Vstupy!$B$23</f>
        <v>33440322.299999997</v>
      </c>
      <c r="E6" s="235">
        <f>Vstupy!$C$16*Vstupy!$B$23</f>
        <v>33440322.299999997</v>
      </c>
      <c r="F6" s="235">
        <f>Vstupy!$C$16*Vstupy!$B$23</f>
        <v>33440322.299999997</v>
      </c>
      <c r="G6" s="235">
        <f>Vstupy!$C$16*Vstupy!$B$23</f>
        <v>33440322.299999997</v>
      </c>
      <c r="H6" s="235">
        <f>Vstupy!$C$16*Vstupy!$B$23</f>
        <v>33440322.299999997</v>
      </c>
      <c r="I6" s="235">
        <f>Vstupy!$C$16*Vstupy!$B$23</f>
        <v>33440322.299999997</v>
      </c>
      <c r="J6" s="235">
        <f>Vstupy!$C$16*Vstupy!$B$23</f>
        <v>33440322.299999997</v>
      </c>
      <c r="K6" s="235">
        <f>Vstupy!$C$16*Vstupy!$B$23</f>
        <v>33440322.299999997</v>
      </c>
      <c r="L6" s="235">
        <f>Vstupy!$C$16*Vstupy!$B$23</f>
        <v>33440322.299999997</v>
      </c>
      <c r="M6" s="235">
        <f>Vstupy!$C$16*Vstupy!$B$23</f>
        <v>33440322.299999997</v>
      </c>
      <c r="N6" s="235">
        <f>Vstupy!$C$16*Vstupy!$B$23</f>
        <v>33440322.299999997</v>
      </c>
      <c r="O6" s="235">
        <f>Vstupy!$C$16*Vstupy!$B$23</f>
        <v>33440322.299999997</v>
      </c>
      <c r="P6" s="235">
        <f>Vstupy!$C$16*Vstupy!$B$23</f>
        <v>33440322.299999997</v>
      </c>
      <c r="Q6" s="235">
        <f>Vstupy!$C$16*Vstupy!$B$23</f>
        <v>33440322.299999997</v>
      </c>
      <c r="R6" s="235">
        <f>Vstupy!$C$16*Vstupy!$B$23</f>
        <v>33440322.299999997</v>
      </c>
      <c r="S6" s="235">
        <f>Vstupy!$C$16*Vstupy!$B$23</f>
        <v>33440322.299999997</v>
      </c>
      <c r="T6" s="235">
        <f>Vstupy!$C$16*Vstupy!$B$23</f>
        <v>33440322.299999997</v>
      </c>
      <c r="U6" s="235">
        <f>Vstupy!$C$16*Vstupy!$B$23</f>
        <v>33440322.299999997</v>
      </c>
      <c r="V6" s="235">
        <f>Vstupy!$C$16*Vstupy!$B$23</f>
        <v>33440322.299999997</v>
      </c>
      <c r="W6" s="235">
        <f>Vstupy!$C$16*Vstupy!$B$23</f>
        <v>33440322.299999997</v>
      </c>
      <c r="X6" s="235">
        <f>Vstupy!$C$16*Vstupy!$B$23</f>
        <v>33440322.299999997</v>
      </c>
      <c r="Y6" s="235">
        <f>Vstupy!$C$16*Vstupy!$B$23</f>
        <v>33440322.299999997</v>
      </c>
      <c r="Z6" s="235">
        <f>Vstupy!$C$16*Vstupy!$B$23</f>
        <v>33440322.299999997</v>
      </c>
      <c r="AA6" s="235">
        <f>Vstupy!$C$16*Vstupy!$B$23</f>
        <v>33440322.299999997</v>
      </c>
      <c r="AB6" s="235">
        <f>Vstupy!$C$16*Vstupy!$B$23</f>
        <v>33440322.299999997</v>
      </c>
      <c r="AC6" s="235">
        <f>Vstupy!$C$16*Vstupy!$B$23</f>
        <v>33440322.299999997</v>
      </c>
      <c r="AD6" s="235">
        <f>Vstupy!$C$16*Vstupy!$B$23</f>
        <v>33440322.299999997</v>
      </c>
      <c r="AE6" s="235">
        <f>Vstupy!$C$16*Vstupy!$B$23</f>
        <v>33440322.299999997</v>
      </c>
      <c r="AF6" s="235">
        <f>Vstupy!$C$16*Vstupy!$B$23</f>
        <v>33440322.299999997</v>
      </c>
      <c r="AG6" s="235">
        <f>Vstupy!$C$16*Vstupy!$B$23</f>
        <v>33440322.299999997</v>
      </c>
      <c r="AH6" s="235">
        <f>Vstupy!$C$16*Vstupy!$B$23</f>
        <v>33440322.299999997</v>
      </c>
      <c r="AI6" s="235">
        <f>Vstupy!$C$16*Vstupy!$B$23</f>
        <v>33440322.299999997</v>
      </c>
      <c r="AJ6" s="235">
        <f>Vstupy!$C$16*Vstupy!$B$23</f>
        <v>33440322.299999997</v>
      </c>
      <c r="AK6" s="235">
        <f>Vstupy!$C$16*Vstupy!$B$23</f>
        <v>33440322.299999997</v>
      </c>
      <c r="AL6" s="235">
        <f>Vstupy!$C$16*Vstupy!$B$23</f>
        <v>33440322.299999997</v>
      </c>
      <c r="AM6" s="235">
        <f>Vstupy!$C$16*Vstupy!$B$23</f>
        <v>33440322.299999997</v>
      </c>
      <c r="AN6" s="235">
        <f>Vstupy!$C$16*Vstupy!$B$23</f>
        <v>33440322.299999997</v>
      </c>
      <c r="AO6" s="235">
        <f>Vstupy!$C$16*Vstupy!$B$23</f>
        <v>33440322.299999997</v>
      </c>
      <c r="AP6" s="235">
        <f>Vstupy!$C$16*Vstupy!$B$23</f>
        <v>33440322.299999997</v>
      </c>
      <c r="AQ6" s="235">
        <f>Vstupy!$C$16*Vstupy!$B$23</f>
        <v>33440322.299999997</v>
      </c>
    </row>
    <row r="8" spans="2:43" x14ac:dyDescent="0.2">
      <c r="B8" s="305"/>
      <c r="C8" s="305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</row>
    <row r="9" spans="2:43" x14ac:dyDescent="0.2">
      <c r="B9" s="360" t="s">
        <v>640</v>
      </c>
      <c r="C9" s="402"/>
      <c r="D9" s="256" t="s">
        <v>10</v>
      </c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</row>
    <row r="10" spans="2:43" x14ac:dyDescent="0.2">
      <c r="B10" s="360"/>
      <c r="C10" s="403"/>
      <c r="D10" s="256">
        <v>1</v>
      </c>
      <c r="E10" s="256">
        <v>2</v>
      </c>
      <c r="F10" s="256">
        <v>3</v>
      </c>
      <c r="G10" s="256">
        <v>4</v>
      </c>
      <c r="H10" s="256">
        <v>5</v>
      </c>
      <c r="I10" s="256">
        <v>6</v>
      </c>
      <c r="J10" s="256">
        <v>7</v>
      </c>
      <c r="K10" s="256">
        <v>8</v>
      </c>
      <c r="L10" s="256">
        <v>9</v>
      </c>
      <c r="M10" s="256">
        <v>10</v>
      </c>
      <c r="N10" s="256">
        <v>11</v>
      </c>
      <c r="O10" s="256">
        <v>12</v>
      </c>
      <c r="P10" s="256">
        <v>13</v>
      </c>
      <c r="Q10" s="256">
        <v>14</v>
      </c>
      <c r="R10" s="256">
        <v>15</v>
      </c>
      <c r="S10" s="256">
        <v>16</v>
      </c>
      <c r="T10" s="256">
        <v>17</v>
      </c>
      <c r="U10" s="256">
        <v>18</v>
      </c>
      <c r="V10" s="256">
        <v>19</v>
      </c>
      <c r="W10" s="256">
        <v>20</v>
      </c>
      <c r="X10" s="256">
        <v>21</v>
      </c>
      <c r="Y10" s="256">
        <v>22</v>
      </c>
      <c r="Z10" s="256">
        <v>23</v>
      </c>
      <c r="AA10" s="256">
        <v>24</v>
      </c>
      <c r="AB10" s="256">
        <v>25</v>
      </c>
      <c r="AC10" s="256">
        <v>26</v>
      </c>
      <c r="AD10" s="256">
        <v>27</v>
      </c>
      <c r="AE10" s="256">
        <v>28</v>
      </c>
      <c r="AF10" s="256">
        <v>29</v>
      </c>
      <c r="AG10" s="256">
        <v>30</v>
      </c>
      <c r="AH10" s="256">
        <v>31</v>
      </c>
      <c r="AI10" s="256">
        <v>32</v>
      </c>
      <c r="AJ10" s="256">
        <v>33</v>
      </c>
      <c r="AK10" s="256">
        <v>34</v>
      </c>
      <c r="AL10" s="256">
        <v>35</v>
      </c>
      <c r="AM10" s="256">
        <v>36</v>
      </c>
      <c r="AN10" s="256">
        <v>37</v>
      </c>
      <c r="AO10" s="256">
        <v>38</v>
      </c>
      <c r="AP10" s="256">
        <v>39</v>
      </c>
      <c r="AQ10" s="256">
        <v>40</v>
      </c>
    </row>
    <row r="11" spans="2:43" x14ac:dyDescent="0.2">
      <c r="B11" s="259" t="s">
        <v>34</v>
      </c>
      <c r="C11" s="259" t="s">
        <v>9</v>
      </c>
      <c r="D11" s="304">
        <v>2026</v>
      </c>
      <c r="E11" s="304">
        <f>$D$5+D10</f>
        <v>2027</v>
      </c>
      <c r="F11" s="304">
        <f t="shared" ref="F11:AQ11" si="1">$D$5+E10</f>
        <v>2028</v>
      </c>
      <c r="G11" s="304">
        <f t="shared" si="1"/>
        <v>2029</v>
      </c>
      <c r="H11" s="304">
        <f t="shared" si="1"/>
        <v>2030</v>
      </c>
      <c r="I11" s="304">
        <f t="shared" si="1"/>
        <v>2031</v>
      </c>
      <c r="J11" s="304">
        <f t="shared" si="1"/>
        <v>2032</v>
      </c>
      <c r="K11" s="304">
        <f t="shared" si="1"/>
        <v>2033</v>
      </c>
      <c r="L11" s="304">
        <f t="shared" si="1"/>
        <v>2034</v>
      </c>
      <c r="M11" s="304">
        <f t="shared" si="1"/>
        <v>2035</v>
      </c>
      <c r="N11" s="304">
        <f t="shared" si="1"/>
        <v>2036</v>
      </c>
      <c r="O11" s="304">
        <f t="shared" si="1"/>
        <v>2037</v>
      </c>
      <c r="P11" s="304">
        <f t="shared" si="1"/>
        <v>2038</v>
      </c>
      <c r="Q11" s="304">
        <f t="shared" si="1"/>
        <v>2039</v>
      </c>
      <c r="R11" s="304">
        <f t="shared" si="1"/>
        <v>2040</v>
      </c>
      <c r="S11" s="304">
        <f t="shared" si="1"/>
        <v>2041</v>
      </c>
      <c r="T11" s="304">
        <f t="shared" si="1"/>
        <v>2042</v>
      </c>
      <c r="U11" s="304">
        <f t="shared" si="1"/>
        <v>2043</v>
      </c>
      <c r="V11" s="304">
        <f t="shared" si="1"/>
        <v>2044</v>
      </c>
      <c r="W11" s="304">
        <f t="shared" si="1"/>
        <v>2045</v>
      </c>
      <c r="X11" s="304">
        <f t="shared" si="1"/>
        <v>2046</v>
      </c>
      <c r="Y11" s="304">
        <f t="shared" si="1"/>
        <v>2047</v>
      </c>
      <c r="Z11" s="304">
        <f t="shared" si="1"/>
        <v>2048</v>
      </c>
      <c r="AA11" s="304">
        <f t="shared" si="1"/>
        <v>2049</v>
      </c>
      <c r="AB11" s="304">
        <f t="shared" si="1"/>
        <v>2050</v>
      </c>
      <c r="AC11" s="304">
        <f t="shared" si="1"/>
        <v>2051</v>
      </c>
      <c r="AD11" s="304">
        <f t="shared" si="1"/>
        <v>2052</v>
      </c>
      <c r="AE11" s="304">
        <f t="shared" si="1"/>
        <v>2053</v>
      </c>
      <c r="AF11" s="304">
        <f t="shared" si="1"/>
        <v>2054</v>
      </c>
      <c r="AG11" s="304">
        <f t="shared" si="1"/>
        <v>2055</v>
      </c>
      <c r="AH11" s="304">
        <f t="shared" si="1"/>
        <v>2056</v>
      </c>
      <c r="AI11" s="304">
        <f t="shared" si="1"/>
        <v>2057</v>
      </c>
      <c r="AJ11" s="304">
        <f t="shared" si="1"/>
        <v>2058</v>
      </c>
      <c r="AK11" s="304">
        <f t="shared" si="1"/>
        <v>2059</v>
      </c>
      <c r="AL11" s="304">
        <f t="shared" si="1"/>
        <v>2060</v>
      </c>
      <c r="AM11" s="304">
        <f t="shared" si="1"/>
        <v>2061</v>
      </c>
      <c r="AN11" s="304">
        <f t="shared" si="1"/>
        <v>2062</v>
      </c>
      <c r="AO11" s="304">
        <f t="shared" si="1"/>
        <v>2063</v>
      </c>
      <c r="AP11" s="304">
        <f t="shared" si="1"/>
        <v>2064</v>
      </c>
      <c r="AQ11" s="304">
        <f t="shared" si="1"/>
        <v>2065</v>
      </c>
    </row>
    <row r="12" spans="2:43" x14ac:dyDescent="0.2">
      <c r="B12" s="362" t="s">
        <v>685</v>
      </c>
      <c r="C12" s="363">
        <f>SUM(D12:AQ12)</f>
        <v>1327449908.4000008</v>
      </c>
      <c r="D12" s="235">
        <f>D6</f>
        <v>33440322.299999997</v>
      </c>
      <c r="E12" s="235">
        <f t="shared" ref="E12:G12" si="2">E6</f>
        <v>33440322.299999997</v>
      </c>
      <c r="F12" s="235">
        <f t="shared" si="2"/>
        <v>33440322.299999997</v>
      </c>
      <c r="G12" s="235">
        <f t="shared" si="2"/>
        <v>33440322.299999997</v>
      </c>
      <c r="H12" s="235">
        <f>'Vstupy EMU550'!$D$25*Vstupy!$C$23</f>
        <v>33158017.199999999</v>
      </c>
      <c r="I12" s="235">
        <f>'Vstupy EMU550'!$D$25*Vstupy!$C$23</f>
        <v>33158017.199999999</v>
      </c>
      <c r="J12" s="235">
        <f>'Vstupy EMU550'!$D$25*Vstupy!$C$23</f>
        <v>33158017.199999999</v>
      </c>
      <c r="K12" s="235">
        <f>'Vstupy EMU550'!$D$25*Vstupy!$C$23</f>
        <v>33158017.199999999</v>
      </c>
      <c r="L12" s="235">
        <f>'Vstupy EMU550'!$D$25*Vstupy!$C$23</f>
        <v>33158017.199999999</v>
      </c>
      <c r="M12" s="235">
        <f>'Vstupy EMU550'!$D$25*Vstupy!$C$23</f>
        <v>33158017.199999999</v>
      </c>
      <c r="N12" s="235">
        <f>'Vstupy EMU550'!$D$25*Vstupy!$C$23</f>
        <v>33158017.199999999</v>
      </c>
      <c r="O12" s="235">
        <f>'Vstupy EMU550'!$D$25*Vstupy!$C$23</f>
        <v>33158017.199999999</v>
      </c>
      <c r="P12" s="235">
        <f>'Vstupy EMU550'!$D$25*Vstupy!$C$23</f>
        <v>33158017.199999999</v>
      </c>
      <c r="Q12" s="235">
        <f>'Vstupy EMU550'!$D$25*Vstupy!$C$23</f>
        <v>33158017.199999999</v>
      </c>
      <c r="R12" s="235">
        <f>'Vstupy EMU550'!$D$25*Vstupy!$C$23</f>
        <v>33158017.199999999</v>
      </c>
      <c r="S12" s="235">
        <f>'Vstupy EMU550'!$D$25*Vstupy!$C$23</f>
        <v>33158017.199999999</v>
      </c>
      <c r="T12" s="235">
        <f>'Vstupy EMU550'!$D$25*Vstupy!$C$23</f>
        <v>33158017.199999999</v>
      </c>
      <c r="U12" s="235">
        <f>'Vstupy EMU550'!$D$25*Vstupy!$C$23</f>
        <v>33158017.199999999</v>
      </c>
      <c r="V12" s="235">
        <f>'Vstupy EMU550'!$D$25*Vstupy!$C$23</f>
        <v>33158017.199999999</v>
      </c>
      <c r="W12" s="235">
        <f>'Vstupy EMU550'!$D$25*Vstupy!$C$23</f>
        <v>33158017.199999999</v>
      </c>
      <c r="X12" s="235">
        <f>'Vstupy EMU550'!$D$25*Vstupy!$C$23</f>
        <v>33158017.199999999</v>
      </c>
      <c r="Y12" s="235">
        <f>'Vstupy EMU550'!$D$25*Vstupy!$C$23</f>
        <v>33158017.199999999</v>
      </c>
      <c r="Z12" s="235">
        <f>'Vstupy EMU550'!$D$25*Vstupy!$C$23</f>
        <v>33158017.199999999</v>
      </c>
      <c r="AA12" s="235">
        <f>'Vstupy EMU550'!$D$25*Vstupy!$C$23</f>
        <v>33158017.199999999</v>
      </c>
      <c r="AB12" s="235">
        <f>'Vstupy EMU550'!$D$25*Vstupy!$C$23</f>
        <v>33158017.199999999</v>
      </c>
      <c r="AC12" s="235">
        <f>'Vstupy EMU550'!$D$25*Vstupy!$C$23</f>
        <v>33158017.199999999</v>
      </c>
      <c r="AD12" s="235">
        <f>'Vstupy EMU550'!$D$25*Vstupy!$C$23</f>
        <v>33158017.199999999</v>
      </c>
      <c r="AE12" s="235">
        <f>'Vstupy EMU550'!$D$25*Vstupy!$C$23</f>
        <v>33158017.199999999</v>
      </c>
      <c r="AF12" s="235">
        <f>'Vstupy EMU550'!$D$25*Vstupy!$C$23</f>
        <v>33158017.199999999</v>
      </c>
      <c r="AG12" s="235">
        <f>'Vstupy EMU550'!$D$25*Vstupy!$C$23</f>
        <v>33158017.199999999</v>
      </c>
      <c r="AH12" s="235">
        <f>'Vstupy EMU550'!$D$25*Vstupy!$C$23</f>
        <v>33158017.199999999</v>
      </c>
      <c r="AI12" s="235">
        <f>'Vstupy EMU550'!$D$25*Vstupy!$C$23</f>
        <v>33158017.199999999</v>
      </c>
      <c r="AJ12" s="235">
        <f>'Vstupy EMU550'!$D$25*Vstupy!$C$23</f>
        <v>33158017.199999999</v>
      </c>
      <c r="AK12" s="235">
        <f>'Vstupy EMU550'!$D$25*Vstupy!$C$23</f>
        <v>33158017.199999999</v>
      </c>
      <c r="AL12" s="235">
        <f>'Vstupy EMU550'!$D$25*Vstupy!$C$23</f>
        <v>33158017.199999999</v>
      </c>
      <c r="AM12" s="235">
        <f>'Vstupy EMU550'!$D$25*Vstupy!$C$23</f>
        <v>33158017.199999999</v>
      </c>
      <c r="AN12" s="235">
        <f>'Vstupy EMU550'!$D$25*Vstupy!$C$23</f>
        <v>33158017.199999999</v>
      </c>
      <c r="AO12" s="235">
        <f>'Vstupy EMU550'!$D$25*Vstupy!$C$23</f>
        <v>33158017.199999999</v>
      </c>
      <c r="AP12" s="235">
        <f>'Vstupy EMU550'!$D$25*Vstupy!$C$23</f>
        <v>33158017.199999999</v>
      </c>
      <c r="AQ12" s="235">
        <f>'Vstupy EMU550'!$D$25*Vstupy!$C$23</f>
        <v>33158017.199999999</v>
      </c>
    </row>
    <row r="13" spans="2:43" x14ac:dyDescent="0.2">
      <c r="B13" s="305"/>
      <c r="C13" s="305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</row>
    <row r="14" spans="2:43" x14ac:dyDescent="0.2">
      <c r="B14" s="305"/>
      <c r="C14" s="306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</row>
    <row r="15" spans="2:43" x14ac:dyDescent="0.2">
      <c r="B15" s="407" t="s">
        <v>641</v>
      </c>
      <c r="C15" s="402"/>
      <c r="D15" s="256" t="s">
        <v>10</v>
      </c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</row>
    <row r="16" spans="2:43" x14ac:dyDescent="0.2">
      <c r="B16" s="404" t="s">
        <v>33</v>
      </c>
      <c r="C16" s="407"/>
      <c r="D16" s="256">
        <v>1</v>
      </c>
      <c r="E16" s="256">
        <v>2</v>
      </c>
      <c r="F16" s="256">
        <v>3</v>
      </c>
      <c r="G16" s="256">
        <v>4</v>
      </c>
      <c r="H16" s="256">
        <v>5</v>
      </c>
      <c r="I16" s="256">
        <v>6</v>
      </c>
      <c r="J16" s="256">
        <v>7</v>
      </c>
      <c r="K16" s="256">
        <v>8</v>
      </c>
      <c r="L16" s="256">
        <v>9</v>
      </c>
      <c r="M16" s="256">
        <v>10</v>
      </c>
      <c r="N16" s="256">
        <v>11</v>
      </c>
      <c r="O16" s="256">
        <v>12</v>
      </c>
      <c r="P16" s="256">
        <v>13</v>
      </c>
      <c r="Q16" s="256">
        <v>14</v>
      </c>
      <c r="R16" s="256">
        <v>15</v>
      </c>
      <c r="S16" s="256">
        <v>16</v>
      </c>
      <c r="T16" s="256">
        <v>17</v>
      </c>
      <c r="U16" s="256">
        <v>18</v>
      </c>
      <c r="V16" s="256">
        <v>19</v>
      </c>
      <c r="W16" s="256">
        <v>20</v>
      </c>
      <c r="X16" s="256">
        <v>21</v>
      </c>
      <c r="Y16" s="256">
        <v>22</v>
      </c>
      <c r="Z16" s="256">
        <v>23</v>
      </c>
      <c r="AA16" s="256">
        <v>24</v>
      </c>
      <c r="AB16" s="256">
        <v>25</v>
      </c>
      <c r="AC16" s="256">
        <v>26</v>
      </c>
      <c r="AD16" s="256">
        <v>27</v>
      </c>
      <c r="AE16" s="256">
        <v>28</v>
      </c>
      <c r="AF16" s="256">
        <v>29</v>
      </c>
      <c r="AG16" s="256">
        <v>30</v>
      </c>
      <c r="AH16" s="256">
        <v>31</v>
      </c>
      <c r="AI16" s="256">
        <v>32</v>
      </c>
      <c r="AJ16" s="256">
        <v>33</v>
      </c>
      <c r="AK16" s="256">
        <v>34</v>
      </c>
      <c r="AL16" s="256">
        <v>35</v>
      </c>
      <c r="AM16" s="256">
        <v>36</v>
      </c>
      <c r="AN16" s="256">
        <v>37</v>
      </c>
      <c r="AO16" s="256">
        <v>38</v>
      </c>
      <c r="AP16" s="256">
        <v>39</v>
      </c>
      <c r="AQ16" s="256">
        <v>40</v>
      </c>
    </row>
    <row r="17" spans="2:43" x14ac:dyDescent="0.2">
      <c r="B17" s="405" t="s">
        <v>150</v>
      </c>
      <c r="C17" s="259" t="s">
        <v>9</v>
      </c>
      <c r="D17" s="304">
        <v>2026</v>
      </c>
      <c r="E17" s="304">
        <f>$D$5+D16</f>
        <v>2027</v>
      </c>
      <c r="F17" s="304">
        <f t="shared" ref="F17:AQ17" si="3">$D$5+E16</f>
        <v>2028</v>
      </c>
      <c r="G17" s="304">
        <f t="shared" si="3"/>
        <v>2029</v>
      </c>
      <c r="H17" s="304">
        <f t="shared" si="3"/>
        <v>2030</v>
      </c>
      <c r="I17" s="304">
        <f t="shared" si="3"/>
        <v>2031</v>
      </c>
      <c r="J17" s="304">
        <f t="shared" si="3"/>
        <v>2032</v>
      </c>
      <c r="K17" s="304">
        <f t="shared" si="3"/>
        <v>2033</v>
      </c>
      <c r="L17" s="304">
        <f t="shared" si="3"/>
        <v>2034</v>
      </c>
      <c r="M17" s="304">
        <f t="shared" si="3"/>
        <v>2035</v>
      </c>
      <c r="N17" s="304">
        <f t="shared" si="3"/>
        <v>2036</v>
      </c>
      <c r="O17" s="304">
        <f t="shared" si="3"/>
        <v>2037</v>
      </c>
      <c r="P17" s="304">
        <f t="shared" si="3"/>
        <v>2038</v>
      </c>
      <c r="Q17" s="304">
        <f t="shared" si="3"/>
        <v>2039</v>
      </c>
      <c r="R17" s="304">
        <f t="shared" si="3"/>
        <v>2040</v>
      </c>
      <c r="S17" s="304">
        <f t="shared" si="3"/>
        <v>2041</v>
      </c>
      <c r="T17" s="304">
        <f t="shared" si="3"/>
        <v>2042</v>
      </c>
      <c r="U17" s="304">
        <f t="shared" si="3"/>
        <v>2043</v>
      </c>
      <c r="V17" s="304">
        <f t="shared" si="3"/>
        <v>2044</v>
      </c>
      <c r="W17" s="304">
        <f t="shared" si="3"/>
        <v>2045</v>
      </c>
      <c r="X17" s="304">
        <f t="shared" si="3"/>
        <v>2046</v>
      </c>
      <c r="Y17" s="304">
        <f t="shared" si="3"/>
        <v>2047</v>
      </c>
      <c r="Z17" s="304">
        <f t="shared" si="3"/>
        <v>2048</v>
      </c>
      <c r="AA17" s="304">
        <f t="shared" si="3"/>
        <v>2049</v>
      </c>
      <c r="AB17" s="304">
        <f t="shared" si="3"/>
        <v>2050</v>
      </c>
      <c r="AC17" s="304">
        <f t="shared" si="3"/>
        <v>2051</v>
      </c>
      <c r="AD17" s="304">
        <f t="shared" si="3"/>
        <v>2052</v>
      </c>
      <c r="AE17" s="304">
        <f t="shared" si="3"/>
        <v>2053</v>
      </c>
      <c r="AF17" s="304">
        <f t="shared" si="3"/>
        <v>2054</v>
      </c>
      <c r="AG17" s="304">
        <f t="shared" si="3"/>
        <v>2055</v>
      </c>
      <c r="AH17" s="304">
        <f t="shared" si="3"/>
        <v>2056</v>
      </c>
      <c r="AI17" s="304">
        <f t="shared" si="3"/>
        <v>2057</v>
      </c>
      <c r="AJ17" s="304">
        <f t="shared" si="3"/>
        <v>2058</v>
      </c>
      <c r="AK17" s="304">
        <f t="shared" si="3"/>
        <v>2059</v>
      </c>
      <c r="AL17" s="304">
        <f t="shared" si="3"/>
        <v>2060</v>
      </c>
      <c r="AM17" s="304">
        <f t="shared" si="3"/>
        <v>2061</v>
      </c>
      <c r="AN17" s="304">
        <f t="shared" si="3"/>
        <v>2062</v>
      </c>
      <c r="AO17" s="304">
        <f t="shared" si="3"/>
        <v>2063</v>
      </c>
      <c r="AP17" s="304">
        <f t="shared" si="3"/>
        <v>2064</v>
      </c>
      <c r="AQ17" s="304">
        <f t="shared" si="3"/>
        <v>2065</v>
      </c>
    </row>
    <row r="18" spans="2:43" x14ac:dyDescent="0.2">
      <c r="B18" s="362" t="s">
        <v>685</v>
      </c>
      <c r="C18" s="363">
        <f>SUM(D18:AN18)</f>
        <v>0</v>
      </c>
      <c r="D18" s="235">
        <f>'11a_A Znečisť. l.(voz.)NOV200'!D6*Parametre!$C$107/1000</f>
        <v>0</v>
      </c>
      <c r="E18" s="235">
        <f>'11a_A Znečisť. l.(voz.)NOV200'!E6*Parametre!$C$107/1000</f>
        <v>0</v>
      </c>
      <c r="F18" s="235">
        <f>'11a_A Znečisť. l.(voz.)NOV200'!F6*Parametre!$C$107/1000</f>
        <v>0</v>
      </c>
      <c r="G18" s="235">
        <f>'11a_A Znečisť. l.(voz.)NOV200'!G6*Parametre!$C$107/1000</f>
        <v>0</v>
      </c>
      <c r="H18" s="235">
        <f>'11a_A Znečisť. l.(voz.)NOV200'!H6*Parametre!$C$107/1000</f>
        <v>0</v>
      </c>
      <c r="I18" s="235">
        <f>'11a_A Znečisť. l.(voz.)NOV200'!I6*Parametre!$C$107/1000</f>
        <v>0</v>
      </c>
      <c r="J18" s="235">
        <f>'11a_A Znečisť. l.(voz.)NOV200'!J6*Parametre!$C$107/1000</f>
        <v>0</v>
      </c>
      <c r="K18" s="235">
        <f>'11a_A Znečisť. l.(voz.)NOV200'!K6*Parametre!$C$107/1000</f>
        <v>0</v>
      </c>
      <c r="L18" s="235">
        <f>'11a_A Znečisť. l.(voz.)NOV200'!L6*Parametre!$C$107/1000</f>
        <v>0</v>
      </c>
      <c r="M18" s="235">
        <f>'11a_A Znečisť. l.(voz.)NOV200'!M6*Parametre!$C$107/1000</f>
        <v>0</v>
      </c>
      <c r="N18" s="235">
        <f>'11a_A Znečisť. l.(voz.)NOV200'!N6*Parametre!$C$107/1000</f>
        <v>0</v>
      </c>
      <c r="O18" s="235">
        <f>'11a_A Znečisť. l.(voz.)NOV200'!O6*Parametre!$C$107/1000</f>
        <v>0</v>
      </c>
      <c r="P18" s="235">
        <f>'11a_A Znečisť. l.(voz.)NOV200'!P6*Parametre!$C$107/1000</f>
        <v>0</v>
      </c>
      <c r="Q18" s="235">
        <f>'11a_A Znečisť. l.(voz.)NOV200'!Q6*Parametre!$C$107/1000</f>
        <v>0</v>
      </c>
      <c r="R18" s="235">
        <f>'11a_A Znečisť. l.(voz.)NOV200'!R6*Parametre!$C$107/1000</f>
        <v>0</v>
      </c>
      <c r="S18" s="235">
        <f>'11a_A Znečisť. l.(voz.)NOV200'!S6*Parametre!$C$107/1000</f>
        <v>0</v>
      </c>
      <c r="T18" s="235">
        <f>'11a_A Znečisť. l.(voz.)NOV200'!T6*Parametre!$C$107/1000</f>
        <v>0</v>
      </c>
      <c r="U18" s="235">
        <f>'11a_A Znečisť. l.(voz.)NOV200'!U6*Parametre!$C$107/1000</f>
        <v>0</v>
      </c>
      <c r="V18" s="235">
        <f>'11a_A Znečisť. l.(voz.)NOV200'!V6*Parametre!$C$107/1000</f>
        <v>0</v>
      </c>
      <c r="W18" s="235">
        <f>'11a_A Znečisť. l.(voz.)NOV200'!W6*Parametre!$C$107/1000</f>
        <v>0</v>
      </c>
      <c r="X18" s="235">
        <f>'11a_A Znečisť. l.(voz.)NOV200'!X6*Parametre!$C$107/1000</f>
        <v>0</v>
      </c>
      <c r="Y18" s="235">
        <f>'11a_A Znečisť. l.(voz.)NOV200'!Y6*Parametre!$C$107/1000</f>
        <v>0</v>
      </c>
      <c r="Z18" s="235">
        <f>'11a_A Znečisť. l.(voz.)NOV200'!Z6*Parametre!$C$107/1000</f>
        <v>0</v>
      </c>
      <c r="AA18" s="235">
        <f>'11a_A Znečisť. l.(voz.)NOV200'!AA6*Parametre!$C$107/1000</f>
        <v>0</v>
      </c>
      <c r="AB18" s="235">
        <f>'11a_A Znečisť. l.(voz.)NOV200'!AB6*Parametre!$C$107/1000</f>
        <v>0</v>
      </c>
      <c r="AC18" s="235">
        <f>'11a_A Znečisť. l.(voz.)NOV200'!AC6*Parametre!$C$107/1000</f>
        <v>0</v>
      </c>
      <c r="AD18" s="235">
        <f>'11a_A Znečisť. l.(voz.)NOV200'!AD6*Parametre!$C$107/1000</f>
        <v>0</v>
      </c>
      <c r="AE18" s="235">
        <f>'11a_A Znečisť. l.(voz.)NOV200'!AE6*Parametre!$C$107/1000</f>
        <v>0</v>
      </c>
      <c r="AF18" s="235">
        <f>'11a_A Znečisť. l.(voz.)NOV200'!AF6*Parametre!$C$107/1000</f>
        <v>0</v>
      </c>
      <c r="AG18" s="235">
        <f>'11a_A Znečisť. l.(voz.)NOV200'!AG6*Parametre!$C$107/1000</f>
        <v>0</v>
      </c>
      <c r="AH18" s="235">
        <f>'11a_A Znečisť. l.(voz.)NOV200'!AH6*Parametre!$C$107/1000</f>
        <v>0</v>
      </c>
      <c r="AI18" s="235">
        <f>'11a_A Znečisť. l.(voz.)NOV200'!AI6*Parametre!$C$107/1000</f>
        <v>0</v>
      </c>
      <c r="AJ18" s="235">
        <f>'11a_A Znečisť. l.(voz.)NOV200'!AJ6*Parametre!$C$107/1000</f>
        <v>0</v>
      </c>
      <c r="AK18" s="235">
        <f>'11a_A Znečisť. l.(voz.)NOV200'!AK6*Parametre!$C$107/1000</f>
        <v>0</v>
      </c>
      <c r="AL18" s="235">
        <f>'11a_A Znečisť. l.(voz.)NOV200'!AL6*Parametre!$C$107/1000</f>
        <v>0</v>
      </c>
      <c r="AM18" s="235">
        <f>'11a_A Znečisť. l.(voz.)NOV200'!AM6*Parametre!$C$107/1000</f>
        <v>0</v>
      </c>
      <c r="AN18" s="235">
        <f>'11a_A Znečisť. l.(voz.)NOV200'!AN6*Parametre!$C$107/1000</f>
        <v>0</v>
      </c>
      <c r="AO18" s="235">
        <f>'11a_A Znečisť. l.(voz.)NOV200'!AO6*Parametre!$C$107/1000</f>
        <v>0</v>
      </c>
      <c r="AP18" s="235">
        <f>'11a_A Znečisť. l.(voz.)NOV200'!AP6*Parametre!$C$107/1000</f>
        <v>0</v>
      </c>
      <c r="AQ18" s="235">
        <f>'11a_A Znečisť. l.(voz.)NOV200'!AQ6*Parametre!$C$107/1000</f>
        <v>0</v>
      </c>
    </row>
    <row r="19" spans="2:43" x14ac:dyDescent="0.2">
      <c r="B19" s="405" t="s">
        <v>151</v>
      </c>
      <c r="C19" s="259" t="s">
        <v>9</v>
      </c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</row>
    <row r="20" spans="2:43" x14ac:dyDescent="0.2">
      <c r="B20" s="362" t="s">
        <v>685</v>
      </c>
      <c r="C20" s="363">
        <f>SUM(D20:AN20)</f>
        <v>0</v>
      </c>
      <c r="D20" s="235">
        <f>'11a_A Znečisť. l.(voz.)NOV200'!D6*Parametre!$D$107/1000</f>
        <v>0</v>
      </c>
      <c r="E20" s="235">
        <f>'11a_A Znečisť. l.(voz.)NOV200'!E6*Parametre!$D$107/1000</f>
        <v>0</v>
      </c>
      <c r="F20" s="235">
        <f>'11a_A Znečisť. l.(voz.)NOV200'!F6*Parametre!$D$107/1000</f>
        <v>0</v>
      </c>
      <c r="G20" s="235">
        <f>'11a_A Znečisť. l.(voz.)NOV200'!G6*Parametre!$D$107/1000</f>
        <v>0</v>
      </c>
      <c r="H20" s="235">
        <f>'11a_A Znečisť. l.(voz.)NOV200'!H6*Parametre!$D$107/1000</f>
        <v>0</v>
      </c>
      <c r="I20" s="235">
        <f>'11a_A Znečisť. l.(voz.)NOV200'!I6*Parametre!$D$107/1000</f>
        <v>0</v>
      </c>
      <c r="J20" s="235">
        <f>'11a_A Znečisť. l.(voz.)NOV200'!J6*Parametre!$D$107/1000</f>
        <v>0</v>
      </c>
      <c r="K20" s="235">
        <f>'11a_A Znečisť. l.(voz.)NOV200'!K6*Parametre!$D$107/1000</f>
        <v>0</v>
      </c>
      <c r="L20" s="235">
        <f>'11a_A Znečisť. l.(voz.)NOV200'!L6*Parametre!$D$107/1000</f>
        <v>0</v>
      </c>
      <c r="M20" s="235">
        <f>'11a_A Znečisť. l.(voz.)NOV200'!M6*Parametre!$D$107/1000</f>
        <v>0</v>
      </c>
      <c r="N20" s="235">
        <f>'11a_A Znečisť. l.(voz.)NOV200'!N6*Parametre!$D$107/1000</f>
        <v>0</v>
      </c>
      <c r="O20" s="235">
        <f>'11a_A Znečisť. l.(voz.)NOV200'!O6*Parametre!$D$107/1000</f>
        <v>0</v>
      </c>
      <c r="P20" s="235">
        <f>'11a_A Znečisť. l.(voz.)NOV200'!P6*Parametre!$D$107/1000</f>
        <v>0</v>
      </c>
      <c r="Q20" s="235">
        <f>'11a_A Znečisť. l.(voz.)NOV200'!Q6*Parametre!$D$107/1000</f>
        <v>0</v>
      </c>
      <c r="R20" s="235">
        <f>'11a_A Znečisť. l.(voz.)NOV200'!R6*Parametre!$D$107/1000</f>
        <v>0</v>
      </c>
      <c r="S20" s="235">
        <f>'11a_A Znečisť. l.(voz.)NOV200'!S6*Parametre!$D$107/1000</f>
        <v>0</v>
      </c>
      <c r="T20" s="235">
        <f>'11a_A Znečisť. l.(voz.)NOV200'!T6*Parametre!$D$107/1000</f>
        <v>0</v>
      </c>
      <c r="U20" s="235">
        <f>'11a_A Znečisť. l.(voz.)NOV200'!U6*Parametre!$D$107/1000</f>
        <v>0</v>
      </c>
      <c r="V20" s="235">
        <f>'11a_A Znečisť. l.(voz.)NOV200'!V6*Parametre!$D$107/1000</f>
        <v>0</v>
      </c>
      <c r="W20" s="235">
        <f>'11a_A Znečisť. l.(voz.)NOV200'!W6*Parametre!$D$107/1000</f>
        <v>0</v>
      </c>
      <c r="X20" s="235">
        <f>'11a_A Znečisť. l.(voz.)NOV200'!X6*Parametre!$D$107/1000</f>
        <v>0</v>
      </c>
      <c r="Y20" s="235">
        <f>'11a_A Znečisť. l.(voz.)NOV200'!Y6*Parametre!$D$107/1000</f>
        <v>0</v>
      </c>
      <c r="Z20" s="235">
        <f>'11a_A Znečisť. l.(voz.)NOV200'!Z6*Parametre!$D$107/1000</f>
        <v>0</v>
      </c>
      <c r="AA20" s="235">
        <f>'11a_A Znečisť. l.(voz.)NOV200'!AA6*Parametre!$D$107/1000</f>
        <v>0</v>
      </c>
      <c r="AB20" s="235">
        <f>'11a_A Znečisť. l.(voz.)NOV200'!AB6*Parametre!$D$107/1000</f>
        <v>0</v>
      </c>
      <c r="AC20" s="235">
        <f>'11a_A Znečisť. l.(voz.)NOV200'!AC6*Parametre!$D$107/1000</f>
        <v>0</v>
      </c>
      <c r="AD20" s="235">
        <f>'11a_A Znečisť. l.(voz.)NOV200'!AD6*Parametre!$D$107/1000</f>
        <v>0</v>
      </c>
      <c r="AE20" s="235">
        <f>'11a_A Znečisť. l.(voz.)NOV200'!AE6*Parametre!$D$107/1000</f>
        <v>0</v>
      </c>
      <c r="AF20" s="235">
        <f>'11a_A Znečisť. l.(voz.)NOV200'!AF6*Parametre!$D$107/1000</f>
        <v>0</v>
      </c>
      <c r="AG20" s="235">
        <f>'11a_A Znečisť. l.(voz.)NOV200'!AG6*Parametre!$D$107/1000</f>
        <v>0</v>
      </c>
      <c r="AH20" s="235">
        <f>'11a_A Znečisť. l.(voz.)NOV200'!AH6*Parametre!$D$107/1000</f>
        <v>0</v>
      </c>
      <c r="AI20" s="235">
        <f>'11a_A Znečisť. l.(voz.)NOV200'!AI6*Parametre!$D$107/1000</f>
        <v>0</v>
      </c>
      <c r="AJ20" s="235">
        <f>'11a_A Znečisť. l.(voz.)NOV200'!AJ6*Parametre!$D$107/1000</f>
        <v>0</v>
      </c>
      <c r="AK20" s="235">
        <f>'11a_A Znečisť. l.(voz.)NOV200'!AK6*Parametre!$D$107/1000</f>
        <v>0</v>
      </c>
      <c r="AL20" s="235">
        <f>'11a_A Znečisť. l.(voz.)NOV200'!AL6*Parametre!$D$107/1000</f>
        <v>0</v>
      </c>
      <c r="AM20" s="235">
        <f>'11a_A Znečisť. l.(voz.)NOV200'!AM6*Parametre!$D$107/1000</f>
        <v>0</v>
      </c>
      <c r="AN20" s="235">
        <f>'11a_A Znečisť. l.(voz.)NOV200'!AN6*Parametre!$D$107/1000</f>
        <v>0</v>
      </c>
      <c r="AO20" s="235">
        <f>'11a_A Znečisť. l.(voz.)NOV200'!AO6*Parametre!$D$107/1000</f>
        <v>0</v>
      </c>
      <c r="AP20" s="235">
        <f>'11a_A Znečisť. l.(voz.)NOV200'!AP6*Parametre!$D$107/1000</f>
        <v>0</v>
      </c>
      <c r="AQ20" s="235">
        <f>'11a_A Znečisť. l.(voz.)NOV200'!AQ6*Parametre!$D$107/1000</f>
        <v>0</v>
      </c>
    </row>
    <row r="21" spans="2:43" x14ac:dyDescent="0.2">
      <c r="B21" s="405" t="s">
        <v>253</v>
      </c>
      <c r="C21" s="259" t="s">
        <v>9</v>
      </c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</row>
    <row r="22" spans="2:43" x14ac:dyDescent="0.2">
      <c r="B22" s="362" t="s">
        <v>685</v>
      </c>
      <c r="C22" s="363">
        <f>SUM(D22:AN22)</f>
        <v>0</v>
      </c>
      <c r="D22" s="235">
        <f>'11a_A Znečisť. l.(voz.)NOV200'!D6*Parametre!$E$107/1000</f>
        <v>0</v>
      </c>
      <c r="E22" s="235">
        <f>'11a_A Znečisť. l.(voz.)NOV200'!E6*Parametre!$E$107/1000</f>
        <v>0</v>
      </c>
      <c r="F22" s="235">
        <f>'11a_A Znečisť. l.(voz.)NOV200'!F6*Parametre!$E$107/1000</f>
        <v>0</v>
      </c>
      <c r="G22" s="235">
        <f>'11a_A Znečisť. l.(voz.)NOV200'!G6*Parametre!$E$107/1000</f>
        <v>0</v>
      </c>
      <c r="H22" s="235">
        <f>'11a_A Znečisť. l.(voz.)NOV200'!H6*Parametre!$E$107/1000</f>
        <v>0</v>
      </c>
      <c r="I22" s="235">
        <f>'11a_A Znečisť. l.(voz.)NOV200'!I6*Parametre!$E$107/1000</f>
        <v>0</v>
      </c>
      <c r="J22" s="235">
        <f>'11a_A Znečisť. l.(voz.)NOV200'!J6*Parametre!$E$107/1000</f>
        <v>0</v>
      </c>
      <c r="K22" s="235">
        <f>'11a_A Znečisť. l.(voz.)NOV200'!K6*Parametre!$E$107/1000</f>
        <v>0</v>
      </c>
      <c r="L22" s="235">
        <f>'11a_A Znečisť. l.(voz.)NOV200'!L6*Parametre!$E$107/1000</f>
        <v>0</v>
      </c>
      <c r="M22" s="235">
        <f>'11a_A Znečisť. l.(voz.)NOV200'!M6*Parametre!$E$107/1000</f>
        <v>0</v>
      </c>
      <c r="N22" s="235">
        <f>'11a_A Znečisť. l.(voz.)NOV200'!N6*Parametre!$E$107/1000</f>
        <v>0</v>
      </c>
      <c r="O22" s="235">
        <f>'11a_A Znečisť. l.(voz.)NOV200'!O6*Parametre!$E$107/1000</f>
        <v>0</v>
      </c>
      <c r="P22" s="235">
        <f>'11a_A Znečisť. l.(voz.)NOV200'!P6*Parametre!$E$107/1000</f>
        <v>0</v>
      </c>
      <c r="Q22" s="235">
        <f>'11a_A Znečisť. l.(voz.)NOV200'!Q6*Parametre!$E$107/1000</f>
        <v>0</v>
      </c>
      <c r="R22" s="235">
        <f>'11a_A Znečisť. l.(voz.)NOV200'!R6*Parametre!$E$107/1000</f>
        <v>0</v>
      </c>
      <c r="S22" s="235">
        <f>'11a_A Znečisť. l.(voz.)NOV200'!S6*Parametre!$E$107/1000</f>
        <v>0</v>
      </c>
      <c r="T22" s="235">
        <f>'11a_A Znečisť. l.(voz.)NOV200'!T6*Parametre!$E$107/1000</f>
        <v>0</v>
      </c>
      <c r="U22" s="235">
        <f>'11a_A Znečisť. l.(voz.)NOV200'!U6*Parametre!$E$107/1000</f>
        <v>0</v>
      </c>
      <c r="V22" s="235">
        <f>'11a_A Znečisť. l.(voz.)NOV200'!V6*Parametre!$E$107/1000</f>
        <v>0</v>
      </c>
      <c r="W22" s="235">
        <f>'11a_A Znečisť. l.(voz.)NOV200'!W6*Parametre!$E$107/1000</f>
        <v>0</v>
      </c>
      <c r="X22" s="235">
        <f>'11a_A Znečisť. l.(voz.)NOV200'!X6*Parametre!$E$107/1000</f>
        <v>0</v>
      </c>
      <c r="Y22" s="235">
        <f>'11a_A Znečisť. l.(voz.)NOV200'!Y6*Parametre!$E$107/1000</f>
        <v>0</v>
      </c>
      <c r="Z22" s="235">
        <f>'11a_A Znečisť. l.(voz.)NOV200'!Z6*Parametre!$E$107/1000</f>
        <v>0</v>
      </c>
      <c r="AA22" s="235">
        <f>'11a_A Znečisť. l.(voz.)NOV200'!AA6*Parametre!$E$107/1000</f>
        <v>0</v>
      </c>
      <c r="AB22" s="235">
        <f>'11a_A Znečisť. l.(voz.)NOV200'!AB6*Parametre!$E$107/1000</f>
        <v>0</v>
      </c>
      <c r="AC22" s="235">
        <f>'11a_A Znečisť. l.(voz.)NOV200'!AC6*Parametre!$E$107/1000</f>
        <v>0</v>
      </c>
      <c r="AD22" s="235">
        <f>'11a_A Znečisť. l.(voz.)NOV200'!AD6*Parametre!$E$107/1000</f>
        <v>0</v>
      </c>
      <c r="AE22" s="235">
        <f>'11a_A Znečisť. l.(voz.)NOV200'!AE6*Parametre!$E$107/1000</f>
        <v>0</v>
      </c>
      <c r="AF22" s="235">
        <f>'11a_A Znečisť. l.(voz.)NOV200'!AF6*Parametre!$E$107/1000</f>
        <v>0</v>
      </c>
      <c r="AG22" s="235">
        <f>'11a_A Znečisť. l.(voz.)NOV200'!AG6*Parametre!$E$107/1000</f>
        <v>0</v>
      </c>
      <c r="AH22" s="235">
        <f>'11a_A Znečisť. l.(voz.)NOV200'!AH6*Parametre!$E$107/1000</f>
        <v>0</v>
      </c>
      <c r="AI22" s="235">
        <f>'11a_A Znečisť. l.(voz.)NOV200'!AI6*Parametre!$E$107/1000</f>
        <v>0</v>
      </c>
      <c r="AJ22" s="235">
        <f>'11a_A Znečisť. l.(voz.)NOV200'!AJ6*Parametre!$E$107/1000</f>
        <v>0</v>
      </c>
      <c r="AK22" s="235">
        <f>'11a_A Znečisť. l.(voz.)NOV200'!AK6*Parametre!$E$107/1000</f>
        <v>0</v>
      </c>
      <c r="AL22" s="235">
        <f>'11a_A Znečisť. l.(voz.)NOV200'!AL6*Parametre!$E$107/1000</f>
        <v>0</v>
      </c>
      <c r="AM22" s="235">
        <f>'11a_A Znečisť. l.(voz.)NOV200'!AM6*Parametre!$E$107/1000</f>
        <v>0</v>
      </c>
      <c r="AN22" s="235">
        <f>'11a_A Znečisť. l.(voz.)NOV200'!AN6*Parametre!$E$107/1000</f>
        <v>0</v>
      </c>
      <c r="AO22" s="235">
        <f>'11a_A Znečisť. l.(voz.)NOV200'!AO6*Parametre!$E$107/1000</f>
        <v>0</v>
      </c>
      <c r="AP22" s="235">
        <f>'11a_A Znečisť. l.(voz.)NOV200'!AP6*Parametre!$E$107/1000</f>
        <v>0</v>
      </c>
      <c r="AQ22" s="235">
        <f>'11a_A Znečisť. l.(voz.)NOV200'!AQ6*Parametre!$E$107/1000</f>
        <v>0</v>
      </c>
    </row>
    <row r="25" spans="2:43" x14ac:dyDescent="0.2">
      <c r="B25" s="360" t="s">
        <v>642</v>
      </c>
      <c r="C25" s="402"/>
      <c r="D25" s="256" t="s">
        <v>10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</row>
    <row r="26" spans="2:43" x14ac:dyDescent="0.2">
      <c r="B26" s="404" t="s">
        <v>34</v>
      </c>
      <c r="C26" s="403"/>
      <c r="D26" s="256">
        <v>1</v>
      </c>
      <c r="E26" s="256">
        <v>2</v>
      </c>
      <c r="F26" s="256">
        <v>3</v>
      </c>
      <c r="G26" s="256">
        <v>4</v>
      </c>
      <c r="H26" s="256">
        <v>5</v>
      </c>
      <c r="I26" s="256">
        <v>6</v>
      </c>
      <c r="J26" s="256">
        <v>7</v>
      </c>
      <c r="K26" s="256">
        <v>8</v>
      </c>
      <c r="L26" s="256">
        <v>9</v>
      </c>
      <c r="M26" s="256">
        <v>10</v>
      </c>
      <c r="N26" s="256">
        <v>11</v>
      </c>
      <c r="O26" s="256">
        <v>12</v>
      </c>
      <c r="P26" s="256">
        <v>13</v>
      </c>
      <c r="Q26" s="256">
        <v>14</v>
      </c>
      <c r="R26" s="256">
        <v>15</v>
      </c>
      <c r="S26" s="256">
        <v>16</v>
      </c>
      <c r="T26" s="256">
        <v>17</v>
      </c>
      <c r="U26" s="256">
        <v>18</v>
      </c>
      <c r="V26" s="256">
        <v>19</v>
      </c>
      <c r="W26" s="256">
        <v>20</v>
      </c>
      <c r="X26" s="256">
        <v>21</v>
      </c>
      <c r="Y26" s="256">
        <v>22</v>
      </c>
      <c r="Z26" s="256">
        <v>23</v>
      </c>
      <c r="AA26" s="256">
        <v>24</v>
      </c>
      <c r="AB26" s="256">
        <v>25</v>
      </c>
      <c r="AC26" s="256">
        <v>26</v>
      </c>
      <c r="AD26" s="256">
        <v>27</v>
      </c>
      <c r="AE26" s="256">
        <v>28</v>
      </c>
      <c r="AF26" s="256">
        <v>29</v>
      </c>
      <c r="AG26" s="256">
        <v>30</v>
      </c>
      <c r="AH26" s="256">
        <v>31</v>
      </c>
      <c r="AI26" s="256">
        <v>32</v>
      </c>
      <c r="AJ26" s="256">
        <v>33</v>
      </c>
      <c r="AK26" s="256">
        <v>34</v>
      </c>
      <c r="AL26" s="256">
        <v>35</v>
      </c>
      <c r="AM26" s="256">
        <v>36</v>
      </c>
      <c r="AN26" s="256">
        <v>37</v>
      </c>
      <c r="AO26" s="256">
        <v>38</v>
      </c>
      <c r="AP26" s="256">
        <v>39</v>
      </c>
      <c r="AQ26" s="256">
        <v>40</v>
      </c>
    </row>
    <row r="27" spans="2:43" x14ac:dyDescent="0.2">
      <c r="B27" s="405" t="s">
        <v>150</v>
      </c>
      <c r="C27" s="259" t="s">
        <v>9</v>
      </c>
      <c r="D27" s="304">
        <v>2026</v>
      </c>
      <c r="E27" s="304">
        <f>$D$5+D26</f>
        <v>2027</v>
      </c>
      <c r="F27" s="304">
        <f t="shared" ref="F27:AQ27" si="4">$D$5+E26</f>
        <v>2028</v>
      </c>
      <c r="G27" s="304">
        <f t="shared" si="4"/>
        <v>2029</v>
      </c>
      <c r="H27" s="304">
        <f t="shared" si="4"/>
        <v>2030</v>
      </c>
      <c r="I27" s="304">
        <f t="shared" si="4"/>
        <v>2031</v>
      </c>
      <c r="J27" s="304">
        <f t="shared" si="4"/>
        <v>2032</v>
      </c>
      <c r="K27" s="304">
        <f t="shared" si="4"/>
        <v>2033</v>
      </c>
      <c r="L27" s="304">
        <f t="shared" si="4"/>
        <v>2034</v>
      </c>
      <c r="M27" s="304">
        <f t="shared" si="4"/>
        <v>2035</v>
      </c>
      <c r="N27" s="304">
        <f t="shared" si="4"/>
        <v>2036</v>
      </c>
      <c r="O27" s="304">
        <f t="shared" si="4"/>
        <v>2037</v>
      </c>
      <c r="P27" s="304">
        <f t="shared" si="4"/>
        <v>2038</v>
      </c>
      <c r="Q27" s="304">
        <f t="shared" si="4"/>
        <v>2039</v>
      </c>
      <c r="R27" s="304">
        <f t="shared" si="4"/>
        <v>2040</v>
      </c>
      <c r="S27" s="304">
        <f t="shared" si="4"/>
        <v>2041</v>
      </c>
      <c r="T27" s="304">
        <f t="shared" si="4"/>
        <v>2042</v>
      </c>
      <c r="U27" s="304">
        <f t="shared" si="4"/>
        <v>2043</v>
      </c>
      <c r="V27" s="304">
        <f t="shared" si="4"/>
        <v>2044</v>
      </c>
      <c r="W27" s="304">
        <f t="shared" si="4"/>
        <v>2045</v>
      </c>
      <c r="X27" s="304">
        <f t="shared" si="4"/>
        <v>2046</v>
      </c>
      <c r="Y27" s="304">
        <f t="shared" si="4"/>
        <v>2047</v>
      </c>
      <c r="Z27" s="304">
        <f t="shared" si="4"/>
        <v>2048</v>
      </c>
      <c r="AA27" s="304">
        <f t="shared" si="4"/>
        <v>2049</v>
      </c>
      <c r="AB27" s="304">
        <f t="shared" si="4"/>
        <v>2050</v>
      </c>
      <c r="AC27" s="304">
        <f t="shared" si="4"/>
        <v>2051</v>
      </c>
      <c r="AD27" s="304">
        <f t="shared" si="4"/>
        <v>2052</v>
      </c>
      <c r="AE27" s="304">
        <f t="shared" si="4"/>
        <v>2053</v>
      </c>
      <c r="AF27" s="304">
        <f t="shared" si="4"/>
        <v>2054</v>
      </c>
      <c r="AG27" s="304">
        <f t="shared" si="4"/>
        <v>2055</v>
      </c>
      <c r="AH27" s="304">
        <f t="shared" si="4"/>
        <v>2056</v>
      </c>
      <c r="AI27" s="304">
        <f t="shared" si="4"/>
        <v>2057</v>
      </c>
      <c r="AJ27" s="304">
        <f t="shared" si="4"/>
        <v>2058</v>
      </c>
      <c r="AK27" s="304">
        <f t="shared" si="4"/>
        <v>2059</v>
      </c>
      <c r="AL27" s="304">
        <f t="shared" si="4"/>
        <v>2060</v>
      </c>
      <c r="AM27" s="304">
        <f t="shared" si="4"/>
        <v>2061</v>
      </c>
      <c r="AN27" s="304">
        <f t="shared" si="4"/>
        <v>2062</v>
      </c>
      <c r="AO27" s="304">
        <f t="shared" si="4"/>
        <v>2063</v>
      </c>
      <c r="AP27" s="304">
        <f t="shared" si="4"/>
        <v>2064</v>
      </c>
      <c r="AQ27" s="304">
        <f t="shared" si="4"/>
        <v>2065</v>
      </c>
    </row>
    <row r="28" spans="2:43" x14ac:dyDescent="0.2">
      <c r="B28" s="362" t="s">
        <v>685</v>
      </c>
      <c r="C28" s="363">
        <f>SUM(D28:AN28)</f>
        <v>0</v>
      </c>
      <c r="D28" s="235">
        <f>'11a_A Znečisť. l.(voz.)NOV200'!D12*Parametre!$C$107/1000</f>
        <v>0</v>
      </c>
      <c r="E28" s="235">
        <f>'11a_A Znečisť. l.(voz.)NOV200'!E12*Parametre!$C$107/1000</f>
        <v>0</v>
      </c>
      <c r="F28" s="235">
        <f>'11a_A Znečisť. l.(voz.)NOV200'!F12*Parametre!$C$107/1000</f>
        <v>0</v>
      </c>
      <c r="G28" s="235">
        <f>'11a_A Znečisť. l.(voz.)NOV200'!G12*Parametre!$C$107/1000</f>
        <v>0</v>
      </c>
      <c r="H28" s="235">
        <f>'11a_A Znečisť. l.(voz.)NOV200'!H12*Parametre!$C$107/1000</f>
        <v>0</v>
      </c>
      <c r="I28" s="235">
        <f>'11a_A Znečisť. l.(voz.)NOV200'!I12*Parametre!$C$107/1000</f>
        <v>0</v>
      </c>
      <c r="J28" s="235">
        <f>'11a_A Znečisť. l.(voz.)NOV200'!J12*Parametre!$C$107/1000</f>
        <v>0</v>
      </c>
      <c r="K28" s="235">
        <f>'11a_A Znečisť. l.(voz.)NOV200'!K12*Parametre!$C$107/1000</f>
        <v>0</v>
      </c>
      <c r="L28" s="235">
        <f>'11a_A Znečisť. l.(voz.)NOV200'!L12*Parametre!$C$107/1000</f>
        <v>0</v>
      </c>
      <c r="M28" s="235">
        <f>'11a_A Znečisť. l.(voz.)NOV200'!M12*Parametre!$C$107/1000</f>
        <v>0</v>
      </c>
      <c r="N28" s="235">
        <f>'11a_A Znečisť. l.(voz.)NOV200'!N12*Parametre!$C$107/1000</f>
        <v>0</v>
      </c>
      <c r="O28" s="235">
        <f>'11a_A Znečisť. l.(voz.)NOV200'!O12*Parametre!$C$107/1000</f>
        <v>0</v>
      </c>
      <c r="P28" s="235">
        <f>'11a_A Znečisť. l.(voz.)NOV200'!P12*Parametre!$C$107/1000</f>
        <v>0</v>
      </c>
      <c r="Q28" s="235">
        <f>'11a_A Znečisť. l.(voz.)NOV200'!Q12*Parametre!$C$107/1000</f>
        <v>0</v>
      </c>
      <c r="R28" s="235">
        <f>'11a_A Znečisť. l.(voz.)NOV200'!R12*Parametre!$C$107/1000</f>
        <v>0</v>
      </c>
      <c r="S28" s="235">
        <f>'11a_A Znečisť. l.(voz.)NOV200'!S12*Parametre!$C$107/1000</f>
        <v>0</v>
      </c>
      <c r="T28" s="235">
        <f>'11a_A Znečisť. l.(voz.)NOV200'!T12*Parametre!$C$107/1000</f>
        <v>0</v>
      </c>
      <c r="U28" s="235">
        <f>'11a_A Znečisť. l.(voz.)NOV200'!U12*Parametre!$C$107/1000</f>
        <v>0</v>
      </c>
      <c r="V28" s="235">
        <f>'11a_A Znečisť. l.(voz.)NOV200'!V12*Parametre!$C$107/1000</f>
        <v>0</v>
      </c>
      <c r="W28" s="235">
        <f>'11a_A Znečisť. l.(voz.)NOV200'!W12*Parametre!$C$107/1000</f>
        <v>0</v>
      </c>
      <c r="X28" s="235">
        <f>'11a_A Znečisť. l.(voz.)NOV200'!X12*Parametre!$C$107/1000</f>
        <v>0</v>
      </c>
      <c r="Y28" s="235">
        <f>'11a_A Znečisť. l.(voz.)NOV200'!Y12*Parametre!$C$107/1000</f>
        <v>0</v>
      </c>
      <c r="Z28" s="235">
        <f>'11a_A Znečisť. l.(voz.)NOV200'!Z12*Parametre!$C$107/1000</f>
        <v>0</v>
      </c>
      <c r="AA28" s="235">
        <f>'11a_A Znečisť. l.(voz.)NOV200'!AA12*Parametre!$C$107/1000</f>
        <v>0</v>
      </c>
      <c r="AB28" s="235">
        <f>'11a_A Znečisť. l.(voz.)NOV200'!AB12*Parametre!$C$107/1000</f>
        <v>0</v>
      </c>
      <c r="AC28" s="235">
        <f>'11a_A Znečisť. l.(voz.)NOV200'!AC12*Parametre!$C$107/1000</f>
        <v>0</v>
      </c>
      <c r="AD28" s="235">
        <f>'11a_A Znečisť. l.(voz.)NOV200'!AD12*Parametre!$C$107/1000</f>
        <v>0</v>
      </c>
      <c r="AE28" s="235">
        <f>'11a_A Znečisť. l.(voz.)NOV200'!AE12*Parametre!$C$107/1000</f>
        <v>0</v>
      </c>
      <c r="AF28" s="235">
        <f>'11a_A Znečisť. l.(voz.)NOV200'!AF12*Parametre!$C$107/1000</f>
        <v>0</v>
      </c>
      <c r="AG28" s="235">
        <f>'11a_A Znečisť. l.(voz.)NOV200'!AG12*Parametre!$C$107/1000</f>
        <v>0</v>
      </c>
      <c r="AH28" s="235">
        <f>'11a_A Znečisť. l.(voz.)NOV200'!AH12*Parametre!$C$107/1000</f>
        <v>0</v>
      </c>
      <c r="AI28" s="235">
        <f>'11a_A Znečisť. l.(voz.)NOV200'!AI12*Parametre!$C$107/1000</f>
        <v>0</v>
      </c>
      <c r="AJ28" s="235">
        <f>'11a_A Znečisť. l.(voz.)NOV200'!AJ12*Parametre!$C$107/1000</f>
        <v>0</v>
      </c>
      <c r="AK28" s="235">
        <f>'11a_A Znečisť. l.(voz.)NOV200'!AK12*Parametre!$C$107/1000</f>
        <v>0</v>
      </c>
      <c r="AL28" s="235">
        <f>'11a_A Znečisť. l.(voz.)NOV200'!AL12*Parametre!$C$107/1000</f>
        <v>0</v>
      </c>
      <c r="AM28" s="235">
        <f>'11a_A Znečisť. l.(voz.)NOV200'!AM12*Parametre!$C$107/1000</f>
        <v>0</v>
      </c>
      <c r="AN28" s="235">
        <f>'11a_A Znečisť. l.(voz.)NOV200'!AN12*Parametre!$C$107/1000</f>
        <v>0</v>
      </c>
      <c r="AO28" s="235">
        <f>'11a_A Znečisť. l.(voz.)NOV200'!AO12*Parametre!$C$107/1000</f>
        <v>0</v>
      </c>
      <c r="AP28" s="235">
        <f>'11a_A Znečisť. l.(voz.)NOV200'!AP12*Parametre!$C$107/1000</f>
        <v>0</v>
      </c>
      <c r="AQ28" s="235">
        <f>'11a_A Znečisť. l.(voz.)NOV200'!AQ12*Parametre!$C$107/1000</f>
        <v>0</v>
      </c>
    </row>
    <row r="29" spans="2:43" x14ac:dyDescent="0.2">
      <c r="B29" s="405" t="s">
        <v>151</v>
      </c>
      <c r="C29" s="259" t="s">
        <v>9</v>
      </c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</row>
    <row r="30" spans="2:43" x14ac:dyDescent="0.2">
      <c r="B30" s="362" t="s">
        <v>685</v>
      </c>
      <c r="C30" s="363">
        <f>SUM(D30:AN30)</f>
        <v>0</v>
      </c>
      <c r="D30" s="235">
        <f>'11a_A Znečisť. l.(voz.)NOV200'!D12*Parametre!$D$107/1000</f>
        <v>0</v>
      </c>
      <c r="E30" s="235">
        <f>'11a_A Znečisť. l.(voz.)NOV200'!E12*Parametre!$D$107/1000</f>
        <v>0</v>
      </c>
      <c r="F30" s="235">
        <f>'11a_A Znečisť. l.(voz.)NOV200'!F12*Parametre!$D$107/1000</f>
        <v>0</v>
      </c>
      <c r="G30" s="235">
        <f>'11a_A Znečisť. l.(voz.)NOV200'!G12*Parametre!$D$107/1000</f>
        <v>0</v>
      </c>
      <c r="H30" s="235">
        <f>'11a_A Znečisť. l.(voz.)NOV200'!H12*Parametre!$D$107/1000</f>
        <v>0</v>
      </c>
      <c r="I30" s="235">
        <f>'11a_A Znečisť. l.(voz.)NOV200'!I12*Parametre!$D$107/1000</f>
        <v>0</v>
      </c>
      <c r="J30" s="235">
        <f>'11a_A Znečisť. l.(voz.)NOV200'!J12*Parametre!$D$107/1000</f>
        <v>0</v>
      </c>
      <c r="K30" s="235">
        <f>'11a_A Znečisť. l.(voz.)NOV200'!K12*Parametre!$D$107/1000</f>
        <v>0</v>
      </c>
      <c r="L30" s="235">
        <f>'11a_A Znečisť. l.(voz.)NOV200'!L12*Parametre!$D$107/1000</f>
        <v>0</v>
      </c>
      <c r="M30" s="235">
        <f>'11a_A Znečisť. l.(voz.)NOV200'!M12*Parametre!$D$107/1000</f>
        <v>0</v>
      </c>
      <c r="N30" s="235">
        <f>'11a_A Znečisť. l.(voz.)NOV200'!N12*Parametre!$D$107/1000</f>
        <v>0</v>
      </c>
      <c r="O30" s="235">
        <f>'11a_A Znečisť. l.(voz.)NOV200'!O12*Parametre!$D$107/1000</f>
        <v>0</v>
      </c>
      <c r="P30" s="235">
        <f>'11a_A Znečisť. l.(voz.)NOV200'!P12*Parametre!$D$107/1000</f>
        <v>0</v>
      </c>
      <c r="Q30" s="235">
        <f>'11a_A Znečisť. l.(voz.)NOV200'!Q12*Parametre!$D$107/1000</f>
        <v>0</v>
      </c>
      <c r="R30" s="235">
        <f>'11a_A Znečisť. l.(voz.)NOV200'!R12*Parametre!$D$107/1000</f>
        <v>0</v>
      </c>
      <c r="S30" s="235">
        <f>'11a_A Znečisť. l.(voz.)NOV200'!S12*Parametre!$D$107/1000</f>
        <v>0</v>
      </c>
      <c r="T30" s="235">
        <f>'11a_A Znečisť. l.(voz.)NOV200'!T12*Parametre!$D$107/1000</f>
        <v>0</v>
      </c>
      <c r="U30" s="235">
        <f>'11a_A Znečisť. l.(voz.)NOV200'!U12*Parametre!$D$107/1000</f>
        <v>0</v>
      </c>
      <c r="V30" s="235">
        <f>'11a_A Znečisť. l.(voz.)NOV200'!V12*Parametre!$D$107/1000</f>
        <v>0</v>
      </c>
      <c r="W30" s="235">
        <f>'11a_A Znečisť. l.(voz.)NOV200'!W12*Parametre!$D$107/1000</f>
        <v>0</v>
      </c>
      <c r="X30" s="235">
        <f>'11a_A Znečisť. l.(voz.)NOV200'!X12*Parametre!$D$107/1000</f>
        <v>0</v>
      </c>
      <c r="Y30" s="235">
        <f>'11a_A Znečisť. l.(voz.)NOV200'!Y12*Parametre!$D$107/1000</f>
        <v>0</v>
      </c>
      <c r="Z30" s="235">
        <f>'11a_A Znečisť. l.(voz.)NOV200'!Z12*Parametre!$D$107/1000</f>
        <v>0</v>
      </c>
      <c r="AA30" s="235">
        <f>'11a_A Znečisť. l.(voz.)NOV200'!AA12*Parametre!$D$107/1000</f>
        <v>0</v>
      </c>
      <c r="AB30" s="235">
        <f>'11a_A Znečisť. l.(voz.)NOV200'!AB12*Parametre!$D$107/1000</f>
        <v>0</v>
      </c>
      <c r="AC30" s="235">
        <f>'11a_A Znečisť. l.(voz.)NOV200'!AC12*Parametre!$D$107/1000</f>
        <v>0</v>
      </c>
      <c r="AD30" s="235">
        <f>'11a_A Znečisť. l.(voz.)NOV200'!AD12*Parametre!$D$107/1000</f>
        <v>0</v>
      </c>
      <c r="AE30" s="235">
        <f>'11a_A Znečisť. l.(voz.)NOV200'!AE12*Parametre!$D$107/1000</f>
        <v>0</v>
      </c>
      <c r="AF30" s="235">
        <f>'11a_A Znečisť. l.(voz.)NOV200'!AF12*Parametre!$D$107/1000</f>
        <v>0</v>
      </c>
      <c r="AG30" s="235">
        <f>'11a_A Znečisť. l.(voz.)NOV200'!AG12*Parametre!$D$107/1000</f>
        <v>0</v>
      </c>
      <c r="AH30" s="235">
        <f>'11a_A Znečisť. l.(voz.)NOV200'!AH12*Parametre!$D$107/1000</f>
        <v>0</v>
      </c>
      <c r="AI30" s="235">
        <f>'11a_A Znečisť. l.(voz.)NOV200'!AI12*Parametre!$D$107/1000</f>
        <v>0</v>
      </c>
      <c r="AJ30" s="235">
        <f>'11a_A Znečisť. l.(voz.)NOV200'!AJ12*Parametre!$D$107/1000</f>
        <v>0</v>
      </c>
      <c r="AK30" s="235">
        <f>'11a_A Znečisť. l.(voz.)NOV200'!AK12*Parametre!$D$107/1000</f>
        <v>0</v>
      </c>
      <c r="AL30" s="235">
        <f>'11a_A Znečisť. l.(voz.)NOV200'!AL12*Parametre!$D$107/1000</f>
        <v>0</v>
      </c>
      <c r="AM30" s="235">
        <f>'11a_A Znečisť. l.(voz.)NOV200'!AM12*Parametre!$D$107/1000</f>
        <v>0</v>
      </c>
      <c r="AN30" s="235">
        <f>'11a_A Znečisť. l.(voz.)NOV200'!AN12*Parametre!$D$107/1000</f>
        <v>0</v>
      </c>
      <c r="AO30" s="235">
        <f>'11a_A Znečisť. l.(voz.)NOV200'!AO12*Parametre!$D$107/1000</f>
        <v>0</v>
      </c>
      <c r="AP30" s="235">
        <f>'11a_A Znečisť. l.(voz.)NOV200'!AP12*Parametre!$D$107/1000</f>
        <v>0</v>
      </c>
      <c r="AQ30" s="235">
        <f>'11a_A Znečisť. l.(voz.)NOV200'!AQ12*Parametre!$D$107/1000</f>
        <v>0</v>
      </c>
    </row>
    <row r="31" spans="2:43" x14ac:dyDescent="0.2">
      <c r="B31" s="405" t="s">
        <v>253</v>
      </c>
      <c r="C31" s="259" t="s">
        <v>9</v>
      </c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</row>
    <row r="32" spans="2:43" x14ac:dyDescent="0.2">
      <c r="B32" s="362" t="s">
        <v>685</v>
      </c>
      <c r="C32" s="363">
        <f>SUM(D32:AN32)</f>
        <v>0</v>
      </c>
      <c r="D32" s="235">
        <f>'11a_A Znečisť. l.(voz.)NOV200'!D12*Parametre!$E$107/1000</f>
        <v>0</v>
      </c>
      <c r="E32" s="235">
        <f>'11a_A Znečisť. l.(voz.)NOV200'!E12*Parametre!$E$107/1000</f>
        <v>0</v>
      </c>
      <c r="F32" s="235">
        <f>'11a_A Znečisť. l.(voz.)NOV200'!F12*Parametre!$E$107/1000</f>
        <v>0</v>
      </c>
      <c r="G32" s="235">
        <f>'11a_A Znečisť. l.(voz.)NOV200'!G12*Parametre!$E$107/1000</f>
        <v>0</v>
      </c>
      <c r="H32" s="235">
        <f>'11a_A Znečisť. l.(voz.)NOV200'!H12*Parametre!$E$107/1000</f>
        <v>0</v>
      </c>
      <c r="I32" s="235">
        <f>'11a_A Znečisť. l.(voz.)NOV200'!I12*Parametre!$E$107/1000</f>
        <v>0</v>
      </c>
      <c r="J32" s="235">
        <f>'11a_A Znečisť. l.(voz.)NOV200'!J12*Parametre!$E$107/1000</f>
        <v>0</v>
      </c>
      <c r="K32" s="235">
        <f>'11a_A Znečisť. l.(voz.)NOV200'!K12*Parametre!$E$107/1000</f>
        <v>0</v>
      </c>
      <c r="L32" s="235">
        <f>'11a_A Znečisť. l.(voz.)NOV200'!L12*Parametre!$E$107/1000</f>
        <v>0</v>
      </c>
      <c r="M32" s="235">
        <f>'11a_A Znečisť. l.(voz.)NOV200'!M12*Parametre!$E$107/1000</f>
        <v>0</v>
      </c>
      <c r="N32" s="235">
        <f>'11a_A Znečisť. l.(voz.)NOV200'!N12*Parametre!$E$107/1000</f>
        <v>0</v>
      </c>
      <c r="O32" s="235">
        <f>'11a_A Znečisť. l.(voz.)NOV200'!O12*Parametre!$E$107/1000</f>
        <v>0</v>
      </c>
      <c r="P32" s="235">
        <f>'11a_A Znečisť. l.(voz.)NOV200'!P12*Parametre!$E$107/1000</f>
        <v>0</v>
      </c>
      <c r="Q32" s="235">
        <f>'11a_A Znečisť. l.(voz.)NOV200'!Q12*Parametre!$E$107/1000</f>
        <v>0</v>
      </c>
      <c r="R32" s="235">
        <f>'11a_A Znečisť. l.(voz.)NOV200'!R12*Parametre!$E$107/1000</f>
        <v>0</v>
      </c>
      <c r="S32" s="235">
        <f>'11a_A Znečisť. l.(voz.)NOV200'!S12*Parametre!$E$107/1000</f>
        <v>0</v>
      </c>
      <c r="T32" s="235">
        <f>'11a_A Znečisť. l.(voz.)NOV200'!T12*Parametre!$E$107/1000</f>
        <v>0</v>
      </c>
      <c r="U32" s="235">
        <f>'11a_A Znečisť. l.(voz.)NOV200'!U12*Parametre!$E$107/1000</f>
        <v>0</v>
      </c>
      <c r="V32" s="235">
        <f>'11a_A Znečisť. l.(voz.)NOV200'!V12*Parametre!$E$107/1000</f>
        <v>0</v>
      </c>
      <c r="W32" s="235">
        <f>'11a_A Znečisť. l.(voz.)NOV200'!W12*Parametre!$E$107/1000</f>
        <v>0</v>
      </c>
      <c r="X32" s="235">
        <f>'11a_A Znečisť. l.(voz.)NOV200'!X12*Parametre!$E$107/1000</f>
        <v>0</v>
      </c>
      <c r="Y32" s="235">
        <f>'11a_A Znečisť. l.(voz.)NOV200'!Y12*Parametre!$E$107/1000</f>
        <v>0</v>
      </c>
      <c r="Z32" s="235">
        <f>'11a_A Znečisť. l.(voz.)NOV200'!Z12*Parametre!$E$107/1000</f>
        <v>0</v>
      </c>
      <c r="AA32" s="235">
        <f>'11a_A Znečisť. l.(voz.)NOV200'!AA12*Parametre!$E$107/1000</f>
        <v>0</v>
      </c>
      <c r="AB32" s="235">
        <f>'11a_A Znečisť. l.(voz.)NOV200'!AB12*Parametre!$E$107/1000</f>
        <v>0</v>
      </c>
      <c r="AC32" s="235">
        <f>'11a_A Znečisť. l.(voz.)NOV200'!AC12*Parametre!$E$107/1000</f>
        <v>0</v>
      </c>
      <c r="AD32" s="235">
        <f>'11a_A Znečisť. l.(voz.)NOV200'!AD12*Parametre!$E$107/1000</f>
        <v>0</v>
      </c>
      <c r="AE32" s="235">
        <f>'11a_A Znečisť. l.(voz.)NOV200'!AE12*Parametre!$E$107/1000</f>
        <v>0</v>
      </c>
      <c r="AF32" s="235">
        <f>'11a_A Znečisť. l.(voz.)NOV200'!AF12*Parametre!$E$107/1000</f>
        <v>0</v>
      </c>
      <c r="AG32" s="235">
        <f>'11a_A Znečisť. l.(voz.)NOV200'!AG12*Parametre!$E$107/1000</f>
        <v>0</v>
      </c>
      <c r="AH32" s="235">
        <f>'11a_A Znečisť. l.(voz.)NOV200'!AH12*Parametre!$E$107/1000</f>
        <v>0</v>
      </c>
      <c r="AI32" s="235">
        <f>'11a_A Znečisť. l.(voz.)NOV200'!AI12*Parametre!$E$107/1000</f>
        <v>0</v>
      </c>
      <c r="AJ32" s="235">
        <f>'11a_A Znečisť. l.(voz.)NOV200'!AJ12*Parametre!$E$107/1000</f>
        <v>0</v>
      </c>
      <c r="AK32" s="235">
        <f>'11a_A Znečisť. l.(voz.)NOV200'!AK12*Parametre!$E$107/1000</f>
        <v>0</v>
      </c>
      <c r="AL32" s="235">
        <f>'11a_A Znečisť. l.(voz.)NOV200'!AL12*Parametre!$E$107/1000</f>
        <v>0</v>
      </c>
      <c r="AM32" s="235">
        <f>'11a_A Znečisť. l.(voz.)NOV200'!AM12*Parametre!$E$107/1000</f>
        <v>0</v>
      </c>
      <c r="AN32" s="235">
        <f>'11a_A Znečisť. l.(voz.)NOV200'!AN12*Parametre!$E$107/1000</f>
        <v>0</v>
      </c>
      <c r="AO32" s="235">
        <f>'11a_A Znečisť. l.(voz.)NOV200'!AO12*Parametre!$E$107/1000</f>
        <v>0</v>
      </c>
      <c r="AP32" s="235">
        <f>'11a_A Znečisť. l.(voz.)NOV200'!AP12*Parametre!$E$107/1000</f>
        <v>0</v>
      </c>
      <c r="AQ32" s="235">
        <f>'11a_A Znečisť. l.(voz.)NOV200'!AQ12*Parametre!$E$107/1000</f>
        <v>0</v>
      </c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2792-2817-4910-9DFF-F6D7A012D5BA}">
  <sheetPr>
    <tabColor rgb="FFCCFF99"/>
  </sheetPr>
  <dimension ref="B2:AP35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62.42578125" style="255" bestFit="1" customWidth="1"/>
    <col min="3" max="3" width="7.140625" style="255" bestFit="1" customWidth="1"/>
    <col min="4" max="42" width="5.5703125" style="255" bestFit="1" customWidth="1"/>
    <col min="43" max="16384" width="9.140625" style="255"/>
  </cols>
  <sheetData>
    <row r="2" spans="2:42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 t="s">
        <v>460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x14ac:dyDescent="0.2">
      <c r="B4" s="259" t="s">
        <v>33</v>
      </c>
      <c r="C4" s="260" t="s">
        <v>9</v>
      </c>
      <c r="D4" s="261">
        <v>2026</v>
      </c>
      <c r="E4" s="261">
        <f>$D$4+D3</f>
        <v>2027</v>
      </c>
      <c r="F4" s="261">
        <f>$D$4+E3</f>
        <v>2028</v>
      </c>
      <c r="G4" s="261">
        <f t="shared" ref="G4:AP4" si="0">$D$4+F3</f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ht="11.85" customHeight="1" x14ac:dyDescent="0.2">
      <c r="B5" s="256" t="s">
        <v>150</v>
      </c>
      <c r="C5" s="262">
        <f>SUM(D5:AP5)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</row>
    <row r="6" spans="2:42" ht="11.85" customHeight="1" x14ac:dyDescent="0.2">
      <c r="B6" s="256" t="s">
        <v>151</v>
      </c>
      <c r="C6" s="262">
        <f t="shared" ref="C6:C9" si="1">SUM(D6:AP6)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</row>
    <row r="7" spans="2:42" ht="11.85" customHeight="1" x14ac:dyDescent="0.2">
      <c r="B7" s="256" t="s">
        <v>152</v>
      </c>
      <c r="C7" s="262">
        <f t="shared" si="1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</row>
    <row r="8" spans="2:42" ht="11.85" customHeight="1" x14ac:dyDescent="0.2">
      <c r="B8" s="256" t="s">
        <v>602</v>
      </c>
      <c r="C8" s="262">
        <f t="shared" si="1"/>
        <v>0</v>
      </c>
      <c r="D8" s="263">
        <v>0</v>
      </c>
      <c r="E8" s="263">
        <v>0</v>
      </c>
      <c r="F8" s="263">
        <v>0</v>
      </c>
      <c r="G8" s="263">
        <v>0</v>
      </c>
      <c r="H8" s="263">
        <v>0</v>
      </c>
      <c r="I8" s="263">
        <v>0</v>
      </c>
      <c r="J8" s="263">
        <v>0</v>
      </c>
      <c r="K8" s="263">
        <v>0</v>
      </c>
      <c r="L8" s="263">
        <v>0</v>
      </c>
      <c r="M8" s="263">
        <v>0</v>
      </c>
      <c r="N8" s="263">
        <v>0</v>
      </c>
      <c r="O8" s="263">
        <v>0</v>
      </c>
      <c r="P8" s="263">
        <v>0</v>
      </c>
      <c r="Q8" s="263">
        <v>0</v>
      </c>
      <c r="R8" s="263">
        <v>0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0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0</v>
      </c>
      <c r="AN8" s="263">
        <v>0</v>
      </c>
      <c r="AO8" s="263">
        <v>0</v>
      </c>
      <c r="AP8" s="263">
        <v>0</v>
      </c>
    </row>
    <row r="9" spans="2:42" ht="10.35" customHeight="1" x14ac:dyDescent="0.2">
      <c r="B9" s="257" t="s">
        <v>9</v>
      </c>
      <c r="C9" s="264">
        <f t="shared" si="1"/>
        <v>0</v>
      </c>
      <c r="D9" s="264">
        <f>SUM(D5:D8)</f>
        <v>0</v>
      </c>
      <c r="E9" s="264">
        <f t="shared" ref="E9:AP9" si="2">SUM(E5:E8)</f>
        <v>0</v>
      </c>
      <c r="F9" s="264">
        <f t="shared" si="2"/>
        <v>0</v>
      </c>
      <c r="G9" s="264">
        <f t="shared" si="2"/>
        <v>0</v>
      </c>
      <c r="H9" s="264">
        <f t="shared" si="2"/>
        <v>0</v>
      </c>
      <c r="I9" s="264">
        <f t="shared" si="2"/>
        <v>0</v>
      </c>
      <c r="J9" s="264">
        <f t="shared" si="2"/>
        <v>0</v>
      </c>
      <c r="K9" s="264">
        <f t="shared" si="2"/>
        <v>0</v>
      </c>
      <c r="L9" s="264">
        <f t="shared" si="2"/>
        <v>0</v>
      </c>
      <c r="M9" s="264">
        <f t="shared" si="2"/>
        <v>0</v>
      </c>
      <c r="N9" s="264">
        <f t="shared" si="2"/>
        <v>0</v>
      </c>
      <c r="O9" s="264">
        <f t="shared" si="2"/>
        <v>0</v>
      </c>
      <c r="P9" s="264">
        <f t="shared" si="2"/>
        <v>0</v>
      </c>
      <c r="Q9" s="264">
        <f t="shared" si="2"/>
        <v>0</v>
      </c>
      <c r="R9" s="264">
        <f t="shared" si="2"/>
        <v>0</v>
      </c>
      <c r="S9" s="264">
        <f t="shared" si="2"/>
        <v>0</v>
      </c>
      <c r="T9" s="264">
        <f t="shared" si="2"/>
        <v>0</v>
      </c>
      <c r="U9" s="264">
        <f t="shared" si="2"/>
        <v>0</v>
      </c>
      <c r="V9" s="264">
        <f t="shared" si="2"/>
        <v>0</v>
      </c>
      <c r="W9" s="264">
        <f t="shared" si="2"/>
        <v>0</v>
      </c>
      <c r="X9" s="264">
        <f t="shared" si="2"/>
        <v>0</v>
      </c>
      <c r="Y9" s="264">
        <f t="shared" si="2"/>
        <v>0</v>
      </c>
      <c r="Z9" s="264">
        <f t="shared" si="2"/>
        <v>0</v>
      </c>
      <c r="AA9" s="264">
        <f t="shared" si="2"/>
        <v>0</v>
      </c>
      <c r="AB9" s="264">
        <f t="shared" si="2"/>
        <v>0</v>
      </c>
      <c r="AC9" s="264">
        <f t="shared" si="2"/>
        <v>0</v>
      </c>
      <c r="AD9" s="264">
        <f t="shared" si="2"/>
        <v>0</v>
      </c>
      <c r="AE9" s="264">
        <f t="shared" si="2"/>
        <v>0</v>
      </c>
      <c r="AF9" s="264">
        <f t="shared" si="2"/>
        <v>0</v>
      </c>
      <c r="AG9" s="264">
        <f t="shared" si="2"/>
        <v>0</v>
      </c>
      <c r="AH9" s="264">
        <f t="shared" si="2"/>
        <v>0</v>
      </c>
      <c r="AI9" s="264">
        <f t="shared" si="2"/>
        <v>0</v>
      </c>
      <c r="AJ9" s="264">
        <f t="shared" si="2"/>
        <v>0</v>
      </c>
      <c r="AK9" s="264">
        <f t="shared" si="2"/>
        <v>0</v>
      </c>
      <c r="AL9" s="264">
        <f t="shared" si="2"/>
        <v>0</v>
      </c>
      <c r="AM9" s="264">
        <f t="shared" si="2"/>
        <v>0</v>
      </c>
      <c r="AN9" s="264">
        <f t="shared" si="2"/>
        <v>0</v>
      </c>
      <c r="AO9" s="264">
        <f t="shared" si="2"/>
        <v>0</v>
      </c>
      <c r="AP9" s="264">
        <f t="shared" si="2"/>
        <v>0</v>
      </c>
    </row>
    <row r="12" spans="2:42" x14ac:dyDescent="0.2">
      <c r="B12" s="256"/>
      <c r="C12" s="256"/>
      <c r="D12" s="256" t="s">
        <v>10</v>
      </c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</row>
    <row r="13" spans="2:42" x14ac:dyDescent="0.2">
      <c r="B13" s="257" t="s">
        <v>461</v>
      </c>
      <c r="C13" s="257"/>
      <c r="D13" s="256">
        <v>1</v>
      </c>
      <c r="E13" s="256">
        <v>2</v>
      </c>
      <c r="F13" s="256">
        <v>3</v>
      </c>
      <c r="G13" s="256">
        <v>4</v>
      </c>
      <c r="H13" s="256">
        <v>5</v>
      </c>
      <c r="I13" s="256">
        <v>6</v>
      </c>
      <c r="J13" s="256">
        <v>7</v>
      </c>
      <c r="K13" s="256">
        <v>8</v>
      </c>
      <c r="L13" s="256">
        <v>9</v>
      </c>
      <c r="M13" s="256">
        <v>10</v>
      </c>
      <c r="N13" s="256">
        <v>11</v>
      </c>
      <c r="O13" s="256">
        <v>12</v>
      </c>
      <c r="P13" s="256">
        <v>13</v>
      </c>
      <c r="Q13" s="256">
        <v>14</v>
      </c>
      <c r="R13" s="256">
        <v>15</v>
      </c>
      <c r="S13" s="256">
        <v>16</v>
      </c>
      <c r="T13" s="256">
        <v>17</v>
      </c>
      <c r="U13" s="256">
        <v>18</v>
      </c>
      <c r="V13" s="256">
        <v>19</v>
      </c>
      <c r="W13" s="256">
        <v>20</v>
      </c>
      <c r="X13" s="256">
        <v>21</v>
      </c>
      <c r="Y13" s="256">
        <v>22</v>
      </c>
      <c r="Z13" s="256">
        <v>23</v>
      </c>
      <c r="AA13" s="256">
        <v>24</v>
      </c>
      <c r="AB13" s="256">
        <v>25</v>
      </c>
      <c r="AC13" s="256">
        <v>26</v>
      </c>
      <c r="AD13" s="256">
        <v>27</v>
      </c>
      <c r="AE13" s="256">
        <v>28</v>
      </c>
      <c r="AF13" s="256">
        <v>29</v>
      </c>
      <c r="AG13" s="256">
        <v>30</v>
      </c>
      <c r="AH13" s="256">
        <v>31</v>
      </c>
      <c r="AI13" s="256">
        <v>32</v>
      </c>
      <c r="AJ13" s="256">
        <v>33</v>
      </c>
      <c r="AK13" s="256">
        <v>34</v>
      </c>
      <c r="AL13" s="256">
        <v>35</v>
      </c>
      <c r="AM13" s="256">
        <v>36</v>
      </c>
      <c r="AN13" s="256">
        <v>37</v>
      </c>
      <c r="AO13" s="256">
        <v>38</v>
      </c>
      <c r="AP13" s="256">
        <v>39</v>
      </c>
    </row>
    <row r="14" spans="2:42" x14ac:dyDescent="0.2">
      <c r="B14" s="259" t="s">
        <v>34</v>
      </c>
      <c r="C14" s="260" t="s">
        <v>9</v>
      </c>
      <c r="D14" s="304">
        <f t="shared" ref="D14:AP14" si="3">D4</f>
        <v>2026</v>
      </c>
      <c r="E14" s="304">
        <f t="shared" si="3"/>
        <v>2027</v>
      </c>
      <c r="F14" s="304">
        <f t="shared" si="3"/>
        <v>2028</v>
      </c>
      <c r="G14" s="304">
        <f t="shared" si="3"/>
        <v>2029</v>
      </c>
      <c r="H14" s="304">
        <f t="shared" si="3"/>
        <v>2030</v>
      </c>
      <c r="I14" s="304">
        <f t="shared" si="3"/>
        <v>2031</v>
      </c>
      <c r="J14" s="304">
        <f t="shared" si="3"/>
        <v>2032</v>
      </c>
      <c r="K14" s="304">
        <f t="shared" si="3"/>
        <v>2033</v>
      </c>
      <c r="L14" s="304">
        <f t="shared" si="3"/>
        <v>2034</v>
      </c>
      <c r="M14" s="304">
        <f t="shared" si="3"/>
        <v>2035</v>
      </c>
      <c r="N14" s="304">
        <f t="shared" si="3"/>
        <v>2036</v>
      </c>
      <c r="O14" s="304">
        <f t="shared" si="3"/>
        <v>2037</v>
      </c>
      <c r="P14" s="304">
        <f t="shared" si="3"/>
        <v>2038</v>
      </c>
      <c r="Q14" s="304">
        <f t="shared" si="3"/>
        <v>2039</v>
      </c>
      <c r="R14" s="304">
        <f t="shared" si="3"/>
        <v>2040</v>
      </c>
      <c r="S14" s="304">
        <f t="shared" si="3"/>
        <v>2041</v>
      </c>
      <c r="T14" s="304">
        <f t="shared" si="3"/>
        <v>2042</v>
      </c>
      <c r="U14" s="304">
        <f t="shared" si="3"/>
        <v>2043</v>
      </c>
      <c r="V14" s="304">
        <f t="shared" si="3"/>
        <v>2044</v>
      </c>
      <c r="W14" s="304">
        <f t="shared" si="3"/>
        <v>2045</v>
      </c>
      <c r="X14" s="304">
        <f t="shared" si="3"/>
        <v>2046</v>
      </c>
      <c r="Y14" s="304">
        <f t="shared" si="3"/>
        <v>2047</v>
      </c>
      <c r="Z14" s="304">
        <f t="shared" si="3"/>
        <v>2048</v>
      </c>
      <c r="AA14" s="304">
        <f t="shared" si="3"/>
        <v>2049</v>
      </c>
      <c r="AB14" s="304">
        <f t="shared" si="3"/>
        <v>2050</v>
      </c>
      <c r="AC14" s="304">
        <f t="shared" si="3"/>
        <v>2051</v>
      </c>
      <c r="AD14" s="304">
        <f t="shared" si="3"/>
        <v>2052</v>
      </c>
      <c r="AE14" s="304">
        <f t="shared" si="3"/>
        <v>2053</v>
      </c>
      <c r="AF14" s="304">
        <f t="shared" si="3"/>
        <v>2054</v>
      </c>
      <c r="AG14" s="304">
        <f t="shared" si="3"/>
        <v>2055</v>
      </c>
      <c r="AH14" s="304">
        <f t="shared" si="3"/>
        <v>2056</v>
      </c>
      <c r="AI14" s="304">
        <f t="shared" si="3"/>
        <v>2057</v>
      </c>
      <c r="AJ14" s="304">
        <f t="shared" si="3"/>
        <v>2058</v>
      </c>
      <c r="AK14" s="304">
        <f t="shared" si="3"/>
        <v>2059</v>
      </c>
      <c r="AL14" s="304">
        <f t="shared" si="3"/>
        <v>2060</v>
      </c>
      <c r="AM14" s="304">
        <f t="shared" si="3"/>
        <v>2061</v>
      </c>
      <c r="AN14" s="304">
        <f t="shared" si="3"/>
        <v>2062</v>
      </c>
      <c r="AO14" s="304">
        <f t="shared" si="3"/>
        <v>2063</v>
      </c>
      <c r="AP14" s="304">
        <f t="shared" si="3"/>
        <v>2064</v>
      </c>
    </row>
    <row r="15" spans="2:42" x14ac:dyDescent="0.2">
      <c r="B15" s="256" t="s">
        <v>150</v>
      </c>
      <c r="C15" s="262">
        <f>SUM(D15:AP15)</f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0</v>
      </c>
      <c r="AN15" s="263">
        <v>0</v>
      </c>
      <c r="AO15" s="263">
        <v>0</v>
      </c>
      <c r="AP15" s="263">
        <v>0</v>
      </c>
    </row>
    <row r="16" spans="2:42" x14ac:dyDescent="0.2">
      <c r="B16" s="256" t="s">
        <v>151</v>
      </c>
      <c r="C16" s="262">
        <f t="shared" ref="C16:C19" si="4">SUM(D16:AP16)</f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</row>
    <row r="17" spans="2:42" x14ac:dyDescent="0.2">
      <c r="B17" s="256" t="s">
        <v>152</v>
      </c>
      <c r="C17" s="262">
        <f t="shared" si="4"/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</row>
    <row r="18" spans="2:42" x14ac:dyDescent="0.2">
      <c r="B18" s="256" t="s">
        <v>602</v>
      </c>
      <c r="C18" s="262">
        <f t="shared" si="4"/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</row>
    <row r="19" spans="2:42" x14ac:dyDescent="0.2">
      <c r="B19" s="257" t="s">
        <v>35</v>
      </c>
      <c r="C19" s="264">
        <f t="shared" si="4"/>
        <v>0</v>
      </c>
      <c r="D19" s="264">
        <f>SUM(D15:D18)</f>
        <v>0</v>
      </c>
      <c r="E19" s="264">
        <f t="shared" ref="E19:AP19" si="5">SUM(E15:E18)</f>
        <v>0</v>
      </c>
      <c r="F19" s="264">
        <f t="shared" si="5"/>
        <v>0</v>
      </c>
      <c r="G19" s="264">
        <f t="shared" si="5"/>
        <v>0</v>
      </c>
      <c r="H19" s="264">
        <f t="shared" si="5"/>
        <v>0</v>
      </c>
      <c r="I19" s="264">
        <f t="shared" si="5"/>
        <v>0</v>
      </c>
      <c r="J19" s="264">
        <f t="shared" si="5"/>
        <v>0</v>
      </c>
      <c r="K19" s="264">
        <f t="shared" si="5"/>
        <v>0</v>
      </c>
      <c r="L19" s="264">
        <f t="shared" si="5"/>
        <v>0</v>
      </c>
      <c r="M19" s="264">
        <f t="shared" si="5"/>
        <v>0</v>
      </c>
      <c r="N19" s="264">
        <f t="shared" si="5"/>
        <v>0</v>
      </c>
      <c r="O19" s="264">
        <f t="shared" si="5"/>
        <v>0</v>
      </c>
      <c r="P19" s="264">
        <f t="shared" si="5"/>
        <v>0</v>
      </c>
      <c r="Q19" s="264">
        <f t="shared" si="5"/>
        <v>0</v>
      </c>
      <c r="R19" s="264">
        <f t="shared" si="5"/>
        <v>0</v>
      </c>
      <c r="S19" s="264">
        <f t="shared" si="5"/>
        <v>0</v>
      </c>
      <c r="T19" s="264">
        <f t="shared" si="5"/>
        <v>0</v>
      </c>
      <c r="U19" s="264">
        <f t="shared" si="5"/>
        <v>0</v>
      </c>
      <c r="V19" s="264">
        <f t="shared" si="5"/>
        <v>0</v>
      </c>
      <c r="W19" s="264">
        <f t="shared" si="5"/>
        <v>0</v>
      </c>
      <c r="X19" s="264">
        <f t="shared" si="5"/>
        <v>0</v>
      </c>
      <c r="Y19" s="264">
        <f t="shared" si="5"/>
        <v>0</v>
      </c>
      <c r="Z19" s="264">
        <f t="shared" si="5"/>
        <v>0</v>
      </c>
      <c r="AA19" s="264">
        <f t="shared" si="5"/>
        <v>0</v>
      </c>
      <c r="AB19" s="264">
        <f t="shared" si="5"/>
        <v>0</v>
      </c>
      <c r="AC19" s="264">
        <f t="shared" si="5"/>
        <v>0</v>
      </c>
      <c r="AD19" s="264">
        <f t="shared" si="5"/>
        <v>0</v>
      </c>
      <c r="AE19" s="264">
        <f t="shared" si="5"/>
        <v>0</v>
      </c>
      <c r="AF19" s="264">
        <f t="shared" si="5"/>
        <v>0</v>
      </c>
      <c r="AG19" s="264">
        <f t="shared" si="5"/>
        <v>0</v>
      </c>
      <c r="AH19" s="264">
        <f t="shared" si="5"/>
        <v>0</v>
      </c>
      <c r="AI19" s="264">
        <f t="shared" si="5"/>
        <v>0</v>
      </c>
      <c r="AJ19" s="264">
        <f t="shared" si="5"/>
        <v>0</v>
      </c>
      <c r="AK19" s="264">
        <f t="shared" si="5"/>
        <v>0</v>
      </c>
      <c r="AL19" s="264">
        <f t="shared" si="5"/>
        <v>0</v>
      </c>
      <c r="AM19" s="264">
        <f t="shared" si="5"/>
        <v>0</v>
      </c>
      <c r="AN19" s="264">
        <f t="shared" si="5"/>
        <v>0</v>
      </c>
      <c r="AO19" s="264">
        <f t="shared" si="5"/>
        <v>0</v>
      </c>
      <c r="AP19" s="264">
        <f t="shared" si="5"/>
        <v>0</v>
      </c>
    </row>
    <row r="22" spans="2:42" x14ac:dyDescent="0.2">
      <c r="B22" s="256"/>
      <c r="C22" s="256"/>
      <c r="D22" s="256" t="s">
        <v>10</v>
      </c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</row>
    <row r="23" spans="2:42" x14ac:dyDescent="0.2">
      <c r="B23" s="257" t="s">
        <v>462</v>
      </c>
      <c r="C23" s="257"/>
      <c r="D23" s="256">
        <v>1</v>
      </c>
      <c r="E23" s="256">
        <v>2</v>
      </c>
      <c r="F23" s="256">
        <v>3</v>
      </c>
      <c r="G23" s="256">
        <v>4</v>
      </c>
      <c r="H23" s="256">
        <v>5</v>
      </c>
      <c r="I23" s="256">
        <v>6</v>
      </c>
      <c r="J23" s="256">
        <v>7</v>
      </c>
      <c r="K23" s="256">
        <v>8</v>
      </c>
      <c r="L23" s="256">
        <v>9</v>
      </c>
      <c r="M23" s="256">
        <v>10</v>
      </c>
      <c r="N23" s="256">
        <v>11</v>
      </c>
      <c r="O23" s="256">
        <v>12</v>
      </c>
      <c r="P23" s="256">
        <v>13</v>
      </c>
      <c r="Q23" s="256">
        <v>14</v>
      </c>
      <c r="R23" s="256">
        <v>15</v>
      </c>
      <c r="S23" s="256">
        <v>16</v>
      </c>
      <c r="T23" s="256">
        <v>17</v>
      </c>
      <c r="U23" s="256">
        <v>18</v>
      </c>
      <c r="V23" s="256">
        <v>19</v>
      </c>
      <c r="W23" s="256">
        <v>20</v>
      </c>
      <c r="X23" s="256">
        <v>21</v>
      </c>
      <c r="Y23" s="256">
        <v>22</v>
      </c>
      <c r="Z23" s="256">
        <v>23</v>
      </c>
      <c r="AA23" s="256">
        <v>24</v>
      </c>
      <c r="AB23" s="256">
        <v>25</v>
      </c>
      <c r="AC23" s="256">
        <v>26</v>
      </c>
      <c r="AD23" s="256">
        <v>27</v>
      </c>
      <c r="AE23" s="256">
        <v>28</v>
      </c>
      <c r="AF23" s="256">
        <v>29</v>
      </c>
      <c r="AG23" s="256">
        <v>30</v>
      </c>
      <c r="AH23" s="256">
        <v>31</v>
      </c>
      <c r="AI23" s="256">
        <v>32</v>
      </c>
      <c r="AJ23" s="256">
        <v>33</v>
      </c>
      <c r="AK23" s="256">
        <v>34</v>
      </c>
      <c r="AL23" s="256">
        <v>35</v>
      </c>
      <c r="AM23" s="256">
        <v>36</v>
      </c>
      <c r="AN23" s="256">
        <v>37</v>
      </c>
      <c r="AO23" s="256">
        <v>38</v>
      </c>
      <c r="AP23" s="256">
        <v>39</v>
      </c>
    </row>
    <row r="24" spans="2:42" x14ac:dyDescent="0.2">
      <c r="B24" s="259" t="s">
        <v>63</v>
      </c>
      <c r="C24" s="260" t="s">
        <v>9</v>
      </c>
      <c r="D24" s="304">
        <f t="shared" ref="D24:AP24" si="6">D4</f>
        <v>2026</v>
      </c>
      <c r="E24" s="304">
        <f t="shared" si="6"/>
        <v>2027</v>
      </c>
      <c r="F24" s="304">
        <f t="shared" si="6"/>
        <v>2028</v>
      </c>
      <c r="G24" s="304">
        <f t="shared" si="6"/>
        <v>2029</v>
      </c>
      <c r="H24" s="304">
        <f t="shared" si="6"/>
        <v>2030</v>
      </c>
      <c r="I24" s="304">
        <f t="shared" si="6"/>
        <v>2031</v>
      </c>
      <c r="J24" s="304">
        <f t="shared" si="6"/>
        <v>2032</v>
      </c>
      <c r="K24" s="304">
        <f t="shared" si="6"/>
        <v>2033</v>
      </c>
      <c r="L24" s="304">
        <f t="shared" si="6"/>
        <v>2034</v>
      </c>
      <c r="M24" s="304">
        <f t="shared" si="6"/>
        <v>2035</v>
      </c>
      <c r="N24" s="304">
        <f t="shared" si="6"/>
        <v>2036</v>
      </c>
      <c r="O24" s="304">
        <f t="shared" si="6"/>
        <v>2037</v>
      </c>
      <c r="P24" s="304">
        <f t="shared" si="6"/>
        <v>2038</v>
      </c>
      <c r="Q24" s="304">
        <f t="shared" si="6"/>
        <v>2039</v>
      </c>
      <c r="R24" s="304">
        <f t="shared" si="6"/>
        <v>2040</v>
      </c>
      <c r="S24" s="304">
        <f t="shared" si="6"/>
        <v>2041</v>
      </c>
      <c r="T24" s="304">
        <f t="shared" si="6"/>
        <v>2042</v>
      </c>
      <c r="U24" s="304">
        <f t="shared" si="6"/>
        <v>2043</v>
      </c>
      <c r="V24" s="304">
        <f t="shared" si="6"/>
        <v>2044</v>
      </c>
      <c r="W24" s="304">
        <f t="shared" si="6"/>
        <v>2045</v>
      </c>
      <c r="X24" s="304">
        <f t="shared" si="6"/>
        <v>2046</v>
      </c>
      <c r="Y24" s="304">
        <f t="shared" si="6"/>
        <v>2047</v>
      </c>
      <c r="Z24" s="304">
        <f t="shared" si="6"/>
        <v>2048</v>
      </c>
      <c r="AA24" s="304">
        <f t="shared" si="6"/>
        <v>2049</v>
      </c>
      <c r="AB24" s="304">
        <f t="shared" si="6"/>
        <v>2050</v>
      </c>
      <c r="AC24" s="304">
        <f t="shared" si="6"/>
        <v>2051</v>
      </c>
      <c r="AD24" s="304">
        <f t="shared" si="6"/>
        <v>2052</v>
      </c>
      <c r="AE24" s="304">
        <f t="shared" si="6"/>
        <v>2053</v>
      </c>
      <c r="AF24" s="304">
        <f t="shared" si="6"/>
        <v>2054</v>
      </c>
      <c r="AG24" s="304">
        <f t="shared" si="6"/>
        <v>2055</v>
      </c>
      <c r="AH24" s="304">
        <f t="shared" si="6"/>
        <v>2056</v>
      </c>
      <c r="AI24" s="304">
        <f t="shared" si="6"/>
        <v>2057</v>
      </c>
      <c r="AJ24" s="304">
        <f t="shared" si="6"/>
        <v>2058</v>
      </c>
      <c r="AK24" s="304">
        <f t="shared" si="6"/>
        <v>2059</v>
      </c>
      <c r="AL24" s="304">
        <f t="shared" si="6"/>
        <v>2060</v>
      </c>
      <c r="AM24" s="304">
        <f t="shared" si="6"/>
        <v>2061</v>
      </c>
      <c r="AN24" s="304">
        <f t="shared" si="6"/>
        <v>2062</v>
      </c>
      <c r="AO24" s="304">
        <f t="shared" si="6"/>
        <v>2063</v>
      </c>
      <c r="AP24" s="304">
        <f t="shared" si="6"/>
        <v>2064</v>
      </c>
    </row>
    <row r="25" spans="2:42" x14ac:dyDescent="0.2">
      <c r="B25" s="256" t="s">
        <v>150</v>
      </c>
      <c r="C25" s="262">
        <f>SUM(D25:AP25)</f>
        <v>0</v>
      </c>
      <c r="D25" s="262">
        <f t="shared" ref="D25:AP28" si="7">D5-D15</f>
        <v>0</v>
      </c>
      <c r="E25" s="262">
        <f t="shared" si="7"/>
        <v>0</v>
      </c>
      <c r="F25" s="262">
        <f t="shared" si="7"/>
        <v>0</v>
      </c>
      <c r="G25" s="262">
        <f t="shared" si="7"/>
        <v>0</v>
      </c>
      <c r="H25" s="262">
        <f t="shared" si="7"/>
        <v>0</v>
      </c>
      <c r="I25" s="262">
        <f t="shared" si="7"/>
        <v>0</v>
      </c>
      <c r="J25" s="262">
        <f t="shared" si="7"/>
        <v>0</v>
      </c>
      <c r="K25" s="262">
        <f t="shared" si="7"/>
        <v>0</v>
      </c>
      <c r="L25" s="262">
        <f t="shared" si="7"/>
        <v>0</v>
      </c>
      <c r="M25" s="262">
        <f t="shared" si="7"/>
        <v>0</v>
      </c>
      <c r="N25" s="262">
        <f t="shared" si="7"/>
        <v>0</v>
      </c>
      <c r="O25" s="262">
        <f t="shared" si="7"/>
        <v>0</v>
      </c>
      <c r="P25" s="262">
        <f t="shared" si="7"/>
        <v>0</v>
      </c>
      <c r="Q25" s="262">
        <f t="shared" si="7"/>
        <v>0</v>
      </c>
      <c r="R25" s="262">
        <f t="shared" si="7"/>
        <v>0</v>
      </c>
      <c r="S25" s="262">
        <f t="shared" si="7"/>
        <v>0</v>
      </c>
      <c r="T25" s="262">
        <f t="shared" si="7"/>
        <v>0</v>
      </c>
      <c r="U25" s="262">
        <f t="shared" si="7"/>
        <v>0</v>
      </c>
      <c r="V25" s="262">
        <f t="shared" si="7"/>
        <v>0</v>
      </c>
      <c r="W25" s="262">
        <f t="shared" si="7"/>
        <v>0</v>
      </c>
      <c r="X25" s="262">
        <f t="shared" si="7"/>
        <v>0</v>
      </c>
      <c r="Y25" s="262">
        <f t="shared" si="7"/>
        <v>0</v>
      </c>
      <c r="Z25" s="262">
        <f t="shared" si="7"/>
        <v>0</v>
      </c>
      <c r="AA25" s="262">
        <f t="shared" si="7"/>
        <v>0</v>
      </c>
      <c r="AB25" s="262">
        <f t="shared" si="7"/>
        <v>0</v>
      </c>
      <c r="AC25" s="262">
        <f t="shared" si="7"/>
        <v>0</v>
      </c>
      <c r="AD25" s="262">
        <f t="shared" si="7"/>
        <v>0</v>
      </c>
      <c r="AE25" s="262">
        <f t="shared" si="7"/>
        <v>0</v>
      </c>
      <c r="AF25" s="262">
        <f t="shared" si="7"/>
        <v>0</v>
      </c>
      <c r="AG25" s="262">
        <f t="shared" si="7"/>
        <v>0</v>
      </c>
      <c r="AH25" s="262">
        <f t="shared" si="7"/>
        <v>0</v>
      </c>
      <c r="AI25" s="262">
        <f t="shared" si="7"/>
        <v>0</v>
      </c>
      <c r="AJ25" s="262">
        <f t="shared" si="7"/>
        <v>0</v>
      </c>
      <c r="AK25" s="262">
        <f t="shared" si="7"/>
        <v>0</v>
      </c>
      <c r="AL25" s="262">
        <f t="shared" si="7"/>
        <v>0</v>
      </c>
      <c r="AM25" s="262">
        <f t="shared" si="7"/>
        <v>0</v>
      </c>
      <c r="AN25" s="262">
        <f t="shared" si="7"/>
        <v>0</v>
      </c>
      <c r="AO25" s="262">
        <f t="shared" si="7"/>
        <v>0</v>
      </c>
      <c r="AP25" s="262">
        <f t="shared" si="7"/>
        <v>0</v>
      </c>
    </row>
    <row r="26" spans="2:42" x14ac:dyDescent="0.2">
      <c r="B26" s="256" t="s">
        <v>151</v>
      </c>
      <c r="C26" s="262">
        <f t="shared" ref="C26:C30" si="8">SUM(D26:AP26)</f>
        <v>0</v>
      </c>
      <c r="D26" s="262">
        <f t="shared" si="7"/>
        <v>0</v>
      </c>
      <c r="E26" s="262">
        <f t="shared" si="7"/>
        <v>0</v>
      </c>
      <c r="F26" s="262">
        <f t="shared" si="7"/>
        <v>0</v>
      </c>
      <c r="G26" s="262">
        <f t="shared" si="7"/>
        <v>0</v>
      </c>
      <c r="H26" s="262">
        <f t="shared" si="7"/>
        <v>0</v>
      </c>
      <c r="I26" s="262">
        <f t="shared" si="7"/>
        <v>0</v>
      </c>
      <c r="J26" s="262">
        <f t="shared" si="7"/>
        <v>0</v>
      </c>
      <c r="K26" s="262">
        <f t="shared" si="7"/>
        <v>0</v>
      </c>
      <c r="L26" s="262">
        <f t="shared" si="7"/>
        <v>0</v>
      </c>
      <c r="M26" s="262">
        <f t="shared" si="7"/>
        <v>0</v>
      </c>
      <c r="N26" s="262">
        <f t="shared" si="7"/>
        <v>0</v>
      </c>
      <c r="O26" s="262">
        <f t="shared" si="7"/>
        <v>0</v>
      </c>
      <c r="P26" s="262">
        <f t="shared" si="7"/>
        <v>0</v>
      </c>
      <c r="Q26" s="262">
        <f t="shared" si="7"/>
        <v>0</v>
      </c>
      <c r="R26" s="262">
        <f t="shared" si="7"/>
        <v>0</v>
      </c>
      <c r="S26" s="262">
        <f t="shared" si="7"/>
        <v>0</v>
      </c>
      <c r="T26" s="262">
        <f t="shared" si="7"/>
        <v>0</v>
      </c>
      <c r="U26" s="262">
        <f t="shared" si="7"/>
        <v>0</v>
      </c>
      <c r="V26" s="262">
        <f t="shared" si="7"/>
        <v>0</v>
      </c>
      <c r="W26" s="262">
        <f t="shared" si="7"/>
        <v>0</v>
      </c>
      <c r="X26" s="262">
        <f t="shared" si="7"/>
        <v>0</v>
      </c>
      <c r="Y26" s="262">
        <f t="shared" si="7"/>
        <v>0</v>
      </c>
      <c r="Z26" s="262">
        <f t="shared" si="7"/>
        <v>0</v>
      </c>
      <c r="AA26" s="262">
        <f t="shared" si="7"/>
        <v>0</v>
      </c>
      <c r="AB26" s="262">
        <f t="shared" si="7"/>
        <v>0</v>
      </c>
      <c r="AC26" s="262">
        <f t="shared" si="7"/>
        <v>0</v>
      </c>
      <c r="AD26" s="262">
        <f t="shared" si="7"/>
        <v>0</v>
      </c>
      <c r="AE26" s="262">
        <f t="shared" si="7"/>
        <v>0</v>
      </c>
      <c r="AF26" s="262">
        <f t="shared" si="7"/>
        <v>0</v>
      </c>
      <c r="AG26" s="262">
        <f t="shared" si="7"/>
        <v>0</v>
      </c>
      <c r="AH26" s="262">
        <f t="shared" si="7"/>
        <v>0</v>
      </c>
      <c r="AI26" s="262">
        <f t="shared" si="7"/>
        <v>0</v>
      </c>
      <c r="AJ26" s="262">
        <f t="shared" si="7"/>
        <v>0</v>
      </c>
      <c r="AK26" s="262">
        <f t="shared" si="7"/>
        <v>0</v>
      </c>
      <c r="AL26" s="262">
        <f t="shared" si="7"/>
        <v>0</v>
      </c>
      <c r="AM26" s="262">
        <f t="shared" si="7"/>
        <v>0</v>
      </c>
      <c r="AN26" s="262">
        <f t="shared" si="7"/>
        <v>0</v>
      </c>
      <c r="AO26" s="262">
        <f t="shared" si="7"/>
        <v>0</v>
      </c>
      <c r="AP26" s="262">
        <f t="shared" si="7"/>
        <v>0</v>
      </c>
    </row>
    <row r="27" spans="2:42" x14ac:dyDescent="0.2">
      <c r="B27" s="256" t="s">
        <v>152</v>
      </c>
      <c r="C27" s="262">
        <f t="shared" si="8"/>
        <v>0</v>
      </c>
      <c r="D27" s="262">
        <f t="shared" si="7"/>
        <v>0</v>
      </c>
      <c r="E27" s="262">
        <f t="shared" si="7"/>
        <v>0</v>
      </c>
      <c r="F27" s="262">
        <f t="shared" si="7"/>
        <v>0</v>
      </c>
      <c r="G27" s="262">
        <f t="shared" si="7"/>
        <v>0</v>
      </c>
      <c r="H27" s="262">
        <f t="shared" si="7"/>
        <v>0</v>
      </c>
      <c r="I27" s="262">
        <f t="shared" si="7"/>
        <v>0</v>
      </c>
      <c r="J27" s="262">
        <f t="shared" si="7"/>
        <v>0</v>
      </c>
      <c r="K27" s="262">
        <f t="shared" si="7"/>
        <v>0</v>
      </c>
      <c r="L27" s="262">
        <f t="shared" si="7"/>
        <v>0</v>
      </c>
      <c r="M27" s="262">
        <f t="shared" si="7"/>
        <v>0</v>
      </c>
      <c r="N27" s="262">
        <f t="shared" si="7"/>
        <v>0</v>
      </c>
      <c r="O27" s="262">
        <f t="shared" si="7"/>
        <v>0</v>
      </c>
      <c r="P27" s="262">
        <f t="shared" si="7"/>
        <v>0</v>
      </c>
      <c r="Q27" s="262">
        <f t="shared" si="7"/>
        <v>0</v>
      </c>
      <c r="R27" s="262">
        <f t="shared" si="7"/>
        <v>0</v>
      </c>
      <c r="S27" s="262">
        <f t="shared" si="7"/>
        <v>0</v>
      </c>
      <c r="T27" s="262">
        <f t="shared" si="7"/>
        <v>0</v>
      </c>
      <c r="U27" s="262">
        <f t="shared" si="7"/>
        <v>0</v>
      </c>
      <c r="V27" s="262">
        <f t="shared" si="7"/>
        <v>0</v>
      </c>
      <c r="W27" s="262">
        <f t="shared" si="7"/>
        <v>0</v>
      </c>
      <c r="X27" s="262">
        <f t="shared" si="7"/>
        <v>0</v>
      </c>
      <c r="Y27" s="262">
        <f t="shared" si="7"/>
        <v>0</v>
      </c>
      <c r="Z27" s="262">
        <f t="shared" si="7"/>
        <v>0</v>
      </c>
      <c r="AA27" s="262">
        <f t="shared" si="7"/>
        <v>0</v>
      </c>
      <c r="AB27" s="262">
        <f t="shared" si="7"/>
        <v>0</v>
      </c>
      <c r="AC27" s="262">
        <f t="shared" si="7"/>
        <v>0</v>
      </c>
      <c r="AD27" s="262">
        <f t="shared" si="7"/>
        <v>0</v>
      </c>
      <c r="AE27" s="262">
        <f t="shared" si="7"/>
        <v>0</v>
      </c>
      <c r="AF27" s="262">
        <f t="shared" si="7"/>
        <v>0</v>
      </c>
      <c r="AG27" s="262">
        <f t="shared" si="7"/>
        <v>0</v>
      </c>
      <c r="AH27" s="262">
        <f t="shared" si="7"/>
        <v>0</v>
      </c>
      <c r="AI27" s="262">
        <f t="shared" si="7"/>
        <v>0</v>
      </c>
      <c r="AJ27" s="262">
        <f t="shared" si="7"/>
        <v>0</v>
      </c>
      <c r="AK27" s="262">
        <f t="shared" si="7"/>
        <v>0</v>
      </c>
      <c r="AL27" s="262">
        <f t="shared" si="7"/>
        <v>0</v>
      </c>
      <c r="AM27" s="262">
        <f t="shared" si="7"/>
        <v>0</v>
      </c>
      <c r="AN27" s="262">
        <f t="shared" si="7"/>
        <v>0</v>
      </c>
      <c r="AO27" s="262">
        <f t="shared" si="7"/>
        <v>0</v>
      </c>
      <c r="AP27" s="262">
        <f t="shared" si="7"/>
        <v>0</v>
      </c>
    </row>
    <row r="28" spans="2:42" x14ac:dyDescent="0.2">
      <c r="B28" s="256" t="s">
        <v>602</v>
      </c>
      <c r="C28" s="262">
        <f t="shared" si="8"/>
        <v>0</v>
      </c>
      <c r="D28" s="262">
        <f>D8-D18</f>
        <v>0</v>
      </c>
      <c r="E28" s="262">
        <f t="shared" si="7"/>
        <v>0</v>
      </c>
      <c r="F28" s="262">
        <f t="shared" si="7"/>
        <v>0</v>
      </c>
      <c r="G28" s="262">
        <f t="shared" si="7"/>
        <v>0</v>
      </c>
      <c r="H28" s="262">
        <f t="shared" si="7"/>
        <v>0</v>
      </c>
      <c r="I28" s="262">
        <f t="shared" si="7"/>
        <v>0</v>
      </c>
      <c r="J28" s="262">
        <f t="shared" si="7"/>
        <v>0</v>
      </c>
      <c r="K28" s="262">
        <f t="shared" si="7"/>
        <v>0</v>
      </c>
      <c r="L28" s="262">
        <f t="shared" si="7"/>
        <v>0</v>
      </c>
      <c r="M28" s="262">
        <f t="shared" si="7"/>
        <v>0</v>
      </c>
      <c r="N28" s="262">
        <f t="shared" si="7"/>
        <v>0</v>
      </c>
      <c r="O28" s="262">
        <f t="shared" si="7"/>
        <v>0</v>
      </c>
      <c r="P28" s="262">
        <f t="shared" si="7"/>
        <v>0</v>
      </c>
      <c r="Q28" s="262">
        <f t="shared" si="7"/>
        <v>0</v>
      </c>
      <c r="R28" s="262">
        <f t="shared" si="7"/>
        <v>0</v>
      </c>
      <c r="S28" s="262">
        <f t="shared" si="7"/>
        <v>0</v>
      </c>
      <c r="T28" s="262">
        <f t="shared" si="7"/>
        <v>0</v>
      </c>
      <c r="U28" s="262">
        <f t="shared" si="7"/>
        <v>0</v>
      </c>
      <c r="V28" s="262">
        <f t="shared" si="7"/>
        <v>0</v>
      </c>
      <c r="W28" s="262">
        <f t="shared" si="7"/>
        <v>0</v>
      </c>
      <c r="X28" s="262">
        <f t="shared" si="7"/>
        <v>0</v>
      </c>
      <c r="Y28" s="262">
        <f t="shared" si="7"/>
        <v>0</v>
      </c>
      <c r="Z28" s="262">
        <f t="shared" si="7"/>
        <v>0</v>
      </c>
      <c r="AA28" s="262">
        <f t="shared" si="7"/>
        <v>0</v>
      </c>
      <c r="AB28" s="262">
        <f t="shared" si="7"/>
        <v>0</v>
      </c>
      <c r="AC28" s="262">
        <f t="shared" si="7"/>
        <v>0</v>
      </c>
      <c r="AD28" s="262">
        <f t="shared" si="7"/>
        <v>0</v>
      </c>
      <c r="AE28" s="262">
        <f t="shared" si="7"/>
        <v>0</v>
      </c>
      <c r="AF28" s="262">
        <f t="shared" si="7"/>
        <v>0</v>
      </c>
      <c r="AG28" s="262">
        <f t="shared" si="7"/>
        <v>0</v>
      </c>
      <c r="AH28" s="262">
        <f t="shared" si="7"/>
        <v>0</v>
      </c>
      <c r="AI28" s="262">
        <f t="shared" si="7"/>
        <v>0</v>
      </c>
      <c r="AJ28" s="262">
        <f t="shared" si="7"/>
        <v>0</v>
      </c>
      <c r="AK28" s="262">
        <f t="shared" si="7"/>
        <v>0</v>
      </c>
      <c r="AL28" s="262">
        <f t="shared" si="7"/>
        <v>0</v>
      </c>
      <c r="AM28" s="262">
        <f t="shared" si="7"/>
        <v>0</v>
      </c>
      <c r="AN28" s="262">
        <f t="shared" si="7"/>
        <v>0</v>
      </c>
      <c r="AO28" s="262">
        <f t="shared" si="7"/>
        <v>0</v>
      </c>
      <c r="AP28" s="262">
        <f t="shared" si="7"/>
        <v>0</v>
      </c>
    </row>
    <row r="29" spans="2:42" x14ac:dyDescent="0.2">
      <c r="B29" s="266" t="s">
        <v>59</v>
      </c>
      <c r="C29" s="271">
        <f t="shared" si="8"/>
        <v>0</v>
      </c>
      <c r="D29" s="271">
        <f>SUM(D25:D28)</f>
        <v>0</v>
      </c>
      <c r="E29" s="271">
        <f t="shared" ref="E29:AP29" si="9">SUM(E25:E28)</f>
        <v>0</v>
      </c>
      <c r="F29" s="271">
        <f t="shared" si="9"/>
        <v>0</v>
      </c>
      <c r="G29" s="271">
        <f t="shared" si="9"/>
        <v>0</v>
      </c>
      <c r="H29" s="271">
        <f t="shared" si="9"/>
        <v>0</v>
      </c>
      <c r="I29" s="271">
        <f t="shared" si="9"/>
        <v>0</v>
      </c>
      <c r="J29" s="271">
        <f t="shared" si="9"/>
        <v>0</v>
      </c>
      <c r="K29" s="271">
        <f t="shared" si="9"/>
        <v>0</v>
      </c>
      <c r="L29" s="271">
        <f t="shared" si="9"/>
        <v>0</v>
      </c>
      <c r="M29" s="271">
        <f t="shared" si="9"/>
        <v>0</v>
      </c>
      <c r="N29" s="271">
        <f t="shared" si="9"/>
        <v>0</v>
      </c>
      <c r="O29" s="271">
        <f t="shared" si="9"/>
        <v>0</v>
      </c>
      <c r="P29" s="271">
        <f t="shared" si="9"/>
        <v>0</v>
      </c>
      <c r="Q29" s="271">
        <f t="shared" si="9"/>
        <v>0</v>
      </c>
      <c r="R29" s="271">
        <f t="shared" si="9"/>
        <v>0</v>
      </c>
      <c r="S29" s="271">
        <f t="shared" si="9"/>
        <v>0</v>
      </c>
      <c r="T29" s="271">
        <f t="shared" si="9"/>
        <v>0</v>
      </c>
      <c r="U29" s="271">
        <f t="shared" si="9"/>
        <v>0</v>
      </c>
      <c r="V29" s="271">
        <f t="shared" si="9"/>
        <v>0</v>
      </c>
      <c r="W29" s="271">
        <f t="shared" si="9"/>
        <v>0</v>
      </c>
      <c r="X29" s="271">
        <f t="shared" si="9"/>
        <v>0</v>
      </c>
      <c r="Y29" s="271">
        <f t="shared" si="9"/>
        <v>0</v>
      </c>
      <c r="Z29" s="271">
        <f t="shared" si="9"/>
        <v>0</v>
      </c>
      <c r="AA29" s="271">
        <f t="shared" si="9"/>
        <v>0</v>
      </c>
      <c r="AB29" s="271">
        <f t="shared" si="9"/>
        <v>0</v>
      </c>
      <c r="AC29" s="271">
        <f t="shared" si="9"/>
        <v>0</v>
      </c>
      <c r="AD29" s="271">
        <f t="shared" si="9"/>
        <v>0</v>
      </c>
      <c r="AE29" s="271">
        <f t="shared" si="9"/>
        <v>0</v>
      </c>
      <c r="AF29" s="271">
        <f t="shared" si="9"/>
        <v>0</v>
      </c>
      <c r="AG29" s="271">
        <f t="shared" si="9"/>
        <v>0</v>
      </c>
      <c r="AH29" s="271">
        <f t="shared" si="9"/>
        <v>0</v>
      </c>
      <c r="AI29" s="271">
        <f t="shared" si="9"/>
        <v>0</v>
      </c>
      <c r="AJ29" s="271">
        <f t="shared" si="9"/>
        <v>0</v>
      </c>
      <c r="AK29" s="271">
        <f t="shared" si="9"/>
        <v>0</v>
      </c>
      <c r="AL29" s="271">
        <f t="shared" si="9"/>
        <v>0</v>
      </c>
      <c r="AM29" s="271">
        <f t="shared" si="9"/>
        <v>0</v>
      </c>
      <c r="AN29" s="271">
        <f t="shared" si="9"/>
        <v>0</v>
      </c>
      <c r="AO29" s="271">
        <f t="shared" si="9"/>
        <v>0</v>
      </c>
      <c r="AP29" s="271">
        <f t="shared" si="9"/>
        <v>0</v>
      </c>
    </row>
    <row r="30" spans="2:42" ht="10.35" customHeight="1" x14ac:dyDescent="0.2">
      <c r="B30" s="256" t="s">
        <v>412</v>
      </c>
      <c r="C30" s="262">
        <f t="shared" si="8"/>
        <v>0</v>
      </c>
      <c r="D30" s="262">
        <f>(D25*'Parametre EMU550'!$C$117)+(D26*'Parametre EMU550'!$D$117)+(D27*'Parametre EMU550'!$E$117)+(D28*'Parametre EMU550'!$C$117)</f>
        <v>0</v>
      </c>
      <c r="E30" s="262">
        <f>(E25*'Parametre EMU550'!$C$117)+(E26*'Parametre EMU550'!$D$117)+(E27*'Parametre EMU550'!$E$117)+(E28*'Parametre EMU550'!$C$117)</f>
        <v>0</v>
      </c>
      <c r="F30" s="262">
        <f>(F25*'Parametre EMU550'!$C$117)+(F26*'Parametre EMU550'!$D$117)+(F27*'Parametre EMU550'!$E$117)+(F28*'Parametre EMU550'!$C$117)</f>
        <v>0</v>
      </c>
      <c r="G30" s="262">
        <f>(G25*'Parametre EMU550'!$C$117)+(G26*'Parametre EMU550'!$D$117)+(G27*'Parametre EMU550'!$E$117)+(G28*'Parametre EMU550'!$C$117)</f>
        <v>0</v>
      </c>
      <c r="H30" s="262">
        <f>(H25*'Parametre EMU550'!$C$117)+(H26*'Parametre EMU550'!$D$117)+(H27*'Parametre EMU550'!$E$117)+(H28*'Parametre EMU550'!$C$117)</f>
        <v>0</v>
      </c>
      <c r="I30" s="262">
        <f>(I25*'Parametre EMU550'!$C$117)+(I26*'Parametre EMU550'!$D$117)+(I27*'Parametre EMU550'!$E$117)+(I28*'Parametre EMU550'!$C$117)</f>
        <v>0</v>
      </c>
      <c r="J30" s="262">
        <f>(J25*'Parametre EMU550'!$C$117)+(J26*'Parametre EMU550'!$D$117)+(J27*'Parametre EMU550'!$E$117)+(J28*'Parametre EMU550'!$C$117)</f>
        <v>0</v>
      </c>
      <c r="K30" s="262">
        <f>(K25*'Parametre EMU550'!$C$117)+(K26*'Parametre EMU550'!$D$117)+(K27*'Parametre EMU550'!$E$117)+(K28*'Parametre EMU550'!$C$117)</f>
        <v>0</v>
      </c>
      <c r="L30" s="262">
        <f>(L25*'Parametre EMU550'!$C$117)+(L26*'Parametre EMU550'!$D$117)+(L27*'Parametre EMU550'!$E$117)+(L28*'Parametre EMU550'!$C$117)</f>
        <v>0</v>
      </c>
      <c r="M30" s="262">
        <f>(M25*'Parametre EMU550'!$C$117)+(M26*'Parametre EMU550'!$D$117)+(M27*'Parametre EMU550'!$E$117)+(M28*'Parametre EMU550'!$C$117)</f>
        <v>0</v>
      </c>
      <c r="N30" s="262">
        <f>(N25*'Parametre EMU550'!$C$117)+(N26*'Parametre EMU550'!$D$117)+(N27*'Parametre EMU550'!$E$117)+(N28*'Parametre EMU550'!$C$117)</f>
        <v>0</v>
      </c>
      <c r="O30" s="262">
        <f>(O25*'Parametre EMU550'!$C$117)+(O26*'Parametre EMU550'!$D$117)+(O27*'Parametre EMU550'!$E$117)+(O28*'Parametre EMU550'!$C$117)</f>
        <v>0</v>
      </c>
      <c r="P30" s="262">
        <f>(P25*'Parametre EMU550'!$C$117)+(P26*'Parametre EMU550'!$D$117)+(P27*'Parametre EMU550'!$E$117)+(P28*'Parametre EMU550'!$C$117)</f>
        <v>0</v>
      </c>
      <c r="Q30" s="262">
        <f>(Q25*'Parametre EMU550'!$C$117)+(Q26*'Parametre EMU550'!$D$117)+(Q27*'Parametre EMU550'!$E$117)+(Q28*'Parametre EMU550'!$C$117)</f>
        <v>0</v>
      </c>
      <c r="R30" s="262">
        <f>(R25*'Parametre EMU550'!$C$117)+(R26*'Parametre EMU550'!$D$117)+(R27*'Parametre EMU550'!$E$117)+(R28*'Parametre EMU550'!$C$117)</f>
        <v>0</v>
      </c>
      <c r="S30" s="262">
        <f>(S25*'Parametre EMU550'!$C$117)+(S26*'Parametre EMU550'!$D$117)+(S27*'Parametre EMU550'!$E$117)+(S28*'Parametre EMU550'!$C$117)</f>
        <v>0</v>
      </c>
      <c r="T30" s="262">
        <f>(T25*'Parametre EMU550'!$C$117)+(T26*'Parametre EMU550'!$D$117)+(T27*'Parametre EMU550'!$E$117)+(T28*'Parametre EMU550'!$C$117)</f>
        <v>0</v>
      </c>
      <c r="U30" s="262">
        <f>(U25*'Parametre EMU550'!$C$117)+(U26*'Parametre EMU550'!$D$117)+(U27*'Parametre EMU550'!$E$117)+(U28*'Parametre EMU550'!$C$117)</f>
        <v>0</v>
      </c>
      <c r="V30" s="262">
        <f>(V25*'Parametre EMU550'!$C$117)+(V26*'Parametre EMU550'!$D$117)+(V27*'Parametre EMU550'!$E$117)+(V28*'Parametre EMU550'!$C$117)</f>
        <v>0</v>
      </c>
      <c r="W30" s="262">
        <f>(W25*'Parametre EMU550'!$C$117)+(W26*'Parametre EMU550'!$D$117)+(W27*'Parametre EMU550'!$E$117)+(W28*'Parametre EMU550'!$C$117)</f>
        <v>0</v>
      </c>
      <c r="X30" s="262">
        <f>(X25*'Parametre EMU550'!$C$117)+(X26*'Parametre EMU550'!$D$117)+(X27*'Parametre EMU550'!$E$117)+(X28*'Parametre EMU550'!$C$117)</f>
        <v>0</v>
      </c>
      <c r="Y30" s="262">
        <f>(Y25*'Parametre EMU550'!$C$117)+(Y26*'Parametre EMU550'!$D$117)+(Y27*'Parametre EMU550'!$E$117)+(Y28*'Parametre EMU550'!$C$117)</f>
        <v>0</v>
      </c>
      <c r="Z30" s="262">
        <f>(Z25*'Parametre EMU550'!$C$117)+(Z26*'Parametre EMU550'!$D$117)+(Z27*'Parametre EMU550'!$E$117)+(Z28*'Parametre EMU550'!$C$117)</f>
        <v>0</v>
      </c>
      <c r="AA30" s="262">
        <f>(AA25*'Parametre EMU550'!$C$117)+(AA26*'Parametre EMU550'!$D$117)+(AA27*'Parametre EMU550'!$E$117)+(AA28*'Parametre EMU550'!$C$117)</f>
        <v>0</v>
      </c>
      <c r="AB30" s="262">
        <f>(AB25*'Parametre EMU550'!$C$117)+(AB26*'Parametre EMU550'!$D$117)+(AB27*'Parametre EMU550'!$E$117)+(AB28*'Parametre EMU550'!$C$117)</f>
        <v>0</v>
      </c>
      <c r="AC30" s="262">
        <f>(AC25*'Parametre EMU550'!$C$117)+(AC26*'Parametre EMU550'!$D$117)+(AC27*'Parametre EMU550'!$E$117)+(AC28*'Parametre EMU550'!$C$117)</f>
        <v>0</v>
      </c>
      <c r="AD30" s="262">
        <f>(AD25*'Parametre EMU550'!$C$117)+(AD26*'Parametre EMU550'!$D$117)+(AD27*'Parametre EMU550'!$E$117)+(AD28*'Parametre EMU550'!$C$117)</f>
        <v>0</v>
      </c>
      <c r="AE30" s="262">
        <f>(AE25*'Parametre EMU550'!$C$117)+(AE26*'Parametre EMU550'!$D$117)+(AE27*'Parametre EMU550'!$E$117)+(AE28*'Parametre EMU550'!$C$117)</f>
        <v>0</v>
      </c>
      <c r="AF30" s="262">
        <f>(AF25*'Parametre EMU550'!$C$117)+(AF26*'Parametre EMU550'!$D$117)+(AF27*'Parametre EMU550'!$E$117)+(AF28*'Parametre EMU550'!$C$117)</f>
        <v>0</v>
      </c>
      <c r="AG30" s="262">
        <f>(AG25*'Parametre EMU550'!$C$117)+(AG26*'Parametre EMU550'!$D$117)+(AG27*'Parametre EMU550'!$E$117)+(AG28*'Parametre EMU550'!$C$117)</f>
        <v>0</v>
      </c>
      <c r="AH30" s="262">
        <f>(AH25*'Parametre EMU550'!$C$117)+(AH26*'Parametre EMU550'!$D$117)+(AH27*'Parametre EMU550'!$E$117)+(AH28*'Parametre EMU550'!$C$117)</f>
        <v>0</v>
      </c>
      <c r="AI30" s="262">
        <f>(AI25*'Parametre EMU550'!$C$117)+(AI26*'Parametre EMU550'!$D$117)+(AI27*'Parametre EMU550'!$E$117)+(AI28*'Parametre EMU550'!$C$117)</f>
        <v>0</v>
      </c>
      <c r="AJ30" s="262">
        <f>(AJ25*'Parametre EMU550'!$C$117)+(AJ26*'Parametre EMU550'!$D$117)+(AJ27*'Parametre EMU550'!$E$117)+(AJ28*'Parametre EMU550'!$C$117)</f>
        <v>0</v>
      </c>
      <c r="AK30" s="262">
        <f>(AK25*'Parametre EMU550'!$C$117)+(AK26*'Parametre EMU550'!$D$117)+(AK27*'Parametre EMU550'!$E$117)+(AK28*'Parametre EMU550'!$C$117)</f>
        <v>0</v>
      </c>
      <c r="AL30" s="262">
        <f>(AL25*'Parametre EMU550'!$C$117)+(AL26*'Parametre EMU550'!$D$117)+(AL27*'Parametre EMU550'!$E$117)+(AL28*'Parametre EMU550'!$C$117)</f>
        <v>0</v>
      </c>
      <c r="AM30" s="262">
        <f>(AM25*'Parametre EMU550'!$C$117)+(AM26*'Parametre EMU550'!$D$117)+(AM27*'Parametre EMU550'!$E$117)+(AM28*'Parametre EMU550'!$C$117)</f>
        <v>0</v>
      </c>
      <c r="AN30" s="262">
        <f>(AN25*'Parametre EMU550'!$C$117)+(AN26*'Parametre EMU550'!$D$117)+(AN27*'Parametre EMU550'!$E$117)+(AN28*'Parametre EMU550'!$C$117)</f>
        <v>0</v>
      </c>
      <c r="AO30" s="262">
        <f>(AO25*'Parametre EMU550'!$C$117)+(AO26*'Parametre EMU550'!$D$117)+(AO27*'Parametre EMU550'!$E$117)+(AO28*'Parametre EMU550'!$C$117)</f>
        <v>0</v>
      </c>
      <c r="AP30" s="262">
        <f>(AP25*'Parametre EMU550'!$C$117)+(AP26*'Parametre EMU550'!$D$117)+(AP27*'Parametre EMU550'!$E$117)+(AP28*'Parametre EMU550'!$C$117)</f>
        <v>0</v>
      </c>
    </row>
    <row r="32" spans="2:42" x14ac:dyDescent="0.2">
      <c r="B32" s="272"/>
      <c r="C32" s="256"/>
      <c r="D32" s="256" t="s">
        <v>10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</row>
    <row r="33" spans="2:42" x14ac:dyDescent="0.2">
      <c r="B33" s="735" t="s">
        <v>463</v>
      </c>
      <c r="C33" s="257"/>
      <c r="D33" s="256">
        <v>1</v>
      </c>
      <c r="E33" s="256">
        <v>2</v>
      </c>
      <c r="F33" s="256">
        <v>3</v>
      </c>
      <c r="G33" s="256">
        <v>4</v>
      </c>
      <c r="H33" s="256">
        <v>5</v>
      </c>
      <c r="I33" s="256">
        <v>6</v>
      </c>
      <c r="J33" s="256">
        <v>7</v>
      </c>
      <c r="K33" s="256">
        <v>8</v>
      </c>
      <c r="L33" s="256">
        <v>9</v>
      </c>
      <c r="M33" s="256">
        <v>10</v>
      </c>
      <c r="N33" s="256">
        <v>11</v>
      </c>
      <c r="O33" s="256">
        <v>12</v>
      </c>
      <c r="P33" s="256">
        <v>13</v>
      </c>
      <c r="Q33" s="256">
        <v>14</v>
      </c>
      <c r="R33" s="256">
        <v>15</v>
      </c>
      <c r="S33" s="256">
        <v>16</v>
      </c>
      <c r="T33" s="256">
        <v>17</v>
      </c>
      <c r="U33" s="256">
        <v>18</v>
      </c>
      <c r="V33" s="256">
        <v>19</v>
      </c>
      <c r="W33" s="256">
        <v>20</v>
      </c>
      <c r="X33" s="256">
        <v>21</v>
      </c>
      <c r="Y33" s="256">
        <v>22</v>
      </c>
      <c r="Z33" s="256">
        <v>23</v>
      </c>
      <c r="AA33" s="256">
        <v>24</v>
      </c>
      <c r="AB33" s="256">
        <v>25</v>
      </c>
      <c r="AC33" s="256">
        <v>26</v>
      </c>
      <c r="AD33" s="256">
        <v>27</v>
      </c>
      <c r="AE33" s="256">
        <v>28</v>
      </c>
      <c r="AF33" s="256">
        <v>29</v>
      </c>
      <c r="AG33" s="256">
        <v>30</v>
      </c>
      <c r="AH33" s="256">
        <v>31</v>
      </c>
      <c r="AI33" s="256">
        <v>32</v>
      </c>
      <c r="AJ33" s="256">
        <v>33</v>
      </c>
      <c r="AK33" s="256">
        <v>34</v>
      </c>
      <c r="AL33" s="256">
        <v>35</v>
      </c>
      <c r="AM33" s="256">
        <v>36</v>
      </c>
      <c r="AN33" s="256">
        <v>37</v>
      </c>
      <c r="AO33" s="256">
        <v>38</v>
      </c>
      <c r="AP33" s="256">
        <v>39</v>
      </c>
    </row>
    <row r="34" spans="2:42" x14ac:dyDescent="0.2">
      <c r="B34" s="736"/>
      <c r="C34" s="260" t="s">
        <v>9</v>
      </c>
      <c r="D34" s="304">
        <f>D4</f>
        <v>2026</v>
      </c>
      <c r="E34" s="304">
        <f t="shared" ref="E34:AP34" si="10">E4</f>
        <v>2027</v>
      </c>
      <c r="F34" s="304">
        <f t="shared" si="10"/>
        <v>2028</v>
      </c>
      <c r="G34" s="304">
        <f t="shared" si="10"/>
        <v>2029</v>
      </c>
      <c r="H34" s="304">
        <f t="shared" si="10"/>
        <v>2030</v>
      </c>
      <c r="I34" s="304">
        <f t="shared" si="10"/>
        <v>2031</v>
      </c>
      <c r="J34" s="304">
        <f t="shared" si="10"/>
        <v>2032</v>
      </c>
      <c r="K34" s="304">
        <f t="shared" si="10"/>
        <v>2033</v>
      </c>
      <c r="L34" s="304">
        <f t="shared" si="10"/>
        <v>2034</v>
      </c>
      <c r="M34" s="304">
        <f t="shared" si="10"/>
        <v>2035</v>
      </c>
      <c r="N34" s="304">
        <f t="shared" si="10"/>
        <v>2036</v>
      </c>
      <c r="O34" s="304">
        <f t="shared" si="10"/>
        <v>2037</v>
      </c>
      <c r="P34" s="304">
        <f t="shared" si="10"/>
        <v>2038</v>
      </c>
      <c r="Q34" s="304">
        <f t="shared" si="10"/>
        <v>2039</v>
      </c>
      <c r="R34" s="304">
        <f t="shared" si="10"/>
        <v>2040</v>
      </c>
      <c r="S34" s="304">
        <f t="shared" si="10"/>
        <v>2041</v>
      </c>
      <c r="T34" s="304">
        <f t="shared" si="10"/>
        <v>2042</v>
      </c>
      <c r="U34" s="304">
        <f t="shared" si="10"/>
        <v>2043</v>
      </c>
      <c r="V34" s="304">
        <f t="shared" si="10"/>
        <v>2044</v>
      </c>
      <c r="W34" s="304">
        <f t="shared" si="10"/>
        <v>2045</v>
      </c>
      <c r="X34" s="304">
        <f t="shared" si="10"/>
        <v>2046</v>
      </c>
      <c r="Y34" s="304">
        <f t="shared" si="10"/>
        <v>2047</v>
      </c>
      <c r="Z34" s="304">
        <f t="shared" si="10"/>
        <v>2048</v>
      </c>
      <c r="AA34" s="304">
        <f t="shared" si="10"/>
        <v>2049</v>
      </c>
      <c r="AB34" s="304">
        <f t="shared" si="10"/>
        <v>2050</v>
      </c>
      <c r="AC34" s="304">
        <f t="shared" si="10"/>
        <v>2051</v>
      </c>
      <c r="AD34" s="304">
        <f t="shared" si="10"/>
        <v>2052</v>
      </c>
      <c r="AE34" s="304">
        <f t="shared" si="10"/>
        <v>2053</v>
      </c>
      <c r="AF34" s="304">
        <f t="shared" si="10"/>
        <v>2054</v>
      </c>
      <c r="AG34" s="304">
        <f t="shared" si="10"/>
        <v>2055</v>
      </c>
      <c r="AH34" s="304">
        <f t="shared" si="10"/>
        <v>2056</v>
      </c>
      <c r="AI34" s="304">
        <f t="shared" si="10"/>
        <v>2057</v>
      </c>
      <c r="AJ34" s="304">
        <f t="shared" si="10"/>
        <v>2058</v>
      </c>
      <c r="AK34" s="304">
        <f t="shared" si="10"/>
        <v>2059</v>
      </c>
      <c r="AL34" s="304">
        <f t="shared" si="10"/>
        <v>2060</v>
      </c>
      <c r="AM34" s="304">
        <f t="shared" si="10"/>
        <v>2061</v>
      </c>
      <c r="AN34" s="304">
        <f t="shared" si="10"/>
        <v>2062</v>
      </c>
      <c r="AO34" s="304">
        <f t="shared" si="10"/>
        <v>2063</v>
      </c>
      <c r="AP34" s="304">
        <f t="shared" si="10"/>
        <v>2064</v>
      </c>
    </row>
    <row r="35" spans="2:42" x14ac:dyDescent="0.2">
      <c r="B35" s="273" t="s">
        <v>59</v>
      </c>
      <c r="C35" s="274">
        <f>SUM(D35:AP35)</f>
        <v>0</v>
      </c>
      <c r="D35" s="275">
        <f>D30*'Parametre EMU550'!C121/1000</f>
        <v>0</v>
      </c>
      <c r="E35" s="275">
        <f>E30*'Parametre EMU550'!D121/1000</f>
        <v>0</v>
      </c>
      <c r="F35" s="275">
        <f>F30*'Parametre EMU550'!E121/1000</f>
        <v>0</v>
      </c>
      <c r="G35" s="275">
        <f>G30*'Parametre EMU550'!F121/1000</f>
        <v>0</v>
      </c>
      <c r="H35" s="275">
        <f>H30*'Parametre EMU550'!G121/1000</f>
        <v>0</v>
      </c>
      <c r="I35" s="275">
        <f>I30*'Parametre EMU550'!H121/1000</f>
        <v>0</v>
      </c>
      <c r="J35" s="275">
        <f>J30*'Parametre EMU550'!I121/1000</f>
        <v>0</v>
      </c>
      <c r="K35" s="275">
        <f>K30*'Parametre EMU550'!J121/1000</f>
        <v>0</v>
      </c>
      <c r="L35" s="275">
        <f>L30*'Parametre EMU550'!K121/1000</f>
        <v>0</v>
      </c>
      <c r="M35" s="275">
        <f>M30*'Parametre EMU550'!L121/1000</f>
        <v>0</v>
      </c>
      <c r="N35" s="275">
        <f>N30*'Parametre EMU550'!M121/1000</f>
        <v>0</v>
      </c>
      <c r="O35" s="275">
        <f>O30*'Parametre EMU550'!N121/1000</f>
        <v>0</v>
      </c>
      <c r="P35" s="275">
        <f>P30*'Parametre EMU550'!O121/1000</f>
        <v>0</v>
      </c>
      <c r="Q35" s="275">
        <f>Q30*'Parametre EMU550'!P121/1000</f>
        <v>0</v>
      </c>
      <c r="R35" s="275">
        <f>R30*'Parametre EMU550'!Q121/1000</f>
        <v>0</v>
      </c>
      <c r="S35" s="275">
        <f>S30*'Parametre EMU550'!R121/1000</f>
        <v>0</v>
      </c>
      <c r="T35" s="275">
        <f>T30*'Parametre EMU550'!S121/1000</f>
        <v>0</v>
      </c>
      <c r="U35" s="275">
        <f>U30*'Parametre EMU550'!T121/1000</f>
        <v>0</v>
      </c>
      <c r="V35" s="275">
        <f>V30*'Parametre EMU550'!U121/1000</f>
        <v>0</v>
      </c>
      <c r="W35" s="275">
        <f>W30*'Parametre EMU550'!V121/1000</f>
        <v>0</v>
      </c>
      <c r="X35" s="275">
        <f>X30*'Parametre EMU550'!W121/1000</f>
        <v>0</v>
      </c>
      <c r="Y35" s="275">
        <f>Y30*'Parametre EMU550'!X121/1000</f>
        <v>0</v>
      </c>
      <c r="Z35" s="275">
        <f>Z30*'Parametre EMU550'!Y121/1000</f>
        <v>0</v>
      </c>
      <c r="AA35" s="275">
        <f>AA30*'Parametre EMU550'!Z121/1000</f>
        <v>0</v>
      </c>
      <c r="AB35" s="275">
        <f>AB30*'Parametre EMU550'!AA121/1000</f>
        <v>0</v>
      </c>
      <c r="AC35" s="275">
        <f>AC30*'Parametre EMU550'!AB121/1000</f>
        <v>0</v>
      </c>
      <c r="AD35" s="275">
        <f>AD30*'Parametre EMU550'!AC121/1000</f>
        <v>0</v>
      </c>
      <c r="AE35" s="275">
        <f>AE30*'Parametre EMU550'!AD121/1000</f>
        <v>0</v>
      </c>
      <c r="AF35" s="275">
        <f>AF30*'Parametre EMU550'!AE121/1000</f>
        <v>0</v>
      </c>
      <c r="AG35" s="275">
        <f>AG30*'Parametre EMU550'!AF121/1000</f>
        <v>0</v>
      </c>
      <c r="AH35" s="275">
        <f>AH30*'Parametre EMU550'!AG121/1000</f>
        <v>0</v>
      </c>
      <c r="AI35" s="275">
        <f>AI30*'Parametre EMU550'!AH121/1000</f>
        <v>0</v>
      </c>
      <c r="AJ35" s="275">
        <f>AJ30*'Parametre EMU550'!AI121/1000</f>
        <v>0</v>
      </c>
      <c r="AK35" s="275">
        <f>AK30*'Parametre EMU550'!AJ121/1000</f>
        <v>0</v>
      </c>
      <c r="AL35" s="275">
        <f>AL30*'Parametre EMU550'!AK121/1000</f>
        <v>0</v>
      </c>
      <c r="AM35" s="275">
        <f>AM30*'Parametre EMU550'!AL121/1000</f>
        <v>0</v>
      </c>
      <c r="AN35" s="275">
        <f>AN30*'Parametre EMU550'!AM121/1000</f>
        <v>0</v>
      </c>
      <c r="AO35" s="275">
        <f>AO30*'Parametre EMU550'!AN121/1000</f>
        <v>0</v>
      </c>
      <c r="AP35" s="275">
        <f>AP30*'Parametre EMU550'!AO121/1000</f>
        <v>0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B978-57A8-4B2D-B72F-52869C336936}">
  <sheetPr>
    <tabColor rgb="FF92D050"/>
  </sheetPr>
  <dimension ref="B2:AP35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46.42578125" style="255" bestFit="1" customWidth="1"/>
    <col min="3" max="3" width="7.140625" style="255" bestFit="1" customWidth="1"/>
    <col min="4" max="42" width="5.5703125" style="255" bestFit="1" customWidth="1"/>
    <col min="43" max="16384" width="9.140625" style="255"/>
  </cols>
  <sheetData>
    <row r="2" spans="2:42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 t="s">
        <v>464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x14ac:dyDescent="0.2">
      <c r="B4" s="259" t="s">
        <v>33</v>
      </c>
      <c r="C4" s="260" t="s">
        <v>9</v>
      </c>
      <c r="D4" s="261">
        <f>'Parametre EMU550'!C13</f>
        <v>2026</v>
      </c>
      <c r="E4" s="261">
        <f>D4+$D$3</f>
        <v>2027</v>
      </c>
      <c r="F4" s="261">
        <f t="shared" ref="F4:AP4" si="0">E4+$D$3</f>
        <v>2028</v>
      </c>
      <c r="G4" s="261">
        <f t="shared" si="0"/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x14ac:dyDescent="0.2">
      <c r="B5" s="256" t="s">
        <v>288</v>
      </c>
      <c r="C5" s="262">
        <f>SUM(D5:AP5)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</row>
    <row r="6" spans="2:42" x14ac:dyDescent="0.2">
      <c r="B6" s="256" t="s">
        <v>289</v>
      </c>
      <c r="C6" s="262">
        <f t="shared" ref="C6:C8" si="1">SUM(D6:AP6)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</row>
    <row r="7" spans="2:42" x14ac:dyDescent="0.2">
      <c r="B7" s="256" t="s">
        <v>290</v>
      </c>
      <c r="C7" s="262">
        <f t="shared" si="1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</row>
    <row r="8" spans="2:42" x14ac:dyDescent="0.2">
      <c r="B8" s="257" t="s">
        <v>9</v>
      </c>
      <c r="C8" s="264">
        <f t="shared" si="1"/>
        <v>0</v>
      </c>
      <c r="D8" s="264">
        <f t="shared" ref="D8:AP8" si="2">SUM(D5:D7)</f>
        <v>0</v>
      </c>
      <c r="E8" s="264">
        <f t="shared" si="2"/>
        <v>0</v>
      </c>
      <c r="F8" s="264">
        <f t="shared" si="2"/>
        <v>0</v>
      </c>
      <c r="G8" s="264">
        <f t="shared" si="2"/>
        <v>0</v>
      </c>
      <c r="H8" s="264">
        <f t="shared" si="2"/>
        <v>0</v>
      </c>
      <c r="I8" s="264">
        <f t="shared" si="2"/>
        <v>0</v>
      </c>
      <c r="J8" s="264">
        <f t="shared" si="2"/>
        <v>0</v>
      </c>
      <c r="K8" s="264">
        <f t="shared" si="2"/>
        <v>0</v>
      </c>
      <c r="L8" s="264">
        <f t="shared" si="2"/>
        <v>0</v>
      </c>
      <c r="M8" s="264">
        <f t="shared" si="2"/>
        <v>0</v>
      </c>
      <c r="N8" s="264">
        <f t="shared" si="2"/>
        <v>0</v>
      </c>
      <c r="O8" s="264">
        <f t="shared" si="2"/>
        <v>0</v>
      </c>
      <c r="P8" s="264">
        <f t="shared" si="2"/>
        <v>0</v>
      </c>
      <c r="Q8" s="264">
        <f t="shared" si="2"/>
        <v>0</v>
      </c>
      <c r="R8" s="264">
        <f t="shared" si="2"/>
        <v>0</v>
      </c>
      <c r="S8" s="264">
        <f t="shared" si="2"/>
        <v>0</v>
      </c>
      <c r="T8" s="264">
        <f t="shared" si="2"/>
        <v>0</v>
      </c>
      <c r="U8" s="264">
        <f t="shared" si="2"/>
        <v>0</v>
      </c>
      <c r="V8" s="264">
        <f t="shared" si="2"/>
        <v>0</v>
      </c>
      <c r="W8" s="264">
        <f t="shared" si="2"/>
        <v>0</v>
      </c>
      <c r="X8" s="264">
        <f t="shared" si="2"/>
        <v>0</v>
      </c>
      <c r="Y8" s="264">
        <f t="shared" si="2"/>
        <v>0</v>
      </c>
      <c r="Z8" s="264">
        <f t="shared" si="2"/>
        <v>0</v>
      </c>
      <c r="AA8" s="264">
        <f t="shared" si="2"/>
        <v>0</v>
      </c>
      <c r="AB8" s="264">
        <f t="shared" si="2"/>
        <v>0</v>
      </c>
      <c r="AC8" s="264">
        <f t="shared" si="2"/>
        <v>0</v>
      </c>
      <c r="AD8" s="264">
        <f t="shared" si="2"/>
        <v>0</v>
      </c>
      <c r="AE8" s="264">
        <f t="shared" si="2"/>
        <v>0</v>
      </c>
      <c r="AF8" s="264">
        <f t="shared" si="2"/>
        <v>0</v>
      </c>
      <c r="AG8" s="264">
        <f t="shared" si="2"/>
        <v>0</v>
      </c>
      <c r="AH8" s="264">
        <f t="shared" si="2"/>
        <v>0</v>
      </c>
      <c r="AI8" s="264">
        <f t="shared" si="2"/>
        <v>0</v>
      </c>
      <c r="AJ8" s="264">
        <f t="shared" si="2"/>
        <v>0</v>
      </c>
      <c r="AK8" s="264">
        <f t="shared" si="2"/>
        <v>0</v>
      </c>
      <c r="AL8" s="264">
        <f t="shared" si="2"/>
        <v>0</v>
      </c>
      <c r="AM8" s="264">
        <f t="shared" si="2"/>
        <v>0</v>
      </c>
      <c r="AN8" s="264">
        <f t="shared" si="2"/>
        <v>0</v>
      </c>
      <c r="AO8" s="264">
        <f t="shared" si="2"/>
        <v>0</v>
      </c>
      <c r="AP8" s="264">
        <f t="shared" si="2"/>
        <v>0</v>
      </c>
    </row>
    <row r="11" spans="2:42" x14ac:dyDescent="0.2">
      <c r="B11" s="256"/>
      <c r="C11" s="256"/>
      <c r="D11" s="256" t="s">
        <v>10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</row>
    <row r="12" spans="2:42" x14ac:dyDescent="0.2">
      <c r="B12" s="257" t="s">
        <v>465</v>
      </c>
      <c r="C12" s="257"/>
      <c r="D12" s="258">
        <v>1</v>
      </c>
      <c r="E12" s="258">
        <v>2</v>
      </c>
      <c r="F12" s="258">
        <v>3</v>
      </c>
      <c r="G12" s="258">
        <v>4</v>
      </c>
      <c r="H12" s="258">
        <v>5</v>
      </c>
      <c r="I12" s="258">
        <v>6</v>
      </c>
      <c r="J12" s="258">
        <v>7</v>
      </c>
      <c r="K12" s="258">
        <v>8</v>
      </c>
      <c r="L12" s="258">
        <v>9</v>
      </c>
      <c r="M12" s="258">
        <v>10</v>
      </c>
      <c r="N12" s="258">
        <v>11</v>
      </c>
      <c r="O12" s="258">
        <v>12</v>
      </c>
      <c r="P12" s="258">
        <v>13</v>
      </c>
      <c r="Q12" s="258">
        <v>14</v>
      </c>
      <c r="R12" s="258">
        <v>15</v>
      </c>
      <c r="S12" s="258">
        <v>16</v>
      </c>
      <c r="T12" s="258">
        <v>17</v>
      </c>
      <c r="U12" s="258">
        <v>18</v>
      </c>
      <c r="V12" s="258">
        <v>19</v>
      </c>
      <c r="W12" s="258">
        <v>20</v>
      </c>
      <c r="X12" s="258">
        <v>21</v>
      </c>
      <c r="Y12" s="258">
        <v>22</v>
      </c>
      <c r="Z12" s="258">
        <v>23</v>
      </c>
      <c r="AA12" s="258">
        <v>24</v>
      </c>
      <c r="AB12" s="258">
        <v>25</v>
      </c>
      <c r="AC12" s="258">
        <v>26</v>
      </c>
      <c r="AD12" s="258">
        <v>27</v>
      </c>
      <c r="AE12" s="258">
        <v>28</v>
      </c>
      <c r="AF12" s="258">
        <v>29</v>
      </c>
      <c r="AG12" s="258">
        <v>30</v>
      </c>
      <c r="AH12" s="258">
        <v>31</v>
      </c>
      <c r="AI12" s="258">
        <v>32</v>
      </c>
      <c r="AJ12" s="258">
        <v>33</v>
      </c>
      <c r="AK12" s="258">
        <v>34</v>
      </c>
      <c r="AL12" s="258">
        <v>35</v>
      </c>
      <c r="AM12" s="258">
        <v>36</v>
      </c>
      <c r="AN12" s="258">
        <v>37</v>
      </c>
      <c r="AO12" s="258">
        <v>38</v>
      </c>
      <c r="AP12" s="258">
        <v>39</v>
      </c>
    </row>
    <row r="13" spans="2:42" x14ac:dyDescent="0.2">
      <c r="B13" s="259" t="s">
        <v>34</v>
      </c>
      <c r="C13" s="260" t="s">
        <v>9</v>
      </c>
      <c r="D13" s="261">
        <f t="shared" ref="D13:AP13" si="3">D4</f>
        <v>2026</v>
      </c>
      <c r="E13" s="261">
        <f t="shared" si="3"/>
        <v>2027</v>
      </c>
      <c r="F13" s="261">
        <f t="shared" si="3"/>
        <v>2028</v>
      </c>
      <c r="G13" s="261">
        <f t="shared" si="3"/>
        <v>2029</v>
      </c>
      <c r="H13" s="261">
        <f t="shared" si="3"/>
        <v>2030</v>
      </c>
      <c r="I13" s="261">
        <f t="shared" si="3"/>
        <v>2031</v>
      </c>
      <c r="J13" s="261">
        <f t="shared" si="3"/>
        <v>2032</v>
      </c>
      <c r="K13" s="261">
        <f t="shared" si="3"/>
        <v>2033</v>
      </c>
      <c r="L13" s="261">
        <f t="shared" si="3"/>
        <v>2034</v>
      </c>
      <c r="M13" s="261">
        <f t="shared" si="3"/>
        <v>2035</v>
      </c>
      <c r="N13" s="261">
        <f t="shared" si="3"/>
        <v>2036</v>
      </c>
      <c r="O13" s="261">
        <f t="shared" si="3"/>
        <v>2037</v>
      </c>
      <c r="P13" s="261">
        <f t="shared" si="3"/>
        <v>2038</v>
      </c>
      <c r="Q13" s="261">
        <f t="shared" si="3"/>
        <v>2039</v>
      </c>
      <c r="R13" s="261">
        <f t="shared" si="3"/>
        <v>2040</v>
      </c>
      <c r="S13" s="261">
        <f t="shared" si="3"/>
        <v>2041</v>
      </c>
      <c r="T13" s="261">
        <f t="shared" si="3"/>
        <v>2042</v>
      </c>
      <c r="U13" s="261">
        <f t="shared" si="3"/>
        <v>2043</v>
      </c>
      <c r="V13" s="261">
        <f t="shared" si="3"/>
        <v>2044</v>
      </c>
      <c r="W13" s="261">
        <f t="shared" si="3"/>
        <v>2045</v>
      </c>
      <c r="X13" s="261">
        <f t="shared" si="3"/>
        <v>2046</v>
      </c>
      <c r="Y13" s="261">
        <f t="shared" si="3"/>
        <v>2047</v>
      </c>
      <c r="Z13" s="261">
        <f t="shared" si="3"/>
        <v>2048</v>
      </c>
      <c r="AA13" s="261">
        <f t="shared" si="3"/>
        <v>2049</v>
      </c>
      <c r="AB13" s="261">
        <f t="shared" si="3"/>
        <v>2050</v>
      </c>
      <c r="AC13" s="261">
        <f t="shared" si="3"/>
        <v>2051</v>
      </c>
      <c r="AD13" s="261">
        <f t="shared" si="3"/>
        <v>2052</v>
      </c>
      <c r="AE13" s="261">
        <f t="shared" si="3"/>
        <v>2053</v>
      </c>
      <c r="AF13" s="261">
        <f t="shared" si="3"/>
        <v>2054</v>
      </c>
      <c r="AG13" s="261">
        <f t="shared" si="3"/>
        <v>2055</v>
      </c>
      <c r="AH13" s="261">
        <f t="shared" si="3"/>
        <v>2056</v>
      </c>
      <c r="AI13" s="261">
        <f t="shared" si="3"/>
        <v>2057</v>
      </c>
      <c r="AJ13" s="261">
        <f t="shared" si="3"/>
        <v>2058</v>
      </c>
      <c r="AK13" s="261">
        <f t="shared" si="3"/>
        <v>2059</v>
      </c>
      <c r="AL13" s="261">
        <f t="shared" si="3"/>
        <v>2060</v>
      </c>
      <c r="AM13" s="261">
        <f t="shared" si="3"/>
        <v>2061</v>
      </c>
      <c r="AN13" s="261">
        <f t="shared" si="3"/>
        <v>2062</v>
      </c>
      <c r="AO13" s="261">
        <f t="shared" si="3"/>
        <v>2063</v>
      </c>
      <c r="AP13" s="261">
        <f t="shared" si="3"/>
        <v>2064</v>
      </c>
    </row>
    <row r="14" spans="2:42" x14ac:dyDescent="0.2">
      <c r="B14" s="256" t="s">
        <v>288</v>
      </c>
      <c r="C14" s="262">
        <f>SUM(D14:AP14)</f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0</v>
      </c>
      <c r="AE14" s="263">
        <v>0</v>
      </c>
      <c r="AF14" s="263">
        <v>0</v>
      </c>
      <c r="AG14" s="263">
        <v>0</v>
      </c>
      <c r="AH14" s="263">
        <v>0</v>
      </c>
      <c r="AI14" s="263">
        <v>0</v>
      </c>
      <c r="AJ14" s="263">
        <v>0</v>
      </c>
      <c r="AK14" s="263">
        <v>0</v>
      </c>
      <c r="AL14" s="263">
        <v>0</v>
      </c>
      <c r="AM14" s="263">
        <v>0</v>
      </c>
      <c r="AN14" s="263">
        <v>0</v>
      </c>
      <c r="AO14" s="263">
        <v>0</v>
      </c>
      <c r="AP14" s="263">
        <v>0</v>
      </c>
    </row>
    <row r="15" spans="2:42" x14ac:dyDescent="0.2">
      <c r="B15" s="256" t="s">
        <v>289</v>
      </c>
      <c r="C15" s="262">
        <f t="shared" ref="C15:C17" si="4">SUM(D15:AP15)</f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0</v>
      </c>
      <c r="AN15" s="263">
        <v>0</v>
      </c>
      <c r="AO15" s="263">
        <v>0</v>
      </c>
      <c r="AP15" s="263">
        <v>0</v>
      </c>
    </row>
    <row r="16" spans="2:42" x14ac:dyDescent="0.2">
      <c r="B16" s="256" t="s">
        <v>290</v>
      </c>
      <c r="C16" s="262">
        <f t="shared" si="4"/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  <c r="AP16" s="263">
        <v>0</v>
      </c>
    </row>
    <row r="17" spans="2:42" x14ac:dyDescent="0.2">
      <c r="B17" s="257" t="s">
        <v>35</v>
      </c>
      <c r="C17" s="264">
        <f t="shared" si="4"/>
        <v>0</v>
      </c>
      <c r="D17" s="264">
        <f t="shared" ref="D17:AP17" si="5">SUM(D14:D16)</f>
        <v>0</v>
      </c>
      <c r="E17" s="264">
        <f t="shared" si="5"/>
        <v>0</v>
      </c>
      <c r="F17" s="264">
        <f t="shared" si="5"/>
        <v>0</v>
      </c>
      <c r="G17" s="264">
        <f t="shared" si="5"/>
        <v>0</v>
      </c>
      <c r="H17" s="264">
        <f t="shared" si="5"/>
        <v>0</v>
      </c>
      <c r="I17" s="264">
        <f t="shared" si="5"/>
        <v>0</v>
      </c>
      <c r="J17" s="264">
        <f t="shared" si="5"/>
        <v>0</v>
      </c>
      <c r="K17" s="264">
        <f t="shared" si="5"/>
        <v>0</v>
      </c>
      <c r="L17" s="264">
        <f t="shared" si="5"/>
        <v>0</v>
      </c>
      <c r="M17" s="264">
        <f t="shared" si="5"/>
        <v>0</v>
      </c>
      <c r="N17" s="264">
        <f t="shared" si="5"/>
        <v>0</v>
      </c>
      <c r="O17" s="264">
        <f t="shared" si="5"/>
        <v>0</v>
      </c>
      <c r="P17" s="264">
        <f t="shared" si="5"/>
        <v>0</v>
      </c>
      <c r="Q17" s="264">
        <f t="shared" si="5"/>
        <v>0</v>
      </c>
      <c r="R17" s="264">
        <f t="shared" si="5"/>
        <v>0</v>
      </c>
      <c r="S17" s="264">
        <f t="shared" si="5"/>
        <v>0</v>
      </c>
      <c r="T17" s="264">
        <f t="shared" si="5"/>
        <v>0</v>
      </c>
      <c r="U17" s="264">
        <f t="shared" si="5"/>
        <v>0</v>
      </c>
      <c r="V17" s="264">
        <f t="shared" si="5"/>
        <v>0</v>
      </c>
      <c r="W17" s="264">
        <f t="shared" si="5"/>
        <v>0</v>
      </c>
      <c r="X17" s="264">
        <f t="shared" si="5"/>
        <v>0</v>
      </c>
      <c r="Y17" s="264">
        <f t="shared" si="5"/>
        <v>0</v>
      </c>
      <c r="Z17" s="264">
        <f t="shared" si="5"/>
        <v>0</v>
      </c>
      <c r="AA17" s="264">
        <f t="shared" si="5"/>
        <v>0</v>
      </c>
      <c r="AB17" s="264">
        <f t="shared" si="5"/>
        <v>0</v>
      </c>
      <c r="AC17" s="264">
        <f t="shared" si="5"/>
        <v>0</v>
      </c>
      <c r="AD17" s="264">
        <f t="shared" si="5"/>
        <v>0</v>
      </c>
      <c r="AE17" s="264">
        <f t="shared" si="5"/>
        <v>0</v>
      </c>
      <c r="AF17" s="264">
        <f t="shared" si="5"/>
        <v>0</v>
      </c>
      <c r="AG17" s="264">
        <f t="shared" si="5"/>
        <v>0</v>
      </c>
      <c r="AH17" s="264">
        <f t="shared" si="5"/>
        <v>0</v>
      </c>
      <c r="AI17" s="264">
        <f t="shared" si="5"/>
        <v>0</v>
      </c>
      <c r="AJ17" s="264">
        <f t="shared" si="5"/>
        <v>0</v>
      </c>
      <c r="AK17" s="264">
        <f t="shared" si="5"/>
        <v>0</v>
      </c>
      <c r="AL17" s="264">
        <f t="shared" si="5"/>
        <v>0</v>
      </c>
      <c r="AM17" s="264">
        <f t="shared" si="5"/>
        <v>0</v>
      </c>
      <c r="AN17" s="264">
        <f t="shared" si="5"/>
        <v>0</v>
      </c>
      <c r="AO17" s="264">
        <f t="shared" si="5"/>
        <v>0</v>
      </c>
      <c r="AP17" s="264">
        <f t="shared" si="5"/>
        <v>0</v>
      </c>
    </row>
    <row r="20" spans="2:42" x14ac:dyDescent="0.2">
      <c r="B20" s="256"/>
      <c r="C20" s="256"/>
      <c r="D20" s="256" t="s">
        <v>10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</row>
    <row r="21" spans="2:42" x14ac:dyDescent="0.2">
      <c r="B21" s="257" t="s">
        <v>466</v>
      </c>
      <c r="C21" s="257"/>
      <c r="D21" s="258">
        <v>1</v>
      </c>
      <c r="E21" s="258">
        <v>2</v>
      </c>
      <c r="F21" s="258">
        <v>3</v>
      </c>
      <c r="G21" s="258">
        <v>4</v>
      </c>
      <c r="H21" s="258">
        <v>5</v>
      </c>
      <c r="I21" s="258">
        <v>6</v>
      </c>
      <c r="J21" s="258">
        <v>7</v>
      </c>
      <c r="K21" s="258">
        <v>8</v>
      </c>
      <c r="L21" s="258">
        <v>9</v>
      </c>
      <c r="M21" s="258">
        <v>10</v>
      </c>
      <c r="N21" s="258">
        <v>11</v>
      </c>
      <c r="O21" s="258">
        <v>12</v>
      </c>
      <c r="P21" s="258">
        <v>13</v>
      </c>
      <c r="Q21" s="258">
        <v>14</v>
      </c>
      <c r="R21" s="258">
        <v>15</v>
      </c>
      <c r="S21" s="258">
        <v>16</v>
      </c>
      <c r="T21" s="258">
        <v>17</v>
      </c>
      <c r="U21" s="258">
        <v>18</v>
      </c>
      <c r="V21" s="258">
        <v>19</v>
      </c>
      <c r="W21" s="258">
        <v>20</v>
      </c>
      <c r="X21" s="258">
        <v>21</v>
      </c>
      <c r="Y21" s="258">
        <v>22</v>
      </c>
      <c r="Z21" s="258">
        <v>23</v>
      </c>
      <c r="AA21" s="258">
        <v>24</v>
      </c>
      <c r="AB21" s="258">
        <v>25</v>
      </c>
      <c r="AC21" s="258">
        <v>26</v>
      </c>
      <c r="AD21" s="258">
        <v>27</v>
      </c>
      <c r="AE21" s="258">
        <v>28</v>
      </c>
      <c r="AF21" s="258">
        <v>29</v>
      </c>
      <c r="AG21" s="258">
        <v>30</v>
      </c>
      <c r="AH21" s="258">
        <v>31</v>
      </c>
      <c r="AI21" s="258">
        <v>32</v>
      </c>
      <c r="AJ21" s="258">
        <v>33</v>
      </c>
      <c r="AK21" s="258">
        <v>34</v>
      </c>
      <c r="AL21" s="258">
        <v>35</v>
      </c>
      <c r="AM21" s="258">
        <v>36</v>
      </c>
      <c r="AN21" s="258">
        <v>37</v>
      </c>
      <c r="AO21" s="258">
        <v>38</v>
      </c>
      <c r="AP21" s="258">
        <v>39</v>
      </c>
    </row>
    <row r="22" spans="2:42" x14ac:dyDescent="0.2">
      <c r="B22" s="259" t="s">
        <v>63</v>
      </c>
      <c r="C22" s="260" t="s">
        <v>9</v>
      </c>
      <c r="D22" s="261">
        <f t="shared" ref="D22:AP22" si="6">D4</f>
        <v>2026</v>
      </c>
      <c r="E22" s="261">
        <f t="shared" si="6"/>
        <v>2027</v>
      </c>
      <c r="F22" s="261">
        <f t="shared" si="6"/>
        <v>2028</v>
      </c>
      <c r="G22" s="261">
        <f t="shared" si="6"/>
        <v>2029</v>
      </c>
      <c r="H22" s="261">
        <f t="shared" si="6"/>
        <v>2030</v>
      </c>
      <c r="I22" s="261">
        <f t="shared" si="6"/>
        <v>2031</v>
      </c>
      <c r="J22" s="261">
        <f t="shared" si="6"/>
        <v>2032</v>
      </c>
      <c r="K22" s="261">
        <f t="shared" si="6"/>
        <v>2033</v>
      </c>
      <c r="L22" s="261">
        <f t="shared" si="6"/>
        <v>2034</v>
      </c>
      <c r="M22" s="261">
        <f t="shared" si="6"/>
        <v>2035</v>
      </c>
      <c r="N22" s="261">
        <f t="shared" si="6"/>
        <v>2036</v>
      </c>
      <c r="O22" s="261">
        <f t="shared" si="6"/>
        <v>2037</v>
      </c>
      <c r="P22" s="261">
        <f t="shared" si="6"/>
        <v>2038</v>
      </c>
      <c r="Q22" s="261">
        <f t="shared" si="6"/>
        <v>2039</v>
      </c>
      <c r="R22" s="261">
        <f t="shared" si="6"/>
        <v>2040</v>
      </c>
      <c r="S22" s="261">
        <f t="shared" si="6"/>
        <v>2041</v>
      </c>
      <c r="T22" s="261">
        <f t="shared" si="6"/>
        <v>2042</v>
      </c>
      <c r="U22" s="261">
        <f t="shared" si="6"/>
        <v>2043</v>
      </c>
      <c r="V22" s="261">
        <f t="shared" si="6"/>
        <v>2044</v>
      </c>
      <c r="W22" s="261">
        <f t="shared" si="6"/>
        <v>2045</v>
      </c>
      <c r="X22" s="261">
        <f t="shared" si="6"/>
        <v>2046</v>
      </c>
      <c r="Y22" s="261">
        <f t="shared" si="6"/>
        <v>2047</v>
      </c>
      <c r="Z22" s="261">
        <f t="shared" si="6"/>
        <v>2048</v>
      </c>
      <c r="AA22" s="261">
        <f t="shared" si="6"/>
        <v>2049</v>
      </c>
      <c r="AB22" s="261">
        <f t="shared" si="6"/>
        <v>2050</v>
      </c>
      <c r="AC22" s="261">
        <f t="shared" si="6"/>
        <v>2051</v>
      </c>
      <c r="AD22" s="261">
        <f t="shared" si="6"/>
        <v>2052</v>
      </c>
      <c r="AE22" s="261">
        <f t="shared" si="6"/>
        <v>2053</v>
      </c>
      <c r="AF22" s="261">
        <f t="shared" si="6"/>
        <v>2054</v>
      </c>
      <c r="AG22" s="261">
        <f t="shared" si="6"/>
        <v>2055</v>
      </c>
      <c r="AH22" s="261">
        <f t="shared" si="6"/>
        <v>2056</v>
      </c>
      <c r="AI22" s="261">
        <f t="shared" si="6"/>
        <v>2057</v>
      </c>
      <c r="AJ22" s="261">
        <f t="shared" si="6"/>
        <v>2058</v>
      </c>
      <c r="AK22" s="261">
        <f t="shared" si="6"/>
        <v>2059</v>
      </c>
      <c r="AL22" s="261">
        <f t="shared" si="6"/>
        <v>2060</v>
      </c>
      <c r="AM22" s="261">
        <f t="shared" si="6"/>
        <v>2061</v>
      </c>
      <c r="AN22" s="261">
        <f t="shared" si="6"/>
        <v>2062</v>
      </c>
      <c r="AO22" s="261">
        <f t="shared" si="6"/>
        <v>2063</v>
      </c>
      <c r="AP22" s="261">
        <f t="shared" si="6"/>
        <v>2064</v>
      </c>
    </row>
    <row r="23" spans="2:42" x14ac:dyDescent="0.2">
      <c r="B23" s="256" t="s">
        <v>288</v>
      </c>
      <c r="C23" s="262">
        <f>SUM(D23:AP23)</f>
        <v>0</v>
      </c>
      <c r="D23" s="262">
        <f t="shared" ref="D23:AP25" si="7">D5-D14</f>
        <v>0</v>
      </c>
      <c r="E23" s="262">
        <f t="shared" si="7"/>
        <v>0</v>
      </c>
      <c r="F23" s="262">
        <f t="shared" si="7"/>
        <v>0</v>
      </c>
      <c r="G23" s="262">
        <f t="shared" si="7"/>
        <v>0</v>
      </c>
      <c r="H23" s="262">
        <f t="shared" si="7"/>
        <v>0</v>
      </c>
      <c r="I23" s="262">
        <f t="shared" si="7"/>
        <v>0</v>
      </c>
      <c r="J23" s="262">
        <f t="shared" si="7"/>
        <v>0</v>
      </c>
      <c r="K23" s="262">
        <f t="shared" si="7"/>
        <v>0</v>
      </c>
      <c r="L23" s="262">
        <f t="shared" si="7"/>
        <v>0</v>
      </c>
      <c r="M23" s="262">
        <f t="shared" si="7"/>
        <v>0</v>
      </c>
      <c r="N23" s="262">
        <f t="shared" si="7"/>
        <v>0</v>
      </c>
      <c r="O23" s="262">
        <f t="shared" si="7"/>
        <v>0</v>
      </c>
      <c r="P23" s="262">
        <f t="shared" si="7"/>
        <v>0</v>
      </c>
      <c r="Q23" s="262">
        <f t="shared" si="7"/>
        <v>0</v>
      </c>
      <c r="R23" s="262">
        <f t="shared" si="7"/>
        <v>0</v>
      </c>
      <c r="S23" s="262">
        <f t="shared" si="7"/>
        <v>0</v>
      </c>
      <c r="T23" s="262">
        <f t="shared" si="7"/>
        <v>0</v>
      </c>
      <c r="U23" s="262">
        <f t="shared" si="7"/>
        <v>0</v>
      </c>
      <c r="V23" s="262">
        <f t="shared" si="7"/>
        <v>0</v>
      </c>
      <c r="W23" s="262">
        <f t="shared" si="7"/>
        <v>0</v>
      </c>
      <c r="X23" s="262">
        <f t="shared" si="7"/>
        <v>0</v>
      </c>
      <c r="Y23" s="262">
        <f t="shared" si="7"/>
        <v>0</v>
      </c>
      <c r="Z23" s="262">
        <f t="shared" si="7"/>
        <v>0</v>
      </c>
      <c r="AA23" s="262">
        <f t="shared" si="7"/>
        <v>0</v>
      </c>
      <c r="AB23" s="262">
        <f t="shared" si="7"/>
        <v>0</v>
      </c>
      <c r="AC23" s="262">
        <f t="shared" si="7"/>
        <v>0</v>
      </c>
      <c r="AD23" s="262">
        <f t="shared" si="7"/>
        <v>0</v>
      </c>
      <c r="AE23" s="262">
        <f t="shared" si="7"/>
        <v>0</v>
      </c>
      <c r="AF23" s="262">
        <f t="shared" si="7"/>
        <v>0</v>
      </c>
      <c r="AG23" s="262">
        <f t="shared" si="7"/>
        <v>0</v>
      </c>
      <c r="AH23" s="262">
        <f t="shared" si="7"/>
        <v>0</v>
      </c>
      <c r="AI23" s="262">
        <f t="shared" si="7"/>
        <v>0</v>
      </c>
      <c r="AJ23" s="262">
        <f t="shared" si="7"/>
        <v>0</v>
      </c>
      <c r="AK23" s="262">
        <f t="shared" si="7"/>
        <v>0</v>
      </c>
      <c r="AL23" s="262">
        <f t="shared" si="7"/>
        <v>0</v>
      </c>
      <c r="AM23" s="262">
        <f t="shared" si="7"/>
        <v>0</v>
      </c>
      <c r="AN23" s="262">
        <f t="shared" si="7"/>
        <v>0</v>
      </c>
      <c r="AO23" s="262">
        <f t="shared" si="7"/>
        <v>0</v>
      </c>
      <c r="AP23" s="262">
        <f t="shared" si="7"/>
        <v>0</v>
      </c>
    </row>
    <row r="24" spans="2:42" x14ac:dyDescent="0.2">
      <c r="B24" s="256" t="s">
        <v>289</v>
      </c>
      <c r="C24" s="262">
        <f t="shared" ref="C24:C26" si="8">SUM(D24:AP24)</f>
        <v>0</v>
      </c>
      <c r="D24" s="262">
        <f t="shared" si="7"/>
        <v>0</v>
      </c>
      <c r="E24" s="262">
        <f t="shared" si="7"/>
        <v>0</v>
      </c>
      <c r="F24" s="262">
        <f t="shared" si="7"/>
        <v>0</v>
      </c>
      <c r="G24" s="262">
        <f t="shared" si="7"/>
        <v>0</v>
      </c>
      <c r="H24" s="262">
        <f t="shared" si="7"/>
        <v>0</v>
      </c>
      <c r="I24" s="262">
        <f t="shared" si="7"/>
        <v>0</v>
      </c>
      <c r="J24" s="262">
        <f t="shared" si="7"/>
        <v>0</v>
      </c>
      <c r="K24" s="262">
        <f t="shared" si="7"/>
        <v>0</v>
      </c>
      <c r="L24" s="262">
        <f t="shared" si="7"/>
        <v>0</v>
      </c>
      <c r="M24" s="262">
        <f t="shared" si="7"/>
        <v>0</v>
      </c>
      <c r="N24" s="262">
        <f t="shared" si="7"/>
        <v>0</v>
      </c>
      <c r="O24" s="262">
        <f t="shared" si="7"/>
        <v>0</v>
      </c>
      <c r="P24" s="262">
        <f t="shared" si="7"/>
        <v>0</v>
      </c>
      <c r="Q24" s="262">
        <f t="shared" si="7"/>
        <v>0</v>
      </c>
      <c r="R24" s="262">
        <f t="shared" si="7"/>
        <v>0</v>
      </c>
      <c r="S24" s="262">
        <f t="shared" si="7"/>
        <v>0</v>
      </c>
      <c r="T24" s="262">
        <f t="shared" si="7"/>
        <v>0</v>
      </c>
      <c r="U24" s="262">
        <f t="shared" si="7"/>
        <v>0</v>
      </c>
      <c r="V24" s="262">
        <f t="shared" si="7"/>
        <v>0</v>
      </c>
      <c r="W24" s="262">
        <f t="shared" si="7"/>
        <v>0</v>
      </c>
      <c r="X24" s="262">
        <f t="shared" si="7"/>
        <v>0</v>
      </c>
      <c r="Y24" s="262">
        <f t="shared" si="7"/>
        <v>0</v>
      </c>
      <c r="Z24" s="262">
        <f t="shared" si="7"/>
        <v>0</v>
      </c>
      <c r="AA24" s="262">
        <f t="shared" si="7"/>
        <v>0</v>
      </c>
      <c r="AB24" s="262">
        <f t="shared" si="7"/>
        <v>0</v>
      </c>
      <c r="AC24" s="262">
        <f t="shared" si="7"/>
        <v>0</v>
      </c>
      <c r="AD24" s="262">
        <f t="shared" si="7"/>
        <v>0</v>
      </c>
      <c r="AE24" s="262">
        <f t="shared" si="7"/>
        <v>0</v>
      </c>
      <c r="AF24" s="262">
        <f t="shared" si="7"/>
        <v>0</v>
      </c>
      <c r="AG24" s="262">
        <f t="shared" si="7"/>
        <v>0</v>
      </c>
      <c r="AH24" s="262">
        <f t="shared" si="7"/>
        <v>0</v>
      </c>
      <c r="AI24" s="262">
        <f t="shared" si="7"/>
        <v>0</v>
      </c>
      <c r="AJ24" s="262">
        <f t="shared" si="7"/>
        <v>0</v>
      </c>
      <c r="AK24" s="262">
        <f t="shared" si="7"/>
        <v>0</v>
      </c>
      <c r="AL24" s="262">
        <f t="shared" si="7"/>
        <v>0</v>
      </c>
      <c r="AM24" s="262">
        <f t="shared" si="7"/>
        <v>0</v>
      </c>
      <c r="AN24" s="262">
        <f t="shared" si="7"/>
        <v>0</v>
      </c>
      <c r="AO24" s="262">
        <f t="shared" si="7"/>
        <v>0</v>
      </c>
      <c r="AP24" s="262">
        <f t="shared" si="7"/>
        <v>0</v>
      </c>
    </row>
    <row r="25" spans="2:42" x14ac:dyDescent="0.2">
      <c r="B25" s="256" t="s">
        <v>290</v>
      </c>
      <c r="C25" s="262">
        <f t="shared" si="8"/>
        <v>0</v>
      </c>
      <c r="D25" s="262">
        <f t="shared" si="7"/>
        <v>0</v>
      </c>
      <c r="E25" s="262">
        <f t="shared" si="7"/>
        <v>0</v>
      </c>
      <c r="F25" s="262">
        <f t="shared" si="7"/>
        <v>0</v>
      </c>
      <c r="G25" s="262">
        <f t="shared" si="7"/>
        <v>0</v>
      </c>
      <c r="H25" s="262">
        <f t="shared" si="7"/>
        <v>0</v>
      </c>
      <c r="I25" s="262">
        <f t="shared" si="7"/>
        <v>0</v>
      </c>
      <c r="J25" s="262">
        <f t="shared" si="7"/>
        <v>0</v>
      </c>
      <c r="K25" s="262">
        <f t="shared" si="7"/>
        <v>0</v>
      </c>
      <c r="L25" s="262">
        <f t="shared" si="7"/>
        <v>0</v>
      </c>
      <c r="M25" s="262">
        <f t="shared" si="7"/>
        <v>0</v>
      </c>
      <c r="N25" s="262">
        <f t="shared" si="7"/>
        <v>0</v>
      </c>
      <c r="O25" s="262">
        <f t="shared" si="7"/>
        <v>0</v>
      </c>
      <c r="P25" s="262">
        <f t="shared" si="7"/>
        <v>0</v>
      </c>
      <c r="Q25" s="262">
        <f t="shared" si="7"/>
        <v>0</v>
      </c>
      <c r="R25" s="262">
        <f t="shared" si="7"/>
        <v>0</v>
      </c>
      <c r="S25" s="262">
        <f t="shared" si="7"/>
        <v>0</v>
      </c>
      <c r="T25" s="262">
        <f t="shared" si="7"/>
        <v>0</v>
      </c>
      <c r="U25" s="262">
        <f t="shared" si="7"/>
        <v>0</v>
      </c>
      <c r="V25" s="262">
        <f t="shared" si="7"/>
        <v>0</v>
      </c>
      <c r="W25" s="262">
        <f t="shared" si="7"/>
        <v>0</v>
      </c>
      <c r="X25" s="262">
        <f t="shared" si="7"/>
        <v>0</v>
      </c>
      <c r="Y25" s="262">
        <f t="shared" si="7"/>
        <v>0</v>
      </c>
      <c r="Z25" s="262">
        <f t="shared" si="7"/>
        <v>0</v>
      </c>
      <c r="AA25" s="262">
        <f t="shared" si="7"/>
        <v>0</v>
      </c>
      <c r="AB25" s="262">
        <f t="shared" si="7"/>
        <v>0</v>
      </c>
      <c r="AC25" s="262">
        <f t="shared" si="7"/>
        <v>0</v>
      </c>
      <c r="AD25" s="262">
        <f t="shared" si="7"/>
        <v>0</v>
      </c>
      <c r="AE25" s="262">
        <f t="shared" si="7"/>
        <v>0</v>
      </c>
      <c r="AF25" s="262">
        <f t="shared" si="7"/>
        <v>0</v>
      </c>
      <c r="AG25" s="262">
        <f t="shared" si="7"/>
        <v>0</v>
      </c>
      <c r="AH25" s="262">
        <f t="shared" si="7"/>
        <v>0</v>
      </c>
      <c r="AI25" s="262">
        <f t="shared" si="7"/>
        <v>0</v>
      </c>
      <c r="AJ25" s="262">
        <f t="shared" si="7"/>
        <v>0</v>
      </c>
      <c r="AK25" s="262">
        <f t="shared" si="7"/>
        <v>0</v>
      </c>
      <c r="AL25" s="262">
        <f t="shared" si="7"/>
        <v>0</v>
      </c>
      <c r="AM25" s="262">
        <f t="shared" si="7"/>
        <v>0</v>
      </c>
      <c r="AN25" s="262">
        <f t="shared" si="7"/>
        <v>0</v>
      </c>
      <c r="AO25" s="262">
        <f t="shared" si="7"/>
        <v>0</v>
      </c>
      <c r="AP25" s="262">
        <f t="shared" si="7"/>
        <v>0</v>
      </c>
    </row>
    <row r="26" spans="2:42" x14ac:dyDescent="0.2">
      <c r="B26" s="499" t="s">
        <v>59</v>
      </c>
      <c r="C26" s="500">
        <f t="shared" si="8"/>
        <v>0</v>
      </c>
      <c r="D26" s="500">
        <f t="shared" ref="D26:AP26" si="9">SUM(D23:D25)</f>
        <v>0</v>
      </c>
      <c r="E26" s="501">
        <f t="shared" si="9"/>
        <v>0</v>
      </c>
      <c r="F26" s="501">
        <f t="shared" si="9"/>
        <v>0</v>
      </c>
      <c r="G26" s="501">
        <f t="shared" si="9"/>
        <v>0</v>
      </c>
      <c r="H26" s="501">
        <f t="shared" si="9"/>
        <v>0</v>
      </c>
      <c r="I26" s="501">
        <f t="shared" si="9"/>
        <v>0</v>
      </c>
      <c r="J26" s="501">
        <f t="shared" si="9"/>
        <v>0</v>
      </c>
      <c r="K26" s="501">
        <f t="shared" si="9"/>
        <v>0</v>
      </c>
      <c r="L26" s="501">
        <f t="shared" si="9"/>
        <v>0</v>
      </c>
      <c r="M26" s="501">
        <f t="shared" si="9"/>
        <v>0</v>
      </c>
      <c r="N26" s="501">
        <f t="shared" si="9"/>
        <v>0</v>
      </c>
      <c r="O26" s="501">
        <f t="shared" si="9"/>
        <v>0</v>
      </c>
      <c r="P26" s="501">
        <f t="shared" si="9"/>
        <v>0</v>
      </c>
      <c r="Q26" s="501">
        <f t="shared" si="9"/>
        <v>0</v>
      </c>
      <c r="R26" s="501">
        <f t="shared" si="9"/>
        <v>0</v>
      </c>
      <c r="S26" s="501">
        <f t="shared" si="9"/>
        <v>0</v>
      </c>
      <c r="T26" s="501">
        <f t="shared" si="9"/>
        <v>0</v>
      </c>
      <c r="U26" s="501">
        <f t="shared" si="9"/>
        <v>0</v>
      </c>
      <c r="V26" s="501">
        <f t="shared" si="9"/>
        <v>0</v>
      </c>
      <c r="W26" s="501">
        <f t="shared" si="9"/>
        <v>0</v>
      </c>
      <c r="X26" s="501">
        <f t="shared" si="9"/>
        <v>0</v>
      </c>
      <c r="Y26" s="501">
        <f t="shared" si="9"/>
        <v>0</v>
      </c>
      <c r="Z26" s="501">
        <f t="shared" si="9"/>
        <v>0</v>
      </c>
      <c r="AA26" s="501">
        <f t="shared" si="9"/>
        <v>0</v>
      </c>
      <c r="AB26" s="501">
        <f t="shared" si="9"/>
        <v>0</v>
      </c>
      <c r="AC26" s="501">
        <f t="shared" si="9"/>
        <v>0</v>
      </c>
      <c r="AD26" s="501">
        <f t="shared" si="9"/>
        <v>0</v>
      </c>
      <c r="AE26" s="501">
        <f t="shared" si="9"/>
        <v>0</v>
      </c>
      <c r="AF26" s="501">
        <f t="shared" si="9"/>
        <v>0</v>
      </c>
      <c r="AG26" s="501">
        <f t="shared" si="9"/>
        <v>0</v>
      </c>
      <c r="AH26" s="501">
        <f t="shared" si="9"/>
        <v>0</v>
      </c>
      <c r="AI26" s="501">
        <f t="shared" si="9"/>
        <v>0</v>
      </c>
      <c r="AJ26" s="501">
        <f t="shared" si="9"/>
        <v>0</v>
      </c>
      <c r="AK26" s="501">
        <f t="shared" si="9"/>
        <v>0</v>
      </c>
      <c r="AL26" s="501">
        <f t="shared" si="9"/>
        <v>0</v>
      </c>
      <c r="AM26" s="501">
        <f t="shared" si="9"/>
        <v>0</v>
      </c>
      <c r="AN26" s="501">
        <f t="shared" si="9"/>
        <v>0</v>
      </c>
      <c r="AO26" s="501">
        <f t="shared" si="9"/>
        <v>0</v>
      </c>
      <c r="AP26" s="501">
        <f t="shared" si="9"/>
        <v>0</v>
      </c>
    </row>
    <row r="29" spans="2:42" x14ac:dyDescent="0.2">
      <c r="B29" s="272"/>
      <c r="C29" s="256"/>
      <c r="D29" s="256" t="s">
        <v>10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</row>
    <row r="30" spans="2:42" x14ac:dyDescent="0.2">
      <c r="B30" s="272"/>
      <c r="C30" s="257"/>
      <c r="D30" s="258">
        <v>1</v>
      </c>
      <c r="E30" s="258">
        <v>2</v>
      </c>
      <c r="F30" s="258">
        <v>3</v>
      </c>
      <c r="G30" s="258">
        <v>4</v>
      </c>
      <c r="H30" s="258">
        <v>5</v>
      </c>
      <c r="I30" s="258">
        <v>6</v>
      </c>
      <c r="J30" s="258">
        <v>7</v>
      </c>
      <c r="K30" s="258">
        <v>8</v>
      </c>
      <c r="L30" s="258">
        <v>9</v>
      </c>
      <c r="M30" s="258">
        <v>10</v>
      </c>
      <c r="N30" s="258">
        <v>11</v>
      </c>
      <c r="O30" s="258">
        <v>12</v>
      </c>
      <c r="P30" s="258">
        <v>13</v>
      </c>
      <c r="Q30" s="258">
        <v>14</v>
      </c>
      <c r="R30" s="258">
        <v>15</v>
      </c>
      <c r="S30" s="258">
        <v>16</v>
      </c>
      <c r="T30" s="258">
        <v>17</v>
      </c>
      <c r="U30" s="258">
        <v>18</v>
      </c>
      <c r="V30" s="258">
        <v>19</v>
      </c>
      <c r="W30" s="258">
        <v>20</v>
      </c>
      <c r="X30" s="258">
        <v>21</v>
      </c>
      <c r="Y30" s="258">
        <v>22</v>
      </c>
      <c r="Z30" s="258">
        <v>23</v>
      </c>
      <c r="AA30" s="258">
        <v>24</v>
      </c>
      <c r="AB30" s="258">
        <v>25</v>
      </c>
      <c r="AC30" s="258">
        <v>26</v>
      </c>
      <c r="AD30" s="258">
        <v>27</v>
      </c>
      <c r="AE30" s="258">
        <v>28</v>
      </c>
      <c r="AF30" s="258">
        <v>29</v>
      </c>
      <c r="AG30" s="258">
        <v>30</v>
      </c>
      <c r="AH30" s="258">
        <v>31</v>
      </c>
      <c r="AI30" s="258">
        <v>32</v>
      </c>
      <c r="AJ30" s="258">
        <v>33</v>
      </c>
      <c r="AK30" s="258">
        <v>34</v>
      </c>
      <c r="AL30" s="258">
        <v>35</v>
      </c>
      <c r="AM30" s="258">
        <v>36</v>
      </c>
      <c r="AN30" s="258">
        <v>37</v>
      </c>
      <c r="AO30" s="258">
        <v>38</v>
      </c>
      <c r="AP30" s="258">
        <v>39</v>
      </c>
    </row>
    <row r="31" spans="2:42" x14ac:dyDescent="0.2">
      <c r="B31" s="510" t="s">
        <v>467</v>
      </c>
      <c r="C31" s="260" t="s">
        <v>9</v>
      </c>
      <c r="D31" s="261">
        <f t="shared" ref="D31:AP31" si="10">D4</f>
        <v>2026</v>
      </c>
      <c r="E31" s="261">
        <f t="shared" si="10"/>
        <v>2027</v>
      </c>
      <c r="F31" s="261">
        <f t="shared" si="10"/>
        <v>2028</v>
      </c>
      <c r="G31" s="261">
        <f t="shared" si="10"/>
        <v>2029</v>
      </c>
      <c r="H31" s="261">
        <f t="shared" si="10"/>
        <v>2030</v>
      </c>
      <c r="I31" s="261">
        <f t="shared" si="10"/>
        <v>2031</v>
      </c>
      <c r="J31" s="261">
        <f t="shared" si="10"/>
        <v>2032</v>
      </c>
      <c r="K31" s="261">
        <f t="shared" si="10"/>
        <v>2033</v>
      </c>
      <c r="L31" s="261">
        <f t="shared" si="10"/>
        <v>2034</v>
      </c>
      <c r="M31" s="261">
        <f t="shared" si="10"/>
        <v>2035</v>
      </c>
      <c r="N31" s="261">
        <f t="shared" si="10"/>
        <v>2036</v>
      </c>
      <c r="O31" s="261">
        <f t="shared" si="10"/>
        <v>2037</v>
      </c>
      <c r="P31" s="261">
        <f t="shared" si="10"/>
        <v>2038</v>
      </c>
      <c r="Q31" s="261">
        <f t="shared" si="10"/>
        <v>2039</v>
      </c>
      <c r="R31" s="261">
        <f t="shared" si="10"/>
        <v>2040</v>
      </c>
      <c r="S31" s="261">
        <f t="shared" si="10"/>
        <v>2041</v>
      </c>
      <c r="T31" s="261">
        <f t="shared" si="10"/>
        <v>2042</v>
      </c>
      <c r="U31" s="261">
        <f t="shared" si="10"/>
        <v>2043</v>
      </c>
      <c r="V31" s="261">
        <f t="shared" si="10"/>
        <v>2044</v>
      </c>
      <c r="W31" s="261">
        <f t="shared" si="10"/>
        <v>2045</v>
      </c>
      <c r="X31" s="261">
        <f t="shared" si="10"/>
        <v>2046</v>
      </c>
      <c r="Y31" s="261">
        <f t="shared" si="10"/>
        <v>2047</v>
      </c>
      <c r="Z31" s="261">
        <f t="shared" si="10"/>
        <v>2048</v>
      </c>
      <c r="AA31" s="261">
        <f t="shared" si="10"/>
        <v>2049</v>
      </c>
      <c r="AB31" s="261">
        <f t="shared" si="10"/>
        <v>2050</v>
      </c>
      <c r="AC31" s="261">
        <f t="shared" si="10"/>
        <v>2051</v>
      </c>
      <c r="AD31" s="261">
        <f t="shared" si="10"/>
        <v>2052</v>
      </c>
      <c r="AE31" s="261">
        <f t="shared" si="10"/>
        <v>2053</v>
      </c>
      <c r="AF31" s="261">
        <f t="shared" si="10"/>
        <v>2054</v>
      </c>
      <c r="AG31" s="261">
        <f t="shared" si="10"/>
        <v>2055</v>
      </c>
      <c r="AH31" s="261">
        <f t="shared" si="10"/>
        <v>2056</v>
      </c>
      <c r="AI31" s="261">
        <f t="shared" si="10"/>
        <v>2057</v>
      </c>
      <c r="AJ31" s="261">
        <f t="shared" si="10"/>
        <v>2058</v>
      </c>
      <c r="AK31" s="261">
        <f t="shared" si="10"/>
        <v>2059</v>
      </c>
      <c r="AL31" s="261">
        <f t="shared" si="10"/>
        <v>2060</v>
      </c>
      <c r="AM31" s="261">
        <f t="shared" si="10"/>
        <v>2061</v>
      </c>
      <c r="AN31" s="261">
        <f t="shared" si="10"/>
        <v>2062</v>
      </c>
      <c r="AO31" s="261">
        <f t="shared" si="10"/>
        <v>2063</v>
      </c>
      <c r="AP31" s="261">
        <f t="shared" si="10"/>
        <v>2064</v>
      </c>
    </row>
    <row r="32" spans="2:42" x14ac:dyDescent="0.2">
      <c r="B32" s="256" t="s">
        <v>288</v>
      </c>
      <c r="C32" s="262">
        <f>SUM(D32:AP32)</f>
        <v>0</v>
      </c>
      <c r="D32" s="262">
        <f>D23*'Parametre EMU550'!C125</f>
        <v>0</v>
      </c>
      <c r="E32" s="262">
        <f>E23*'Parametre EMU550'!D125</f>
        <v>0</v>
      </c>
      <c r="F32" s="262">
        <f>F23*'Parametre EMU550'!E125</f>
        <v>0</v>
      </c>
      <c r="G32" s="262">
        <f>G23*'Parametre EMU550'!F125</f>
        <v>0</v>
      </c>
      <c r="H32" s="262">
        <f>H23*'Parametre EMU550'!G125</f>
        <v>0</v>
      </c>
      <c r="I32" s="262">
        <f>I23*'Parametre EMU550'!H125</f>
        <v>0</v>
      </c>
      <c r="J32" s="262">
        <f>J23*'Parametre EMU550'!I125</f>
        <v>0</v>
      </c>
      <c r="K32" s="262">
        <f>K23*'Parametre EMU550'!J125</f>
        <v>0</v>
      </c>
      <c r="L32" s="262">
        <f>L23*'Parametre EMU550'!K125</f>
        <v>0</v>
      </c>
      <c r="M32" s="262">
        <f>M23*'Parametre EMU550'!L125</f>
        <v>0</v>
      </c>
      <c r="N32" s="262">
        <f>N23*'Parametre EMU550'!M125</f>
        <v>0</v>
      </c>
      <c r="O32" s="262">
        <f>O23*'Parametre EMU550'!N125</f>
        <v>0</v>
      </c>
      <c r="P32" s="262">
        <f>P23*'Parametre EMU550'!O125</f>
        <v>0</v>
      </c>
      <c r="Q32" s="262">
        <f>Q23*'Parametre EMU550'!P125</f>
        <v>0</v>
      </c>
      <c r="R32" s="262">
        <f>R23*'Parametre EMU550'!Q125</f>
        <v>0</v>
      </c>
      <c r="S32" s="262">
        <f>S23*'Parametre EMU550'!R125</f>
        <v>0</v>
      </c>
      <c r="T32" s="262">
        <f>T23*'Parametre EMU550'!S125</f>
        <v>0</v>
      </c>
      <c r="U32" s="262">
        <f>U23*'Parametre EMU550'!T125</f>
        <v>0</v>
      </c>
      <c r="V32" s="262">
        <f>V23*'Parametre EMU550'!U125</f>
        <v>0</v>
      </c>
      <c r="W32" s="262">
        <f>W23*'Parametre EMU550'!V125</f>
        <v>0</v>
      </c>
      <c r="X32" s="262">
        <f>X23*'Parametre EMU550'!W125</f>
        <v>0</v>
      </c>
      <c r="Y32" s="262">
        <f>Y23*'Parametre EMU550'!X125</f>
        <v>0</v>
      </c>
      <c r="Z32" s="262">
        <f>Z23*'Parametre EMU550'!Y125</f>
        <v>0</v>
      </c>
      <c r="AA32" s="262">
        <f>AA23*'Parametre EMU550'!Z125</f>
        <v>0</v>
      </c>
      <c r="AB32" s="262">
        <f>AB23*'Parametre EMU550'!AA125</f>
        <v>0</v>
      </c>
      <c r="AC32" s="262">
        <f>AC23*'Parametre EMU550'!AB125</f>
        <v>0</v>
      </c>
      <c r="AD32" s="262">
        <f>AD23*'Parametre EMU550'!AC125</f>
        <v>0</v>
      </c>
      <c r="AE32" s="262">
        <f>AE23*'Parametre EMU550'!AD125</f>
        <v>0</v>
      </c>
      <c r="AF32" s="262">
        <f>AF23*'Parametre EMU550'!AE125</f>
        <v>0</v>
      </c>
      <c r="AG32" s="262">
        <f>AG23*'Parametre EMU550'!AF125</f>
        <v>0</v>
      </c>
      <c r="AH32" s="262">
        <f>AH23*'Parametre EMU550'!AG125</f>
        <v>0</v>
      </c>
      <c r="AI32" s="262">
        <f>AI23*'Parametre EMU550'!AH125</f>
        <v>0</v>
      </c>
      <c r="AJ32" s="262">
        <f>AJ23*'Parametre EMU550'!AI125</f>
        <v>0</v>
      </c>
      <c r="AK32" s="262">
        <f>AK23*'Parametre EMU550'!AJ125</f>
        <v>0</v>
      </c>
      <c r="AL32" s="262">
        <f>AL23*'Parametre EMU550'!AK125</f>
        <v>0</v>
      </c>
      <c r="AM32" s="262">
        <f>AM23*'Parametre EMU550'!AL125</f>
        <v>0</v>
      </c>
      <c r="AN32" s="262">
        <f>AN23*'Parametre EMU550'!AM125</f>
        <v>0</v>
      </c>
      <c r="AO32" s="262">
        <f>AO23*'Parametre EMU550'!AN125</f>
        <v>0</v>
      </c>
      <c r="AP32" s="262">
        <f>AP23*'Parametre EMU550'!AO125</f>
        <v>0</v>
      </c>
    </row>
    <row r="33" spans="2:42" x14ac:dyDescent="0.2">
      <c r="B33" s="256" t="s">
        <v>289</v>
      </c>
      <c r="C33" s="262">
        <f t="shared" ref="C33:C35" si="11">SUM(D33:AP33)</f>
        <v>0</v>
      </c>
      <c r="D33" s="262">
        <f>D24*'Parametre EMU550'!C126</f>
        <v>0</v>
      </c>
      <c r="E33" s="262">
        <f>E24*'Parametre EMU550'!D126</f>
        <v>0</v>
      </c>
      <c r="F33" s="262">
        <f>F24*'Parametre EMU550'!E126</f>
        <v>0</v>
      </c>
      <c r="G33" s="262">
        <f>G24*'Parametre EMU550'!F126</f>
        <v>0</v>
      </c>
      <c r="H33" s="262">
        <f>H24*'Parametre EMU550'!G126</f>
        <v>0</v>
      </c>
      <c r="I33" s="262">
        <f>I24*'Parametre EMU550'!H126</f>
        <v>0</v>
      </c>
      <c r="J33" s="262">
        <f>J24*'Parametre EMU550'!I126</f>
        <v>0</v>
      </c>
      <c r="K33" s="262">
        <f>K24*'Parametre EMU550'!J126</f>
        <v>0</v>
      </c>
      <c r="L33" s="262">
        <f>L24*'Parametre EMU550'!K126</f>
        <v>0</v>
      </c>
      <c r="M33" s="262">
        <f>M24*'Parametre EMU550'!L126</f>
        <v>0</v>
      </c>
      <c r="N33" s="262">
        <f>N24*'Parametre EMU550'!M126</f>
        <v>0</v>
      </c>
      <c r="O33" s="262">
        <f>O24*'Parametre EMU550'!N126</f>
        <v>0</v>
      </c>
      <c r="P33" s="262">
        <f>P24*'Parametre EMU550'!O126</f>
        <v>0</v>
      </c>
      <c r="Q33" s="262">
        <f>Q24*'Parametre EMU550'!P126</f>
        <v>0</v>
      </c>
      <c r="R33" s="262">
        <f>R24*'Parametre EMU550'!Q126</f>
        <v>0</v>
      </c>
      <c r="S33" s="262">
        <f>S24*'Parametre EMU550'!R126</f>
        <v>0</v>
      </c>
      <c r="T33" s="262">
        <f>T24*'Parametre EMU550'!S126</f>
        <v>0</v>
      </c>
      <c r="U33" s="262">
        <f>U24*'Parametre EMU550'!T126</f>
        <v>0</v>
      </c>
      <c r="V33" s="262">
        <f>V24*'Parametre EMU550'!U126</f>
        <v>0</v>
      </c>
      <c r="W33" s="262">
        <f>W24*'Parametre EMU550'!V126</f>
        <v>0</v>
      </c>
      <c r="X33" s="262">
        <f>X24*'Parametre EMU550'!W126</f>
        <v>0</v>
      </c>
      <c r="Y33" s="262">
        <f>Y24*'Parametre EMU550'!X126</f>
        <v>0</v>
      </c>
      <c r="Z33" s="262">
        <f>Z24*'Parametre EMU550'!Y126</f>
        <v>0</v>
      </c>
      <c r="AA33" s="262">
        <f>AA24*'Parametre EMU550'!Z126</f>
        <v>0</v>
      </c>
      <c r="AB33" s="262">
        <f>AB24*'Parametre EMU550'!AA126</f>
        <v>0</v>
      </c>
      <c r="AC33" s="262">
        <f>AC24*'Parametre EMU550'!AB126</f>
        <v>0</v>
      </c>
      <c r="AD33" s="262">
        <f>AD24*'Parametre EMU550'!AC126</f>
        <v>0</v>
      </c>
      <c r="AE33" s="262">
        <f>AE24*'Parametre EMU550'!AD126</f>
        <v>0</v>
      </c>
      <c r="AF33" s="262">
        <f>AF24*'Parametre EMU550'!AE126</f>
        <v>0</v>
      </c>
      <c r="AG33" s="262">
        <f>AG24*'Parametre EMU550'!AF126</f>
        <v>0</v>
      </c>
      <c r="AH33" s="262">
        <f>AH24*'Parametre EMU550'!AG126</f>
        <v>0</v>
      </c>
      <c r="AI33" s="262">
        <f>AI24*'Parametre EMU550'!AH126</f>
        <v>0</v>
      </c>
      <c r="AJ33" s="262">
        <f>AJ24*'Parametre EMU550'!AI126</f>
        <v>0</v>
      </c>
      <c r="AK33" s="262">
        <f>AK24*'Parametre EMU550'!AJ126</f>
        <v>0</v>
      </c>
      <c r="AL33" s="262">
        <f>AL24*'Parametre EMU550'!AK126</f>
        <v>0</v>
      </c>
      <c r="AM33" s="262">
        <f>AM24*'Parametre EMU550'!AL126</f>
        <v>0</v>
      </c>
      <c r="AN33" s="262">
        <f>AN24*'Parametre EMU550'!AM126</f>
        <v>0</v>
      </c>
      <c r="AO33" s="262">
        <f>AO24*'Parametre EMU550'!AN126</f>
        <v>0</v>
      </c>
      <c r="AP33" s="262">
        <f>AP24*'Parametre EMU550'!AO126</f>
        <v>0</v>
      </c>
    </row>
    <row r="34" spans="2:42" x14ac:dyDescent="0.2">
      <c r="B34" s="256" t="s">
        <v>290</v>
      </c>
      <c r="C34" s="262">
        <f t="shared" si="11"/>
        <v>0</v>
      </c>
      <c r="D34" s="262">
        <f>D25*'Parametre EMU550'!C127</f>
        <v>0</v>
      </c>
      <c r="E34" s="262">
        <f>E25*'Parametre EMU550'!D127</f>
        <v>0</v>
      </c>
      <c r="F34" s="262">
        <f>F25*'Parametre EMU550'!E127</f>
        <v>0</v>
      </c>
      <c r="G34" s="262">
        <f>G25*'Parametre EMU550'!F127</f>
        <v>0</v>
      </c>
      <c r="H34" s="262">
        <f>H25*'Parametre EMU550'!G127</f>
        <v>0</v>
      </c>
      <c r="I34" s="262">
        <f>I25*'Parametre EMU550'!H127</f>
        <v>0</v>
      </c>
      <c r="J34" s="262">
        <f>J25*'Parametre EMU550'!I127</f>
        <v>0</v>
      </c>
      <c r="K34" s="262">
        <f>K25*'Parametre EMU550'!J127</f>
        <v>0</v>
      </c>
      <c r="L34" s="262">
        <f>L25*'Parametre EMU550'!K127</f>
        <v>0</v>
      </c>
      <c r="M34" s="262">
        <f>M25*'Parametre EMU550'!L127</f>
        <v>0</v>
      </c>
      <c r="N34" s="262">
        <f>N25*'Parametre EMU550'!M127</f>
        <v>0</v>
      </c>
      <c r="O34" s="262">
        <f>O25*'Parametre EMU550'!N127</f>
        <v>0</v>
      </c>
      <c r="P34" s="262">
        <f>P25*'Parametre EMU550'!O127</f>
        <v>0</v>
      </c>
      <c r="Q34" s="262">
        <f>Q25*'Parametre EMU550'!P127</f>
        <v>0</v>
      </c>
      <c r="R34" s="262">
        <f>R25*'Parametre EMU550'!Q127</f>
        <v>0</v>
      </c>
      <c r="S34" s="262">
        <f>S25*'Parametre EMU550'!R127</f>
        <v>0</v>
      </c>
      <c r="T34" s="262">
        <f>T25*'Parametre EMU550'!S127</f>
        <v>0</v>
      </c>
      <c r="U34" s="262">
        <f>U25*'Parametre EMU550'!T127</f>
        <v>0</v>
      </c>
      <c r="V34" s="262">
        <f>V25*'Parametre EMU550'!U127</f>
        <v>0</v>
      </c>
      <c r="W34" s="262">
        <f>W25*'Parametre EMU550'!V127</f>
        <v>0</v>
      </c>
      <c r="X34" s="262">
        <f>X25*'Parametre EMU550'!W127</f>
        <v>0</v>
      </c>
      <c r="Y34" s="262">
        <f>Y25*'Parametre EMU550'!X127</f>
        <v>0</v>
      </c>
      <c r="Z34" s="262">
        <f>Z25*'Parametre EMU550'!Y127</f>
        <v>0</v>
      </c>
      <c r="AA34" s="262">
        <f>AA25*'Parametre EMU550'!Z127</f>
        <v>0</v>
      </c>
      <c r="AB34" s="262">
        <f>AB25*'Parametre EMU550'!AA127</f>
        <v>0</v>
      </c>
      <c r="AC34" s="262">
        <f>AC25*'Parametre EMU550'!AB127</f>
        <v>0</v>
      </c>
      <c r="AD34" s="262">
        <f>AD25*'Parametre EMU550'!AC127</f>
        <v>0</v>
      </c>
      <c r="AE34" s="262">
        <f>AE25*'Parametre EMU550'!AD127</f>
        <v>0</v>
      </c>
      <c r="AF34" s="262">
        <f>AF25*'Parametre EMU550'!AE127</f>
        <v>0</v>
      </c>
      <c r="AG34" s="262">
        <f>AG25*'Parametre EMU550'!AF127</f>
        <v>0</v>
      </c>
      <c r="AH34" s="262">
        <f>AH25*'Parametre EMU550'!AG127</f>
        <v>0</v>
      </c>
      <c r="AI34" s="262">
        <f>AI25*'Parametre EMU550'!AH127</f>
        <v>0</v>
      </c>
      <c r="AJ34" s="262">
        <f>AJ25*'Parametre EMU550'!AI127</f>
        <v>0</v>
      </c>
      <c r="AK34" s="262">
        <f>AK25*'Parametre EMU550'!AJ127</f>
        <v>0</v>
      </c>
      <c r="AL34" s="262">
        <f>AL25*'Parametre EMU550'!AK127</f>
        <v>0</v>
      </c>
      <c r="AM34" s="262">
        <f>AM25*'Parametre EMU550'!AL127</f>
        <v>0</v>
      </c>
      <c r="AN34" s="262">
        <f>AN25*'Parametre EMU550'!AM127</f>
        <v>0</v>
      </c>
      <c r="AO34" s="262">
        <f>AO25*'Parametre EMU550'!AN127</f>
        <v>0</v>
      </c>
      <c r="AP34" s="262">
        <f>AP25*'Parametre EMU550'!AO127</f>
        <v>0</v>
      </c>
    </row>
    <row r="35" spans="2:42" x14ac:dyDescent="0.2">
      <c r="B35" s="502" t="s">
        <v>291</v>
      </c>
      <c r="C35" s="503">
        <f t="shared" si="11"/>
        <v>0</v>
      </c>
      <c r="D35" s="503">
        <f t="shared" ref="D35:AG35" si="12">SUM(D32:D34)</f>
        <v>0</v>
      </c>
      <c r="E35" s="504">
        <f t="shared" si="12"/>
        <v>0</v>
      </c>
      <c r="F35" s="504">
        <f t="shared" si="12"/>
        <v>0</v>
      </c>
      <c r="G35" s="504">
        <f t="shared" si="12"/>
        <v>0</v>
      </c>
      <c r="H35" s="504">
        <f t="shared" si="12"/>
        <v>0</v>
      </c>
      <c r="I35" s="504">
        <f t="shared" si="12"/>
        <v>0</v>
      </c>
      <c r="J35" s="504">
        <f t="shared" si="12"/>
        <v>0</v>
      </c>
      <c r="K35" s="504">
        <f t="shared" si="12"/>
        <v>0</v>
      </c>
      <c r="L35" s="504">
        <f t="shared" si="12"/>
        <v>0</v>
      </c>
      <c r="M35" s="504">
        <f t="shared" si="12"/>
        <v>0</v>
      </c>
      <c r="N35" s="504">
        <f t="shared" si="12"/>
        <v>0</v>
      </c>
      <c r="O35" s="504">
        <f t="shared" si="12"/>
        <v>0</v>
      </c>
      <c r="P35" s="504">
        <f t="shared" si="12"/>
        <v>0</v>
      </c>
      <c r="Q35" s="504">
        <f t="shared" si="12"/>
        <v>0</v>
      </c>
      <c r="R35" s="504">
        <f t="shared" si="12"/>
        <v>0</v>
      </c>
      <c r="S35" s="504">
        <f t="shared" si="12"/>
        <v>0</v>
      </c>
      <c r="T35" s="504">
        <f t="shared" si="12"/>
        <v>0</v>
      </c>
      <c r="U35" s="504">
        <f t="shared" si="12"/>
        <v>0</v>
      </c>
      <c r="V35" s="504">
        <f t="shared" si="12"/>
        <v>0</v>
      </c>
      <c r="W35" s="504">
        <f t="shared" si="12"/>
        <v>0</v>
      </c>
      <c r="X35" s="504">
        <f t="shared" si="12"/>
        <v>0</v>
      </c>
      <c r="Y35" s="504">
        <f t="shared" si="12"/>
        <v>0</v>
      </c>
      <c r="Z35" s="504">
        <f t="shared" si="12"/>
        <v>0</v>
      </c>
      <c r="AA35" s="504">
        <f t="shared" si="12"/>
        <v>0</v>
      </c>
      <c r="AB35" s="504">
        <f t="shared" si="12"/>
        <v>0</v>
      </c>
      <c r="AC35" s="504">
        <f t="shared" si="12"/>
        <v>0</v>
      </c>
      <c r="AD35" s="504">
        <f t="shared" si="12"/>
        <v>0</v>
      </c>
      <c r="AE35" s="504">
        <f t="shared" si="12"/>
        <v>0</v>
      </c>
      <c r="AF35" s="504">
        <f t="shared" si="12"/>
        <v>0</v>
      </c>
      <c r="AG35" s="504">
        <f t="shared" si="12"/>
        <v>0</v>
      </c>
      <c r="AH35" s="504">
        <f t="shared" ref="AH35:AP35" si="13">SUM(AH32:AH34)</f>
        <v>0</v>
      </c>
      <c r="AI35" s="504">
        <f t="shared" si="13"/>
        <v>0</v>
      </c>
      <c r="AJ35" s="504">
        <f t="shared" si="13"/>
        <v>0</v>
      </c>
      <c r="AK35" s="504">
        <f t="shared" si="13"/>
        <v>0</v>
      </c>
      <c r="AL35" s="504">
        <f t="shared" si="13"/>
        <v>0</v>
      </c>
      <c r="AM35" s="504">
        <f t="shared" si="13"/>
        <v>0</v>
      </c>
      <c r="AN35" s="504">
        <f t="shared" si="13"/>
        <v>0</v>
      </c>
      <c r="AO35" s="504">
        <f t="shared" si="13"/>
        <v>0</v>
      </c>
      <c r="AP35" s="504">
        <f t="shared" si="13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6ABD-FAA7-4B03-BF88-1E39DFE0D166}">
  <sheetPr>
    <tabColor rgb="FFCCFF99"/>
  </sheetPr>
  <dimension ref="B2:AP47"/>
  <sheetViews>
    <sheetView zoomScale="90" zoomScaleNormal="90" workbookViewId="0"/>
  </sheetViews>
  <sheetFormatPr defaultColWidth="9.140625" defaultRowHeight="11.25" x14ac:dyDescent="0.2"/>
  <cols>
    <col min="1" max="1" width="3.85546875" style="255" customWidth="1"/>
    <col min="2" max="2" width="46.42578125" style="255" bestFit="1" customWidth="1"/>
    <col min="3" max="3" width="7.140625" style="255" bestFit="1" customWidth="1"/>
    <col min="4" max="42" width="5.5703125" style="255" bestFit="1" customWidth="1"/>
    <col min="43" max="16384" width="9.140625" style="255"/>
  </cols>
  <sheetData>
    <row r="2" spans="2:42" x14ac:dyDescent="0.2">
      <c r="B2" s="256"/>
      <c r="C2" s="256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 t="s">
        <v>468</v>
      </c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x14ac:dyDescent="0.2">
      <c r="B4" s="259" t="s">
        <v>33</v>
      </c>
      <c r="C4" s="260" t="s">
        <v>9</v>
      </c>
      <c r="D4" s="261">
        <v>2026</v>
      </c>
      <c r="E4" s="261">
        <f>D4+$D$3</f>
        <v>2027</v>
      </c>
      <c r="F4" s="261">
        <f t="shared" ref="F4:AP4" si="0">E4+$D$3</f>
        <v>2028</v>
      </c>
      <c r="G4" s="261">
        <f t="shared" si="0"/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x14ac:dyDescent="0.2">
      <c r="B5" s="256" t="s">
        <v>413</v>
      </c>
      <c r="C5" s="262">
        <f>SUM(D5:AP5)</f>
        <v>0</v>
      </c>
      <c r="D5" s="263">
        <v>0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0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0</v>
      </c>
      <c r="AE5" s="263">
        <v>0</v>
      </c>
      <c r="AF5" s="263">
        <v>0</v>
      </c>
      <c r="AG5" s="263">
        <v>0</v>
      </c>
      <c r="AH5" s="263">
        <v>0</v>
      </c>
      <c r="AI5" s="263">
        <v>0</v>
      </c>
      <c r="AJ5" s="263">
        <v>0</v>
      </c>
      <c r="AK5" s="263">
        <v>0</v>
      </c>
      <c r="AL5" s="263">
        <v>0</v>
      </c>
      <c r="AM5" s="263">
        <v>0</v>
      </c>
      <c r="AN5" s="263">
        <v>0</v>
      </c>
      <c r="AO5" s="263">
        <v>0</v>
      </c>
      <c r="AP5" s="263">
        <v>0</v>
      </c>
    </row>
    <row r="6" spans="2:42" x14ac:dyDescent="0.2">
      <c r="B6" s="256" t="s">
        <v>414</v>
      </c>
      <c r="C6" s="262">
        <f t="shared" ref="C6:C11" si="1">SUM(D6:AP6)</f>
        <v>0</v>
      </c>
      <c r="D6" s="263">
        <v>0</v>
      </c>
      <c r="E6" s="263">
        <v>0</v>
      </c>
      <c r="F6" s="263">
        <v>0</v>
      </c>
      <c r="G6" s="263">
        <v>0</v>
      </c>
      <c r="H6" s="263">
        <v>0</v>
      </c>
      <c r="I6" s="263">
        <v>0</v>
      </c>
      <c r="J6" s="263">
        <v>0</v>
      </c>
      <c r="K6" s="263">
        <v>0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0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0</v>
      </c>
      <c r="AE6" s="263">
        <v>0</v>
      </c>
      <c r="AF6" s="263">
        <v>0</v>
      </c>
      <c r="AG6" s="263">
        <v>0</v>
      </c>
      <c r="AH6" s="263">
        <v>0</v>
      </c>
      <c r="AI6" s="263">
        <v>0</v>
      </c>
      <c r="AJ6" s="263">
        <v>0</v>
      </c>
      <c r="AK6" s="263">
        <v>0</v>
      </c>
      <c r="AL6" s="263">
        <v>0</v>
      </c>
      <c r="AM6" s="263">
        <v>0</v>
      </c>
      <c r="AN6" s="263">
        <v>0</v>
      </c>
      <c r="AO6" s="263">
        <v>0</v>
      </c>
      <c r="AP6" s="263">
        <v>0</v>
      </c>
    </row>
    <row r="7" spans="2:42" x14ac:dyDescent="0.2">
      <c r="B7" s="256" t="s">
        <v>415</v>
      </c>
      <c r="C7" s="262">
        <f t="shared" si="1"/>
        <v>0</v>
      </c>
      <c r="D7" s="263">
        <v>0</v>
      </c>
      <c r="E7" s="263">
        <v>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  <c r="AP7" s="263">
        <v>0</v>
      </c>
    </row>
    <row r="8" spans="2:42" x14ac:dyDescent="0.2">
      <c r="B8" s="256" t="s">
        <v>416</v>
      </c>
      <c r="C8" s="262">
        <f t="shared" si="1"/>
        <v>0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</row>
    <row r="9" spans="2:42" x14ac:dyDescent="0.2">
      <c r="B9" s="256" t="s">
        <v>417</v>
      </c>
      <c r="C9" s="262">
        <f t="shared" si="1"/>
        <v>0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</row>
    <row r="10" spans="2:42" x14ac:dyDescent="0.2">
      <c r="B10" s="256" t="s">
        <v>418</v>
      </c>
      <c r="C10" s="262">
        <f t="shared" si="1"/>
        <v>0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</row>
    <row r="11" spans="2:42" x14ac:dyDescent="0.2">
      <c r="B11" s="257" t="s">
        <v>9</v>
      </c>
      <c r="C11" s="264">
        <f t="shared" si="1"/>
        <v>0</v>
      </c>
      <c r="D11" s="264">
        <f>SUM(D5:D10)</f>
        <v>0</v>
      </c>
      <c r="E11" s="264">
        <f t="shared" ref="E11:AP11" si="2">SUM(E5:E10)</f>
        <v>0</v>
      </c>
      <c r="F11" s="264">
        <f t="shared" si="2"/>
        <v>0</v>
      </c>
      <c r="G11" s="264">
        <f t="shared" si="2"/>
        <v>0</v>
      </c>
      <c r="H11" s="264">
        <f t="shared" si="2"/>
        <v>0</v>
      </c>
      <c r="I11" s="264">
        <f t="shared" si="2"/>
        <v>0</v>
      </c>
      <c r="J11" s="264">
        <f t="shared" si="2"/>
        <v>0</v>
      </c>
      <c r="K11" s="264">
        <f t="shared" si="2"/>
        <v>0</v>
      </c>
      <c r="L11" s="264">
        <f t="shared" si="2"/>
        <v>0</v>
      </c>
      <c r="M11" s="264">
        <f t="shared" si="2"/>
        <v>0</v>
      </c>
      <c r="N11" s="264">
        <f t="shared" si="2"/>
        <v>0</v>
      </c>
      <c r="O11" s="264">
        <f t="shared" si="2"/>
        <v>0</v>
      </c>
      <c r="P11" s="264">
        <f t="shared" si="2"/>
        <v>0</v>
      </c>
      <c r="Q11" s="264">
        <f t="shared" si="2"/>
        <v>0</v>
      </c>
      <c r="R11" s="264">
        <f t="shared" si="2"/>
        <v>0</v>
      </c>
      <c r="S11" s="264">
        <f t="shared" si="2"/>
        <v>0</v>
      </c>
      <c r="T11" s="264">
        <f t="shared" si="2"/>
        <v>0</v>
      </c>
      <c r="U11" s="264">
        <f t="shared" si="2"/>
        <v>0</v>
      </c>
      <c r="V11" s="264">
        <f t="shared" si="2"/>
        <v>0</v>
      </c>
      <c r="W11" s="264">
        <f t="shared" si="2"/>
        <v>0</v>
      </c>
      <c r="X11" s="264">
        <f t="shared" si="2"/>
        <v>0</v>
      </c>
      <c r="Y11" s="264">
        <f t="shared" si="2"/>
        <v>0</v>
      </c>
      <c r="Z11" s="264">
        <f t="shared" si="2"/>
        <v>0</v>
      </c>
      <c r="AA11" s="264">
        <f t="shared" si="2"/>
        <v>0</v>
      </c>
      <c r="AB11" s="264">
        <f t="shared" si="2"/>
        <v>0</v>
      </c>
      <c r="AC11" s="264">
        <f t="shared" si="2"/>
        <v>0</v>
      </c>
      <c r="AD11" s="264">
        <f t="shared" si="2"/>
        <v>0</v>
      </c>
      <c r="AE11" s="264">
        <f t="shared" si="2"/>
        <v>0</v>
      </c>
      <c r="AF11" s="264">
        <f t="shared" si="2"/>
        <v>0</v>
      </c>
      <c r="AG11" s="264">
        <f t="shared" si="2"/>
        <v>0</v>
      </c>
      <c r="AH11" s="264">
        <f t="shared" si="2"/>
        <v>0</v>
      </c>
      <c r="AI11" s="264">
        <f t="shared" si="2"/>
        <v>0</v>
      </c>
      <c r="AJ11" s="264">
        <f t="shared" si="2"/>
        <v>0</v>
      </c>
      <c r="AK11" s="264">
        <f t="shared" si="2"/>
        <v>0</v>
      </c>
      <c r="AL11" s="264">
        <f t="shared" si="2"/>
        <v>0</v>
      </c>
      <c r="AM11" s="264">
        <f t="shared" si="2"/>
        <v>0</v>
      </c>
      <c r="AN11" s="264">
        <f t="shared" si="2"/>
        <v>0</v>
      </c>
      <c r="AO11" s="264">
        <f t="shared" si="2"/>
        <v>0</v>
      </c>
      <c r="AP11" s="264">
        <f t="shared" si="2"/>
        <v>0</v>
      </c>
    </row>
    <row r="14" spans="2:42" x14ac:dyDescent="0.2">
      <c r="B14" s="256"/>
      <c r="C14" s="256"/>
      <c r="D14" s="256" t="s">
        <v>10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</row>
    <row r="15" spans="2:42" x14ac:dyDescent="0.2">
      <c r="B15" s="257" t="s">
        <v>469</v>
      </c>
      <c r="C15" s="257"/>
      <c r="D15" s="258">
        <v>1</v>
      </c>
      <c r="E15" s="258">
        <v>2</v>
      </c>
      <c r="F15" s="258">
        <v>3</v>
      </c>
      <c r="G15" s="258">
        <v>4</v>
      </c>
      <c r="H15" s="258">
        <v>5</v>
      </c>
      <c r="I15" s="258">
        <v>6</v>
      </c>
      <c r="J15" s="258">
        <v>7</v>
      </c>
      <c r="K15" s="258">
        <v>8</v>
      </c>
      <c r="L15" s="258">
        <v>9</v>
      </c>
      <c r="M15" s="258">
        <v>10</v>
      </c>
      <c r="N15" s="258">
        <v>11</v>
      </c>
      <c r="O15" s="258">
        <v>12</v>
      </c>
      <c r="P15" s="258">
        <v>13</v>
      </c>
      <c r="Q15" s="258">
        <v>14</v>
      </c>
      <c r="R15" s="258">
        <v>15</v>
      </c>
      <c r="S15" s="258">
        <v>16</v>
      </c>
      <c r="T15" s="258">
        <v>17</v>
      </c>
      <c r="U15" s="258">
        <v>18</v>
      </c>
      <c r="V15" s="258">
        <v>19</v>
      </c>
      <c r="W15" s="258">
        <v>20</v>
      </c>
      <c r="X15" s="258">
        <v>21</v>
      </c>
      <c r="Y15" s="258">
        <v>22</v>
      </c>
      <c r="Z15" s="258">
        <v>23</v>
      </c>
      <c r="AA15" s="258">
        <v>24</v>
      </c>
      <c r="AB15" s="258">
        <v>25</v>
      </c>
      <c r="AC15" s="258">
        <v>26</v>
      </c>
      <c r="AD15" s="258">
        <v>27</v>
      </c>
      <c r="AE15" s="258">
        <v>28</v>
      </c>
      <c r="AF15" s="258">
        <v>29</v>
      </c>
      <c r="AG15" s="258">
        <v>30</v>
      </c>
      <c r="AH15" s="258">
        <v>31</v>
      </c>
      <c r="AI15" s="258">
        <v>32</v>
      </c>
      <c r="AJ15" s="258">
        <v>33</v>
      </c>
      <c r="AK15" s="258">
        <v>34</v>
      </c>
      <c r="AL15" s="258">
        <v>35</v>
      </c>
      <c r="AM15" s="258">
        <v>36</v>
      </c>
      <c r="AN15" s="258">
        <v>37</v>
      </c>
      <c r="AO15" s="258">
        <v>38</v>
      </c>
      <c r="AP15" s="258">
        <v>39</v>
      </c>
    </row>
    <row r="16" spans="2:42" x14ac:dyDescent="0.2">
      <c r="B16" s="259" t="s">
        <v>34</v>
      </c>
      <c r="C16" s="260" t="s">
        <v>9</v>
      </c>
      <c r="D16" s="261">
        <f t="shared" ref="D16:AP16" si="3">D4</f>
        <v>2026</v>
      </c>
      <c r="E16" s="261">
        <f t="shared" si="3"/>
        <v>2027</v>
      </c>
      <c r="F16" s="261">
        <f t="shared" si="3"/>
        <v>2028</v>
      </c>
      <c r="G16" s="261">
        <f t="shared" si="3"/>
        <v>2029</v>
      </c>
      <c r="H16" s="261">
        <f t="shared" si="3"/>
        <v>2030</v>
      </c>
      <c r="I16" s="261">
        <f t="shared" si="3"/>
        <v>2031</v>
      </c>
      <c r="J16" s="261">
        <f t="shared" si="3"/>
        <v>2032</v>
      </c>
      <c r="K16" s="261">
        <f t="shared" si="3"/>
        <v>2033</v>
      </c>
      <c r="L16" s="261">
        <f t="shared" si="3"/>
        <v>2034</v>
      </c>
      <c r="M16" s="261">
        <f t="shared" si="3"/>
        <v>2035</v>
      </c>
      <c r="N16" s="261">
        <f t="shared" si="3"/>
        <v>2036</v>
      </c>
      <c r="O16" s="261">
        <f t="shared" si="3"/>
        <v>2037</v>
      </c>
      <c r="P16" s="261">
        <f t="shared" si="3"/>
        <v>2038</v>
      </c>
      <c r="Q16" s="261">
        <f t="shared" si="3"/>
        <v>2039</v>
      </c>
      <c r="R16" s="261">
        <f t="shared" si="3"/>
        <v>2040</v>
      </c>
      <c r="S16" s="261">
        <f t="shared" si="3"/>
        <v>2041</v>
      </c>
      <c r="T16" s="261">
        <f t="shared" si="3"/>
        <v>2042</v>
      </c>
      <c r="U16" s="261">
        <f t="shared" si="3"/>
        <v>2043</v>
      </c>
      <c r="V16" s="261">
        <f t="shared" si="3"/>
        <v>2044</v>
      </c>
      <c r="W16" s="261">
        <f t="shared" si="3"/>
        <v>2045</v>
      </c>
      <c r="X16" s="261">
        <f t="shared" si="3"/>
        <v>2046</v>
      </c>
      <c r="Y16" s="261">
        <f t="shared" si="3"/>
        <v>2047</v>
      </c>
      <c r="Z16" s="261">
        <f t="shared" si="3"/>
        <v>2048</v>
      </c>
      <c r="AA16" s="261">
        <f t="shared" si="3"/>
        <v>2049</v>
      </c>
      <c r="AB16" s="261">
        <f t="shared" si="3"/>
        <v>2050</v>
      </c>
      <c r="AC16" s="261">
        <f t="shared" si="3"/>
        <v>2051</v>
      </c>
      <c r="AD16" s="261">
        <f t="shared" si="3"/>
        <v>2052</v>
      </c>
      <c r="AE16" s="261">
        <f t="shared" si="3"/>
        <v>2053</v>
      </c>
      <c r="AF16" s="261">
        <f t="shared" si="3"/>
        <v>2054</v>
      </c>
      <c r="AG16" s="261">
        <f t="shared" si="3"/>
        <v>2055</v>
      </c>
      <c r="AH16" s="261">
        <f t="shared" si="3"/>
        <v>2056</v>
      </c>
      <c r="AI16" s="261">
        <f t="shared" si="3"/>
        <v>2057</v>
      </c>
      <c r="AJ16" s="261">
        <f t="shared" si="3"/>
        <v>2058</v>
      </c>
      <c r="AK16" s="261">
        <f t="shared" si="3"/>
        <v>2059</v>
      </c>
      <c r="AL16" s="261">
        <f t="shared" si="3"/>
        <v>2060</v>
      </c>
      <c r="AM16" s="261">
        <f t="shared" si="3"/>
        <v>2061</v>
      </c>
      <c r="AN16" s="261">
        <f t="shared" si="3"/>
        <v>2062</v>
      </c>
      <c r="AO16" s="261">
        <f t="shared" si="3"/>
        <v>2063</v>
      </c>
      <c r="AP16" s="261">
        <f t="shared" si="3"/>
        <v>2064</v>
      </c>
    </row>
    <row r="17" spans="2:42" x14ac:dyDescent="0.2">
      <c r="B17" s="256" t="s">
        <v>413</v>
      </c>
      <c r="C17" s="262">
        <f>SUM(D17:AP17)</f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</row>
    <row r="18" spans="2:42" x14ac:dyDescent="0.2">
      <c r="B18" s="256" t="s">
        <v>414</v>
      </c>
      <c r="C18" s="262">
        <f t="shared" ref="C18:C23" si="4">SUM(D18:AP18)</f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</row>
    <row r="19" spans="2:42" x14ac:dyDescent="0.2">
      <c r="B19" s="256" t="s">
        <v>415</v>
      </c>
      <c r="C19" s="262">
        <f t="shared" si="4"/>
        <v>0</v>
      </c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</row>
    <row r="20" spans="2:42" x14ac:dyDescent="0.2">
      <c r="B20" s="256" t="s">
        <v>416</v>
      </c>
      <c r="C20" s="262">
        <f t="shared" si="4"/>
        <v>0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</row>
    <row r="21" spans="2:42" x14ac:dyDescent="0.2">
      <c r="B21" s="256" t="s">
        <v>417</v>
      </c>
      <c r="C21" s="262">
        <f t="shared" si="4"/>
        <v>0</v>
      </c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</row>
    <row r="22" spans="2:42" x14ac:dyDescent="0.2">
      <c r="B22" s="256" t="s">
        <v>418</v>
      </c>
      <c r="C22" s="262">
        <f t="shared" si="4"/>
        <v>0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</row>
    <row r="23" spans="2:42" x14ac:dyDescent="0.2">
      <c r="B23" s="257" t="s">
        <v>35</v>
      </c>
      <c r="C23" s="264">
        <f t="shared" si="4"/>
        <v>0</v>
      </c>
      <c r="D23" s="264">
        <f t="shared" ref="D23:AP23" si="5">SUM(D17:D22)</f>
        <v>0</v>
      </c>
      <c r="E23" s="264">
        <f t="shared" si="5"/>
        <v>0</v>
      </c>
      <c r="F23" s="264">
        <f t="shared" si="5"/>
        <v>0</v>
      </c>
      <c r="G23" s="264">
        <f t="shared" si="5"/>
        <v>0</v>
      </c>
      <c r="H23" s="264">
        <f t="shared" si="5"/>
        <v>0</v>
      </c>
      <c r="I23" s="264">
        <f t="shared" si="5"/>
        <v>0</v>
      </c>
      <c r="J23" s="264">
        <f t="shared" si="5"/>
        <v>0</v>
      </c>
      <c r="K23" s="264">
        <f t="shared" si="5"/>
        <v>0</v>
      </c>
      <c r="L23" s="264">
        <f t="shared" si="5"/>
        <v>0</v>
      </c>
      <c r="M23" s="264">
        <f t="shared" si="5"/>
        <v>0</v>
      </c>
      <c r="N23" s="264">
        <f t="shared" si="5"/>
        <v>0</v>
      </c>
      <c r="O23" s="264">
        <f t="shared" si="5"/>
        <v>0</v>
      </c>
      <c r="P23" s="264">
        <f t="shared" si="5"/>
        <v>0</v>
      </c>
      <c r="Q23" s="264">
        <f t="shared" si="5"/>
        <v>0</v>
      </c>
      <c r="R23" s="264">
        <f t="shared" si="5"/>
        <v>0</v>
      </c>
      <c r="S23" s="264">
        <f t="shared" si="5"/>
        <v>0</v>
      </c>
      <c r="T23" s="264">
        <f t="shared" si="5"/>
        <v>0</v>
      </c>
      <c r="U23" s="264">
        <f t="shared" si="5"/>
        <v>0</v>
      </c>
      <c r="V23" s="264">
        <f t="shared" si="5"/>
        <v>0</v>
      </c>
      <c r="W23" s="264">
        <f t="shared" si="5"/>
        <v>0</v>
      </c>
      <c r="X23" s="264">
        <f t="shared" si="5"/>
        <v>0</v>
      </c>
      <c r="Y23" s="264">
        <f t="shared" si="5"/>
        <v>0</v>
      </c>
      <c r="Z23" s="264">
        <f t="shared" si="5"/>
        <v>0</v>
      </c>
      <c r="AA23" s="264">
        <f t="shared" si="5"/>
        <v>0</v>
      </c>
      <c r="AB23" s="264">
        <f t="shared" si="5"/>
        <v>0</v>
      </c>
      <c r="AC23" s="264">
        <f t="shared" si="5"/>
        <v>0</v>
      </c>
      <c r="AD23" s="264">
        <f t="shared" si="5"/>
        <v>0</v>
      </c>
      <c r="AE23" s="264">
        <f t="shared" si="5"/>
        <v>0</v>
      </c>
      <c r="AF23" s="264">
        <f t="shared" si="5"/>
        <v>0</v>
      </c>
      <c r="AG23" s="264">
        <f t="shared" si="5"/>
        <v>0</v>
      </c>
      <c r="AH23" s="264">
        <f t="shared" si="5"/>
        <v>0</v>
      </c>
      <c r="AI23" s="264">
        <f t="shared" si="5"/>
        <v>0</v>
      </c>
      <c r="AJ23" s="264">
        <f t="shared" si="5"/>
        <v>0</v>
      </c>
      <c r="AK23" s="264">
        <f t="shared" si="5"/>
        <v>0</v>
      </c>
      <c r="AL23" s="264">
        <f t="shared" si="5"/>
        <v>0</v>
      </c>
      <c r="AM23" s="264">
        <f t="shared" si="5"/>
        <v>0</v>
      </c>
      <c r="AN23" s="264">
        <f t="shared" si="5"/>
        <v>0</v>
      </c>
      <c r="AO23" s="264">
        <f t="shared" si="5"/>
        <v>0</v>
      </c>
      <c r="AP23" s="264">
        <f t="shared" si="5"/>
        <v>0</v>
      </c>
    </row>
    <row r="26" spans="2:42" x14ac:dyDescent="0.2">
      <c r="B26" s="256"/>
      <c r="C26" s="256"/>
      <c r="D26" s="256" t="s">
        <v>10</v>
      </c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</row>
    <row r="27" spans="2:42" x14ac:dyDescent="0.2">
      <c r="B27" s="257" t="s">
        <v>470</v>
      </c>
      <c r="C27" s="257"/>
      <c r="D27" s="258">
        <v>1</v>
      </c>
      <c r="E27" s="258">
        <v>2</v>
      </c>
      <c r="F27" s="258">
        <v>3</v>
      </c>
      <c r="G27" s="258">
        <v>4</v>
      </c>
      <c r="H27" s="258">
        <v>5</v>
      </c>
      <c r="I27" s="258">
        <v>6</v>
      </c>
      <c r="J27" s="258">
        <v>7</v>
      </c>
      <c r="K27" s="258">
        <v>8</v>
      </c>
      <c r="L27" s="258">
        <v>9</v>
      </c>
      <c r="M27" s="258">
        <v>10</v>
      </c>
      <c r="N27" s="258">
        <v>11</v>
      </c>
      <c r="O27" s="258">
        <v>12</v>
      </c>
      <c r="P27" s="258">
        <v>13</v>
      </c>
      <c r="Q27" s="258">
        <v>14</v>
      </c>
      <c r="R27" s="258">
        <v>15</v>
      </c>
      <c r="S27" s="258">
        <v>16</v>
      </c>
      <c r="T27" s="258">
        <v>17</v>
      </c>
      <c r="U27" s="258">
        <v>18</v>
      </c>
      <c r="V27" s="258">
        <v>19</v>
      </c>
      <c r="W27" s="258">
        <v>20</v>
      </c>
      <c r="X27" s="258">
        <v>21</v>
      </c>
      <c r="Y27" s="258">
        <v>22</v>
      </c>
      <c r="Z27" s="258">
        <v>23</v>
      </c>
      <c r="AA27" s="258">
        <v>24</v>
      </c>
      <c r="AB27" s="258">
        <v>25</v>
      </c>
      <c r="AC27" s="258">
        <v>26</v>
      </c>
      <c r="AD27" s="258">
        <v>27</v>
      </c>
      <c r="AE27" s="258">
        <v>28</v>
      </c>
      <c r="AF27" s="258">
        <v>29</v>
      </c>
      <c r="AG27" s="258">
        <v>30</v>
      </c>
      <c r="AH27" s="258">
        <v>31</v>
      </c>
      <c r="AI27" s="258">
        <v>32</v>
      </c>
      <c r="AJ27" s="258">
        <v>33</v>
      </c>
      <c r="AK27" s="258">
        <v>34</v>
      </c>
      <c r="AL27" s="258">
        <v>35</v>
      </c>
      <c r="AM27" s="258">
        <v>36</v>
      </c>
      <c r="AN27" s="258">
        <v>37</v>
      </c>
      <c r="AO27" s="258">
        <v>38</v>
      </c>
      <c r="AP27" s="258">
        <v>39</v>
      </c>
    </row>
    <row r="28" spans="2:42" x14ac:dyDescent="0.2">
      <c r="B28" s="259" t="s">
        <v>63</v>
      </c>
      <c r="C28" s="260" t="s">
        <v>9</v>
      </c>
      <c r="D28" s="261">
        <f t="shared" ref="D28:AP28" si="6">D4</f>
        <v>2026</v>
      </c>
      <c r="E28" s="261">
        <f t="shared" si="6"/>
        <v>2027</v>
      </c>
      <c r="F28" s="261">
        <f t="shared" si="6"/>
        <v>2028</v>
      </c>
      <c r="G28" s="261">
        <f t="shared" si="6"/>
        <v>2029</v>
      </c>
      <c r="H28" s="261">
        <f t="shared" si="6"/>
        <v>2030</v>
      </c>
      <c r="I28" s="261">
        <f t="shared" si="6"/>
        <v>2031</v>
      </c>
      <c r="J28" s="261">
        <f t="shared" si="6"/>
        <v>2032</v>
      </c>
      <c r="K28" s="261">
        <f t="shared" si="6"/>
        <v>2033</v>
      </c>
      <c r="L28" s="261">
        <f t="shared" si="6"/>
        <v>2034</v>
      </c>
      <c r="M28" s="261">
        <f t="shared" si="6"/>
        <v>2035</v>
      </c>
      <c r="N28" s="261">
        <f t="shared" si="6"/>
        <v>2036</v>
      </c>
      <c r="O28" s="261">
        <f t="shared" si="6"/>
        <v>2037</v>
      </c>
      <c r="P28" s="261">
        <f t="shared" si="6"/>
        <v>2038</v>
      </c>
      <c r="Q28" s="261">
        <f t="shared" si="6"/>
        <v>2039</v>
      </c>
      <c r="R28" s="261">
        <f t="shared" si="6"/>
        <v>2040</v>
      </c>
      <c r="S28" s="261">
        <f t="shared" si="6"/>
        <v>2041</v>
      </c>
      <c r="T28" s="261">
        <f t="shared" si="6"/>
        <v>2042</v>
      </c>
      <c r="U28" s="261">
        <f t="shared" si="6"/>
        <v>2043</v>
      </c>
      <c r="V28" s="261">
        <f t="shared" si="6"/>
        <v>2044</v>
      </c>
      <c r="W28" s="261">
        <f t="shared" si="6"/>
        <v>2045</v>
      </c>
      <c r="X28" s="261">
        <f t="shared" si="6"/>
        <v>2046</v>
      </c>
      <c r="Y28" s="261">
        <f t="shared" si="6"/>
        <v>2047</v>
      </c>
      <c r="Z28" s="261">
        <f t="shared" si="6"/>
        <v>2048</v>
      </c>
      <c r="AA28" s="261">
        <f t="shared" si="6"/>
        <v>2049</v>
      </c>
      <c r="AB28" s="261">
        <f t="shared" si="6"/>
        <v>2050</v>
      </c>
      <c r="AC28" s="261">
        <f t="shared" si="6"/>
        <v>2051</v>
      </c>
      <c r="AD28" s="261">
        <f t="shared" si="6"/>
        <v>2052</v>
      </c>
      <c r="AE28" s="261">
        <f t="shared" si="6"/>
        <v>2053</v>
      </c>
      <c r="AF28" s="261">
        <f t="shared" si="6"/>
        <v>2054</v>
      </c>
      <c r="AG28" s="261">
        <f t="shared" si="6"/>
        <v>2055</v>
      </c>
      <c r="AH28" s="261">
        <f t="shared" si="6"/>
        <v>2056</v>
      </c>
      <c r="AI28" s="261">
        <f t="shared" si="6"/>
        <v>2057</v>
      </c>
      <c r="AJ28" s="261">
        <f t="shared" si="6"/>
        <v>2058</v>
      </c>
      <c r="AK28" s="261">
        <f t="shared" si="6"/>
        <v>2059</v>
      </c>
      <c r="AL28" s="261">
        <f t="shared" si="6"/>
        <v>2060</v>
      </c>
      <c r="AM28" s="261">
        <f t="shared" si="6"/>
        <v>2061</v>
      </c>
      <c r="AN28" s="261">
        <f t="shared" si="6"/>
        <v>2062</v>
      </c>
      <c r="AO28" s="261">
        <f t="shared" si="6"/>
        <v>2063</v>
      </c>
      <c r="AP28" s="261">
        <f t="shared" si="6"/>
        <v>2064</v>
      </c>
    </row>
    <row r="29" spans="2:42" x14ac:dyDescent="0.2">
      <c r="B29" s="256" t="s">
        <v>413</v>
      </c>
      <c r="C29" s="262">
        <f>SUM(D29:AP29)</f>
        <v>0</v>
      </c>
      <c r="D29" s="262">
        <f t="shared" ref="D29:AP34" si="7">D5-D17</f>
        <v>0</v>
      </c>
      <c r="E29" s="262">
        <f t="shared" si="7"/>
        <v>0</v>
      </c>
      <c r="F29" s="262">
        <f t="shared" si="7"/>
        <v>0</v>
      </c>
      <c r="G29" s="262">
        <f t="shared" si="7"/>
        <v>0</v>
      </c>
      <c r="H29" s="262">
        <f t="shared" si="7"/>
        <v>0</v>
      </c>
      <c r="I29" s="262">
        <f t="shared" si="7"/>
        <v>0</v>
      </c>
      <c r="J29" s="262">
        <f t="shared" si="7"/>
        <v>0</v>
      </c>
      <c r="K29" s="262">
        <f t="shared" si="7"/>
        <v>0</v>
      </c>
      <c r="L29" s="262">
        <f t="shared" si="7"/>
        <v>0</v>
      </c>
      <c r="M29" s="262">
        <f t="shared" si="7"/>
        <v>0</v>
      </c>
      <c r="N29" s="262">
        <f t="shared" si="7"/>
        <v>0</v>
      </c>
      <c r="O29" s="262">
        <f t="shared" si="7"/>
        <v>0</v>
      </c>
      <c r="P29" s="262">
        <f t="shared" si="7"/>
        <v>0</v>
      </c>
      <c r="Q29" s="262">
        <f t="shared" si="7"/>
        <v>0</v>
      </c>
      <c r="R29" s="262">
        <f t="shared" si="7"/>
        <v>0</v>
      </c>
      <c r="S29" s="262">
        <f t="shared" si="7"/>
        <v>0</v>
      </c>
      <c r="T29" s="262">
        <f t="shared" si="7"/>
        <v>0</v>
      </c>
      <c r="U29" s="262">
        <f t="shared" si="7"/>
        <v>0</v>
      </c>
      <c r="V29" s="262">
        <f t="shared" si="7"/>
        <v>0</v>
      </c>
      <c r="W29" s="262">
        <f t="shared" si="7"/>
        <v>0</v>
      </c>
      <c r="X29" s="262">
        <f t="shared" si="7"/>
        <v>0</v>
      </c>
      <c r="Y29" s="262">
        <f t="shared" si="7"/>
        <v>0</v>
      </c>
      <c r="Z29" s="262">
        <f t="shared" si="7"/>
        <v>0</v>
      </c>
      <c r="AA29" s="262">
        <f t="shared" si="7"/>
        <v>0</v>
      </c>
      <c r="AB29" s="262">
        <f t="shared" si="7"/>
        <v>0</v>
      </c>
      <c r="AC29" s="262">
        <f t="shared" si="7"/>
        <v>0</v>
      </c>
      <c r="AD29" s="262">
        <f t="shared" si="7"/>
        <v>0</v>
      </c>
      <c r="AE29" s="262">
        <f t="shared" si="7"/>
        <v>0</v>
      </c>
      <c r="AF29" s="262">
        <f t="shared" si="7"/>
        <v>0</v>
      </c>
      <c r="AG29" s="262">
        <f t="shared" si="7"/>
        <v>0</v>
      </c>
      <c r="AH29" s="262">
        <f t="shared" si="7"/>
        <v>0</v>
      </c>
      <c r="AI29" s="262">
        <f t="shared" si="7"/>
        <v>0</v>
      </c>
      <c r="AJ29" s="262">
        <f t="shared" si="7"/>
        <v>0</v>
      </c>
      <c r="AK29" s="262">
        <f t="shared" si="7"/>
        <v>0</v>
      </c>
      <c r="AL29" s="262">
        <f t="shared" si="7"/>
        <v>0</v>
      </c>
      <c r="AM29" s="262">
        <f t="shared" si="7"/>
        <v>0</v>
      </c>
      <c r="AN29" s="262">
        <f t="shared" si="7"/>
        <v>0</v>
      </c>
      <c r="AO29" s="262">
        <f t="shared" si="7"/>
        <v>0</v>
      </c>
      <c r="AP29" s="262">
        <f t="shared" si="7"/>
        <v>0</v>
      </c>
    </row>
    <row r="30" spans="2:42" x14ac:dyDescent="0.2">
      <c r="B30" s="256" t="s">
        <v>414</v>
      </c>
      <c r="C30" s="262">
        <f t="shared" ref="C30:C35" si="8">SUM(D30:AP30)</f>
        <v>0</v>
      </c>
      <c r="D30" s="262">
        <f t="shared" si="7"/>
        <v>0</v>
      </c>
      <c r="E30" s="262">
        <f t="shared" si="7"/>
        <v>0</v>
      </c>
      <c r="F30" s="262">
        <f t="shared" si="7"/>
        <v>0</v>
      </c>
      <c r="G30" s="262">
        <f t="shared" si="7"/>
        <v>0</v>
      </c>
      <c r="H30" s="262">
        <f t="shared" si="7"/>
        <v>0</v>
      </c>
      <c r="I30" s="262">
        <f t="shared" si="7"/>
        <v>0</v>
      </c>
      <c r="J30" s="262">
        <f t="shared" si="7"/>
        <v>0</v>
      </c>
      <c r="K30" s="262">
        <f t="shared" si="7"/>
        <v>0</v>
      </c>
      <c r="L30" s="262">
        <f t="shared" si="7"/>
        <v>0</v>
      </c>
      <c r="M30" s="262">
        <f t="shared" si="7"/>
        <v>0</v>
      </c>
      <c r="N30" s="262">
        <f t="shared" si="7"/>
        <v>0</v>
      </c>
      <c r="O30" s="262">
        <f t="shared" si="7"/>
        <v>0</v>
      </c>
      <c r="P30" s="262">
        <f t="shared" si="7"/>
        <v>0</v>
      </c>
      <c r="Q30" s="262">
        <f t="shared" si="7"/>
        <v>0</v>
      </c>
      <c r="R30" s="262">
        <f t="shared" si="7"/>
        <v>0</v>
      </c>
      <c r="S30" s="262">
        <f t="shared" si="7"/>
        <v>0</v>
      </c>
      <c r="T30" s="262">
        <f t="shared" si="7"/>
        <v>0</v>
      </c>
      <c r="U30" s="262">
        <f t="shared" si="7"/>
        <v>0</v>
      </c>
      <c r="V30" s="262">
        <f t="shared" si="7"/>
        <v>0</v>
      </c>
      <c r="W30" s="262">
        <f t="shared" si="7"/>
        <v>0</v>
      </c>
      <c r="X30" s="262">
        <f t="shared" si="7"/>
        <v>0</v>
      </c>
      <c r="Y30" s="262">
        <f t="shared" si="7"/>
        <v>0</v>
      </c>
      <c r="Z30" s="262">
        <f t="shared" si="7"/>
        <v>0</v>
      </c>
      <c r="AA30" s="262">
        <f t="shared" si="7"/>
        <v>0</v>
      </c>
      <c r="AB30" s="262">
        <f t="shared" si="7"/>
        <v>0</v>
      </c>
      <c r="AC30" s="262">
        <f t="shared" si="7"/>
        <v>0</v>
      </c>
      <c r="AD30" s="262">
        <f t="shared" si="7"/>
        <v>0</v>
      </c>
      <c r="AE30" s="262">
        <f t="shared" si="7"/>
        <v>0</v>
      </c>
      <c r="AF30" s="262">
        <f t="shared" si="7"/>
        <v>0</v>
      </c>
      <c r="AG30" s="262">
        <f t="shared" si="7"/>
        <v>0</v>
      </c>
      <c r="AH30" s="262">
        <f t="shared" si="7"/>
        <v>0</v>
      </c>
      <c r="AI30" s="262">
        <f t="shared" si="7"/>
        <v>0</v>
      </c>
      <c r="AJ30" s="262">
        <f t="shared" si="7"/>
        <v>0</v>
      </c>
      <c r="AK30" s="262">
        <f t="shared" si="7"/>
        <v>0</v>
      </c>
      <c r="AL30" s="262">
        <f t="shared" si="7"/>
        <v>0</v>
      </c>
      <c r="AM30" s="262">
        <f t="shared" si="7"/>
        <v>0</v>
      </c>
      <c r="AN30" s="262">
        <f t="shared" si="7"/>
        <v>0</v>
      </c>
      <c r="AO30" s="262">
        <f t="shared" si="7"/>
        <v>0</v>
      </c>
      <c r="AP30" s="262">
        <f t="shared" si="7"/>
        <v>0</v>
      </c>
    </row>
    <row r="31" spans="2:42" x14ac:dyDescent="0.2">
      <c r="B31" s="256" t="s">
        <v>415</v>
      </c>
      <c r="C31" s="262">
        <f t="shared" si="8"/>
        <v>0</v>
      </c>
      <c r="D31" s="262">
        <f t="shared" si="7"/>
        <v>0</v>
      </c>
      <c r="E31" s="262">
        <f t="shared" si="7"/>
        <v>0</v>
      </c>
      <c r="F31" s="262">
        <f t="shared" si="7"/>
        <v>0</v>
      </c>
      <c r="G31" s="262">
        <f t="shared" si="7"/>
        <v>0</v>
      </c>
      <c r="H31" s="262">
        <f t="shared" si="7"/>
        <v>0</v>
      </c>
      <c r="I31" s="262">
        <f t="shared" si="7"/>
        <v>0</v>
      </c>
      <c r="J31" s="262">
        <f t="shared" si="7"/>
        <v>0</v>
      </c>
      <c r="K31" s="262">
        <f t="shared" si="7"/>
        <v>0</v>
      </c>
      <c r="L31" s="262">
        <f t="shared" si="7"/>
        <v>0</v>
      </c>
      <c r="M31" s="262">
        <f t="shared" si="7"/>
        <v>0</v>
      </c>
      <c r="N31" s="262">
        <f t="shared" si="7"/>
        <v>0</v>
      </c>
      <c r="O31" s="262">
        <f t="shared" si="7"/>
        <v>0</v>
      </c>
      <c r="P31" s="262">
        <f t="shared" si="7"/>
        <v>0</v>
      </c>
      <c r="Q31" s="262">
        <f t="shared" si="7"/>
        <v>0</v>
      </c>
      <c r="R31" s="262">
        <f t="shared" si="7"/>
        <v>0</v>
      </c>
      <c r="S31" s="262">
        <f t="shared" si="7"/>
        <v>0</v>
      </c>
      <c r="T31" s="262">
        <f t="shared" si="7"/>
        <v>0</v>
      </c>
      <c r="U31" s="262">
        <f t="shared" si="7"/>
        <v>0</v>
      </c>
      <c r="V31" s="262">
        <f t="shared" si="7"/>
        <v>0</v>
      </c>
      <c r="W31" s="262">
        <f t="shared" si="7"/>
        <v>0</v>
      </c>
      <c r="X31" s="262">
        <f t="shared" si="7"/>
        <v>0</v>
      </c>
      <c r="Y31" s="262">
        <f t="shared" si="7"/>
        <v>0</v>
      </c>
      <c r="Z31" s="262">
        <f t="shared" si="7"/>
        <v>0</v>
      </c>
      <c r="AA31" s="262">
        <f t="shared" si="7"/>
        <v>0</v>
      </c>
      <c r="AB31" s="262">
        <f t="shared" si="7"/>
        <v>0</v>
      </c>
      <c r="AC31" s="262">
        <f t="shared" si="7"/>
        <v>0</v>
      </c>
      <c r="AD31" s="262">
        <f t="shared" si="7"/>
        <v>0</v>
      </c>
      <c r="AE31" s="262">
        <f t="shared" si="7"/>
        <v>0</v>
      </c>
      <c r="AF31" s="262">
        <f t="shared" si="7"/>
        <v>0</v>
      </c>
      <c r="AG31" s="262">
        <f t="shared" si="7"/>
        <v>0</v>
      </c>
      <c r="AH31" s="262">
        <f t="shared" si="7"/>
        <v>0</v>
      </c>
      <c r="AI31" s="262">
        <f t="shared" si="7"/>
        <v>0</v>
      </c>
      <c r="AJ31" s="262">
        <f t="shared" si="7"/>
        <v>0</v>
      </c>
      <c r="AK31" s="262">
        <f t="shared" si="7"/>
        <v>0</v>
      </c>
      <c r="AL31" s="262">
        <f t="shared" si="7"/>
        <v>0</v>
      </c>
      <c r="AM31" s="262">
        <f t="shared" si="7"/>
        <v>0</v>
      </c>
      <c r="AN31" s="262">
        <f t="shared" si="7"/>
        <v>0</v>
      </c>
      <c r="AO31" s="262">
        <f t="shared" si="7"/>
        <v>0</v>
      </c>
      <c r="AP31" s="262">
        <f t="shared" si="7"/>
        <v>0</v>
      </c>
    </row>
    <row r="32" spans="2:42" x14ac:dyDescent="0.2">
      <c r="B32" s="256" t="s">
        <v>416</v>
      </c>
      <c r="C32" s="262">
        <f t="shared" si="8"/>
        <v>0</v>
      </c>
      <c r="D32" s="262">
        <f t="shared" si="7"/>
        <v>0</v>
      </c>
      <c r="E32" s="262">
        <f t="shared" si="7"/>
        <v>0</v>
      </c>
      <c r="F32" s="262">
        <f t="shared" si="7"/>
        <v>0</v>
      </c>
      <c r="G32" s="262">
        <f t="shared" si="7"/>
        <v>0</v>
      </c>
      <c r="H32" s="262">
        <f t="shared" si="7"/>
        <v>0</v>
      </c>
      <c r="I32" s="262">
        <f t="shared" si="7"/>
        <v>0</v>
      </c>
      <c r="J32" s="262">
        <f t="shared" si="7"/>
        <v>0</v>
      </c>
      <c r="K32" s="262">
        <f t="shared" si="7"/>
        <v>0</v>
      </c>
      <c r="L32" s="262">
        <f t="shared" si="7"/>
        <v>0</v>
      </c>
      <c r="M32" s="262">
        <f t="shared" si="7"/>
        <v>0</v>
      </c>
      <c r="N32" s="262">
        <f t="shared" si="7"/>
        <v>0</v>
      </c>
      <c r="O32" s="262">
        <f t="shared" si="7"/>
        <v>0</v>
      </c>
      <c r="P32" s="262">
        <f t="shared" si="7"/>
        <v>0</v>
      </c>
      <c r="Q32" s="262">
        <f t="shared" si="7"/>
        <v>0</v>
      </c>
      <c r="R32" s="262">
        <f t="shared" si="7"/>
        <v>0</v>
      </c>
      <c r="S32" s="262">
        <f t="shared" si="7"/>
        <v>0</v>
      </c>
      <c r="T32" s="262">
        <f t="shared" si="7"/>
        <v>0</v>
      </c>
      <c r="U32" s="262">
        <f t="shared" si="7"/>
        <v>0</v>
      </c>
      <c r="V32" s="262">
        <f t="shared" si="7"/>
        <v>0</v>
      </c>
      <c r="W32" s="262">
        <f t="shared" si="7"/>
        <v>0</v>
      </c>
      <c r="X32" s="262">
        <f t="shared" si="7"/>
        <v>0</v>
      </c>
      <c r="Y32" s="262">
        <f t="shared" si="7"/>
        <v>0</v>
      </c>
      <c r="Z32" s="262">
        <f t="shared" si="7"/>
        <v>0</v>
      </c>
      <c r="AA32" s="262">
        <f t="shared" si="7"/>
        <v>0</v>
      </c>
      <c r="AB32" s="262">
        <f t="shared" si="7"/>
        <v>0</v>
      </c>
      <c r="AC32" s="262">
        <f t="shared" si="7"/>
        <v>0</v>
      </c>
      <c r="AD32" s="262">
        <f t="shared" si="7"/>
        <v>0</v>
      </c>
      <c r="AE32" s="262">
        <f t="shared" si="7"/>
        <v>0</v>
      </c>
      <c r="AF32" s="262">
        <f t="shared" si="7"/>
        <v>0</v>
      </c>
      <c r="AG32" s="262">
        <f t="shared" si="7"/>
        <v>0</v>
      </c>
      <c r="AH32" s="262">
        <f t="shared" si="7"/>
        <v>0</v>
      </c>
      <c r="AI32" s="262">
        <f t="shared" si="7"/>
        <v>0</v>
      </c>
      <c r="AJ32" s="262">
        <f t="shared" si="7"/>
        <v>0</v>
      </c>
      <c r="AK32" s="262">
        <f t="shared" si="7"/>
        <v>0</v>
      </c>
      <c r="AL32" s="262">
        <f t="shared" si="7"/>
        <v>0</v>
      </c>
      <c r="AM32" s="262">
        <f t="shared" si="7"/>
        <v>0</v>
      </c>
      <c r="AN32" s="262">
        <f t="shared" si="7"/>
        <v>0</v>
      </c>
      <c r="AO32" s="262">
        <f t="shared" si="7"/>
        <v>0</v>
      </c>
      <c r="AP32" s="262">
        <f t="shared" si="7"/>
        <v>0</v>
      </c>
    </row>
    <row r="33" spans="2:42" x14ac:dyDescent="0.2">
      <c r="B33" s="256" t="s">
        <v>417</v>
      </c>
      <c r="C33" s="262">
        <f t="shared" si="8"/>
        <v>0</v>
      </c>
      <c r="D33" s="262">
        <f t="shared" si="7"/>
        <v>0</v>
      </c>
      <c r="E33" s="262">
        <f t="shared" si="7"/>
        <v>0</v>
      </c>
      <c r="F33" s="262">
        <f t="shared" si="7"/>
        <v>0</v>
      </c>
      <c r="G33" s="262">
        <f t="shared" si="7"/>
        <v>0</v>
      </c>
      <c r="H33" s="262">
        <f t="shared" si="7"/>
        <v>0</v>
      </c>
      <c r="I33" s="262">
        <f t="shared" si="7"/>
        <v>0</v>
      </c>
      <c r="J33" s="262">
        <f t="shared" si="7"/>
        <v>0</v>
      </c>
      <c r="K33" s="262">
        <f t="shared" si="7"/>
        <v>0</v>
      </c>
      <c r="L33" s="262">
        <f t="shared" si="7"/>
        <v>0</v>
      </c>
      <c r="M33" s="262">
        <f t="shared" si="7"/>
        <v>0</v>
      </c>
      <c r="N33" s="262">
        <f t="shared" si="7"/>
        <v>0</v>
      </c>
      <c r="O33" s="262">
        <f t="shared" si="7"/>
        <v>0</v>
      </c>
      <c r="P33" s="262">
        <f t="shared" si="7"/>
        <v>0</v>
      </c>
      <c r="Q33" s="262">
        <f t="shared" si="7"/>
        <v>0</v>
      </c>
      <c r="R33" s="262">
        <f t="shared" si="7"/>
        <v>0</v>
      </c>
      <c r="S33" s="262">
        <f t="shared" si="7"/>
        <v>0</v>
      </c>
      <c r="T33" s="262">
        <f t="shared" si="7"/>
        <v>0</v>
      </c>
      <c r="U33" s="262">
        <f t="shared" si="7"/>
        <v>0</v>
      </c>
      <c r="V33" s="262">
        <f t="shared" si="7"/>
        <v>0</v>
      </c>
      <c r="W33" s="262">
        <f t="shared" si="7"/>
        <v>0</v>
      </c>
      <c r="X33" s="262">
        <f t="shared" si="7"/>
        <v>0</v>
      </c>
      <c r="Y33" s="262">
        <f t="shared" si="7"/>
        <v>0</v>
      </c>
      <c r="Z33" s="262">
        <f t="shared" si="7"/>
        <v>0</v>
      </c>
      <c r="AA33" s="262">
        <f t="shared" si="7"/>
        <v>0</v>
      </c>
      <c r="AB33" s="262">
        <f t="shared" si="7"/>
        <v>0</v>
      </c>
      <c r="AC33" s="262">
        <f t="shared" si="7"/>
        <v>0</v>
      </c>
      <c r="AD33" s="262">
        <f t="shared" si="7"/>
        <v>0</v>
      </c>
      <c r="AE33" s="262">
        <f t="shared" si="7"/>
        <v>0</v>
      </c>
      <c r="AF33" s="262">
        <f t="shared" si="7"/>
        <v>0</v>
      </c>
      <c r="AG33" s="262">
        <f t="shared" si="7"/>
        <v>0</v>
      </c>
      <c r="AH33" s="262">
        <f t="shared" si="7"/>
        <v>0</v>
      </c>
      <c r="AI33" s="262">
        <f t="shared" si="7"/>
        <v>0</v>
      </c>
      <c r="AJ33" s="262">
        <f t="shared" si="7"/>
        <v>0</v>
      </c>
      <c r="AK33" s="262">
        <f t="shared" si="7"/>
        <v>0</v>
      </c>
      <c r="AL33" s="262">
        <f t="shared" si="7"/>
        <v>0</v>
      </c>
      <c r="AM33" s="262">
        <f t="shared" si="7"/>
        <v>0</v>
      </c>
      <c r="AN33" s="262">
        <f t="shared" si="7"/>
        <v>0</v>
      </c>
      <c r="AO33" s="262">
        <f t="shared" si="7"/>
        <v>0</v>
      </c>
      <c r="AP33" s="262">
        <f t="shared" si="7"/>
        <v>0</v>
      </c>
    </row>
    <row r="34" spans="2:42" x14ac:dyDescent="0.2">
      <c r="B34" s="256" t="s">
        <v>418</v>
      </c>
      <c r="C34" s="262">
        <f t="shared" si="8"/>
        <v>0</v>
      </c>
      <c r="D34" s="262">
        <f t="shared" si="7"/>
        <v>0</v>
      </c>
      <c r="E34" s="262">
        <f t="shared" si="7"/>
        <v>0</v>
      </c>
      <c r="F34" s="262">
        <f t="shared" si="7"/>
        <v>0</v>
      </c>
      <c r="G34" s="262">
        <f t="shared" si="7"/>
        <v>0</v>
      </c>
      <c r="H34" s="262">
        <f t="shared" si="7"/>
        <v>0</v>
      </c>
      <c r="I34" s="262">
        <f t="shared" si="7"/>
        <v>0</v>
      </c>
      <c r="J34" s="262">
        <f t="shared" si="7"/>
        <v>0</v>
      </c>
      <c r="K34" s="262">
        <f t="shared" si="7"/>
        <v>0</v>
      </c>
      <c r="L34" s="262">
        <f t="shared" si="7"/>
        <v>0</v>
      </c>
      <c r="M34" s="262">
        <f t="shared" si="7"/>
        <v>0</v>
      </c>
      <c r="N34" s="262">
        <f t="shared" si="7"/>
        <v>0</v>
      </c>
      <c r="O34" s="262">
        <f t="shared" si="7"/>
        <v>0</v>
      </c>
      <c r="P34" s="262">
        <f t="shared" si="7"/>
        <v>0</v>
      </c>
      <c r="Q34" s="262">
        <f t="shared" si="7"/>
        <v>0</v>
      </c>
      <c r="R34" s="262">
        <f t="shared" si="7"/>
        <v>0</v>
      </c>
      <c r="S34" s="262">
        <f t="shared" si="7"/>
        <v>0</v>
      </c>
      <c r="T34" s="262">
        <f t="shared" si="7"/>
        <v>0</v>
      </c>
      <c r="U34" s="262">
        <f t="shared" si="7"/>
        <v>0</v>
      </c>
      <c r="V34" s="262">
        <f t="shared" si="7"/>
        <v>0</v>
      </c>
      <c r="W34" s="262">
        <f t="shared" si="7"/>
        <v>0</v>
      </c>
      <c r="X34" s="262">
        <f t="shared" si="7"/>
        <v>0</v>
      </c>
      <c r="Y34" s="262">
        <f t="shared" si="7"/>
        <v>0</v>
      </c>
      <c r="Z34" s="262">
        <f t="shared" si="7"/>
        <v>0</v>
      </c>
      <c r="AA34" s="262">
        <f t="shared" si="7"/>
        <v>0</v>
      </c>
      <c r="AB34" s="262">
        <f t="shared" si="7"/>
        <v>0</v>
      </c>
      <c r="AC34" s="262">
        <f t="shared" si="7"/>
        <v>0</v>
      </c>
      <c r="AD34" s="262">
        <f t="shared" si="7"/>
        <v>0</v>
      </c>
      <c r="AE34" s="262">
        <f t="shared" si="7"/>
        <v>0</v>
      </c>
      <c r="AF34" s="262">
        <f t="shared" si="7"/>
        <v>0</v>
      </c>
      <c r="AG34" s="262">
        <f t="shared" si="7"/>
        <v>0</v>
      </c>
      <c r="AH34" s="262">
        <f t="shared" si="7"/>
        <v>0</v>
      </c>
      <c r="AI34" s="262">
        <f t="shared" si="7"/>
        <v>0</v>
      </c>
      <c r="AJ34" s="262">
        <f t="shared" si="7"/>
        <v>0</v>
      </c>
      <c r="AK34" s="262">
        <f t="shared" si="7"/>
        <v>0</v>
      </c>
      <c r="AL34" s="262">
        <f t="shared" si="7"/>
        <v>0</v>
      </c>
      <c r="AM34" s="262">
        <f t="shared" si="7"/>
        <v>0</v>
      </c>
      <c r="AN34" s="262">
        <f t="shared" si="7"/>
        <v>0</v>
      </c>
      <c r="AO34" s="262">
        <f t="shared" si="7"/>
        <v>0</v>
      </c>
      <c r="AP34" s="262">
        <f t="shared" si="7"/>
        <v>0</v>
      </c>
    </row>
    <row r="35" spans="2:42" x14ac:dyDescent="0.2">
      <c r="B35" s="266" t="s">
        <v>59</v>
      </c>
      <c r="C35" s="271">
        <f t="shared" si="8"/>
        <v>0</v>
      </c>
      <c r="D35" s="271">
        <f t="shared" ref="D35:AP35" si="9">SUM(D29:D34)</f>
        <v>0</v>
      </c>
      <c r="E35" s="267">
        <f t="shared" si="9"/>
        <v>0</v>
      </c>
      <c r="F35" s="267">
        <f t="shared" si="9"/>
        <v>0</v>
      </c>
      <c r="G35" s="267">
        <f t="shared" si="9"/>
        <v>0</v>
      </c>
      <c r="H35" s="267">
        <f t="shared" si="9"/>
        <v>0</v>
      </c>
      <c r="I35" s="267">
        <f t="shared" si="9"/>
        <v>0</v>
      </c>
      <c r="J35" s="267">
        <f t="shared" si="9"/>
        <v>0</v>
      </c>
      <c r="K35" s="267">
        <f t="shared" si="9"/>
        <v>0</v>
      </c>
      <c r="L35" s="267">
        <f t="shared" si="9"/>
        <v>0</v>
      </c>
      <c r="M35" s="267">
        <f t="shared" si="9"/>
        <v>0</v>
      </c>
      <c r="N35" s="267">
        <f t="shared" si="9"/>
        <v>0</v>
      </c>
      <c r="O35" s="267">
        <f t="shared" si="9"/>
        <v>0</v>
      </c>
      <c r="P35" s="267">
        <f t="shared" si="9"/>
        <v>0</v>
      </c>
      <c r="Q35" s="267">
        <f t="shared" si="9"/>
        <v>0</v>
      </c>
      <c r="R35" s="267">
        <f t="shared" si="9"/>
        <v>0</v>
      </c>
      <c r="S35" s="267">
        <f t="shared" si="9"/>
        <v>0</v>
      </c>
      <c r="T35" s="267">
        <f t="shared" si="9"/>
        <v>0</v>
      </c>
      <c r="U35" s="267">
        <f t="shared" si="9"/>
        <v>0</v>
      </c>
      <c r="V35" s="267">
        <f t="shared" si="9"/>
        <v>0</v>
      </c>
      <c r="W35" s="267">
        <f t="shared" si="9"/>
        <v>0</v>
      </c>
      <c r="X35" s="267">
        <f t="shared" si="9"/>
        <v>0</v>
      </c>
      <c r="Y35" s="267">
        <f t="shared" si="9"/>
        <v>0</v>
      </c>
      <c r="Z35" s="267">
        <f t="shared" si="9"/>
        <v>0</v>
      </c>
      <c r="AA35" s="267">
        <f t="shared" si="9"/>
        <v>0</v>
      </c>
      <c r="AB35" s="267">
        <f t="shared" si="9"/>
        <v>0</v>
      </c>
      <c r="AC35" s="267">
        <f t="shared" si="9"/>
        <v>0</v>
      </c>
      <c r="AD35" s="267">
        <f t="shared" si="9"/>
        <v>0</v>
      </c>
      <c r="AE35" s="267">
        <f t="shared" si="9"/>
        <v>0</v>
      </c>
      <c r="AF35" s="267">
        <f t="shared" si="9"/>
        <v>0</v>
      </c>
      <c r="AG35" s="267">
        <f t="shared" si="9"/>
        <v>0</v>
      </c>
      <c r="AH35" s="267">
        <f t="shared" si="9"/>
        <v>0</v>
      </c>
      <c r="AI35" s="267">
        <f t="shared" si="9"/>
        <v>0</v>
      </c>
      <c r="AJ35" s="267">
        <f t="shared" si="9"/>
        <v>0</v>
      </c>
      <c r="AK35" s="267">
        <f t="shared" si="9"/>
        <v>0</v>
      </c>
      <c r="AL35" s="267">
        <f t="shared" si="9"/>
        <v>0</v>
      </c>
      <c r="AM35" s="267">
        <f t="shared" si="9"/>
        <v>0</v>
      </c>
      <c r="AN35" s="267">
        <f t="shared" si="9"/>
        <v>0</v>
      </c>
      <c r="AO35" s="267">
        <f t="shared" si="9"/>
        <v>0</v>
      </c>
      <c r="AP35" s="267">
        <f t="shared" si="9"/>
        <v>0</v>
      </c>
    </row>
    <row r="38" spans="2:42" x14ac:dyDescent="0.2">
      <c r="B38" s="272"/>
      <c r="C38" s="256"/>
      <c r="D38" s="256" t="s">
        <v>10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</row>
    <row r="39" spans="2:42" x14ac:dyDescent="0.2">
      <c r="B39" s="735" t="s">
        <v>467</v>
      </c>
      <c r="C39" s="257"/>
      <c r="D39" s="258">
        <v>1</v>
      </c>
      <c r="E39" s="258">
        <v>2</v>
      </c>
      <c r="F39" s="258">
        <v>3</v>
      </c>
      <c r="G39" s="258">
        <v>4</v>
      </c>
      <c r="H39" s="258">
        <v>5</v>
      </c>
      <c r="I39" s="258">
        <v>6</v>
      </c>
      <c r="J39" s="258">
        <v>7</v>
      </c>
      <c r="K39" s="258">
        <v>8</v>
      </c>
      <c r="L39" s="258">
        <v>9</v>
      </c>
      <c r="M39" s="258">
        <v>10</v>
      </c>
      <c r="N39" s="258">
        <v>11</v>
      </c>
      <c r="O39" s="258">
        <v>12</v>
      </c>
      <c r="P39" s="258">
        <v>13</v>
      </c>
      <c r="Q39" s="258">
        <v>14</v>
      </c>
      <c r="R39" s="258">
        <v>15</v>
      </c>
      <c r="S39" s="258">
        <v>16</v>
      </c>
      <c r="T39" s="258">
        <v>17</v>
      </c>
      <c r="U39" s="258">
        <v>18</v>
      </c>
      <c r="V39" s="258">
        <v>19</v>
      </c>
      <c r="W39" s="258">
        <v>20</v>
      </c>
      <c r="X39" s="258">
        <v>21</v>
      </c>
      <c r="Y39" s="258">
        <v>22</v>
      </c>
      <c r="Z39" s="258">
        <v>23</v>
      </c>
      <c r="AA39" s="258">
        <v>24</v>
      </c>
      <c r="AB39" s="258">
        <v>25</v>
      </c>
      <c r="AC39" s="258">
        <v>26</v>
      </c>
      <c r="AD39" s="258">
        <v>27</v>
      </c>
      <c r="AE39" s="258">
        <v>28</v>
      </c>
      <c r="AF39" s="258">
        <v>29</v>
      </c>
      <c r="AG39" s="258">
        <v>30</v>
      </c>
      <c r="AH39" s="258">
        <v>31</v>
      </c>
      <c r="AI39" s="258">
        <v>32</v>
      </c>
      <c r="AJ39" s="258">
        <v>33</v>
      </c>
      <c r="AK39" s="258">
        <v>34</v>
      </c>
      <c r="AL39" s="258">
        <v>35</v>
      </c>
      <c r="AM39" s="258">
        <v>36</v>
      </c>
      <c r="AN39" s="258">
        <v>37</v>
      </c>
      <c r="AO39" s="258">
        <v>38</v>
      </c>
      <c r="AP39" s="258">
        <v>39</v>
      </c>
    </row>
    <row r="40" spans="2:42" x14ac:dyDescent="0.2">
      <c r="B40" s="736"/>
      <c r="C40" s="260" t="s">
        <v>9</v>
      </c>
      <c r="D40" s="261">
        <f t="shared" ref="D40:AP40" si="10">D4</f>
        <v>2026</v>
      </c>
      <c r="E40" s="261">
        <f t="shared" si="10"/>
        <v>2027</v>
      </c>
      <c r="F40" s="261">
        <f t="shared" si="10"/>
        <v>2028</v>
      </c>
      <c r="G40" s="261">
        <f t="shared" si="10"/>
        <v>2029</v>
      </c>
      <c r="H40" s="261">
        <f t="shared" si="10"/>
        <v>2030</v>
      </c>
      <c r="I40" s="261">
        <f t="shared" si="10"/>
        <v>2031</v>
      </c>
      <c r="J40" s="261">
        <f t="shared" si="10"/>
        <v>2032</v>
      </c>
      <c r="K40" s="261">
        <f t="shared" si="10"/>
        <v>2033</v>
      </c>
      <c r="L40" s="261">
        <f t="shared" si="10"/>
        <v>2034</v>
      </c>
      <c r="M40" s="261">
        <f t="shared" si="10"/>
        <v>2035</v>
      </c>
      <c r="N40" s="261">
        <f t="shared" si="10"/>
        <v>2036</v>
      </c>
      <c r="O40" s="261">
        <f t="shared" si="10"/>
        <v>2037</v>
      </c>
      <c r="P40" s="261">
        <f t="shared" si="10"/>
        <v>2038</v>
      </c>
      <c r="Q40" s="261">
        <f t="shared" si="10"/>
        <v>2039</v>
      </c>
      <c r="R40" s="261">
        <f t="shared" si="10"/>
        <v>2040</v>
      </c>
      <c r="S40" s="261">
        <f t="shared" si="10"/>
        <v>2041</v>
      </c>
      <c r="T40" s="261">
        <f t="shared" si="10"/>
        <v>2042</v>
      </c>
      <c r="U40" s="261">
        <f t="shared" si="10"/>
        <v>2043</v>
      </c>
      <c r="V40" s="261">
        <f t="shared" si="10"/>
        <v>2044</v>
      </c>
      <c r="W40" s="261">
        <f t="shared" si="10"/>
        <v>2045</v>
      </c>
      <c r="X40" s="261">
        <f t="shared" si="10"/>
        <v>2046</v>
      </c>
      <c r="Y40" s="261">
        <f t="shared" si="10"/>
        <v>2047</v>
      </c>
      <c r="Z40" s="261">
        <f t="shared" si="10"/>
        <v>2048</v>
      </c>
      <c r="AA40" s="261">
        <f t="shared" si="10"/>
        <v>2049</v>
      </c>
      <c r="AB40" s="261">
        <f t="shared" si="10"/>
        <v>2050</v>
      </c>
      <c r="AC40" s="261">
        <f t="shared" si="10"/>
        <v>2051</v>
      </c>
      <c r="AD40" s="261">
        <f t="shared" si="10"/>
        <v>2052</v>
      </c>
      <c r="AE40" s="261">
        <f t="shared" si="10"/>
        <v>2053</v>
      </c>
      <c r="AF40" s="261">
        <f t="shared" si="10"/>
        <v>2054</v>
      </c>
      <c r="AG40" s="261">
        <f t="shared" si="10"/>
        <v>2055</v>
      </c>
      <c r="AH40" s="261">
        <f t="shared" si="10"/>
        <v>2056</v>
      </c>
      <c r="AI40" s="261">
        <f t="shared" si="10"/>
        <v>2057</v>
      </c>
      <c r="AJ40" s="261">
        <f t="shared" si="10"/>
        <v>2058</v>
      </c>
      <c r="AK40" s="261">
        <f t="shared" si="10"/>
        <v>2059</v>
      </c>
      <c r="AL40" s="261">
        <f t="shared" si="10"/>
        <v>2060</v>
      </c>
      <c r="AM40" s="261">
        <f t="shared" si="10"/>
        <v>2061</v>
      </c>
      <c r="AN40" s="261">
        <f t="shared" si="10"/>
        <v>2062</v>
      </c>
      <c r="AO40" s="261">
        <f t="shared" si="10"/>
        <v>2063</v>
      </c>
      <c r="AP40" s="261">
        <f t="shared" si="10"/>
        <v>2064</v>
      </c>
    </row>
    <row r="41" spans="2:42" x14ac:dyDescent="0.2">
      <c r="B41" s="256" t="s">
        <v>413</v>
      </c>
      <c r="C41" s="262">
        <f>SUM(D41:AP41)</f>
        <v>0</v>
      </c>
      <c r="D41" s="262">
        <f>D29*'Parametre EMU550'!C235</f>
        <v>0</v>
      </c>
      <c r="E41" s="262">
        <f>E29*'Parametre EMU550'!D235</f>
        <v>0</v>
      </c>
      <c r="F41" s="262">
        <f>F29*'Parametre EMU550'!E235</f>
        <v>0</v>
      </c>
      <c r="G41" s="262">
        <f>G29*'Parametre EMU550'!F235</f>
        <v>0</v>
      </c>
      <c r="H41" s="262">
        <f>H29*'Parametre EMU550'!G235</f>
        <v>0</v>
      </c>
      <c r="I41" s="262">
        <f>I29*'Parametre EMU550'!H235</f>
        <v>0</v>
      </c>
      <c r="J41" s="262">
        <f>J29*'Parametre EMU550'!I235</f>
        <v>0</v>
      </c>
      <c r="K41" s="262">
        <f>K29*'Parametre EMU550'!J235</f>
        <v>0</v>
      </c>
      <c r="L41" s="262">
        <f>L29*'Parametre EMU550'!K235</f>
        <v>0</v>
      </c>
      <c r="M41" s="262">
        <f>M29*'Parametre EMU550'!L235</f>
        <v>0</v>
      </c>
      <c r="N41" s="262">
        <f>N29*'Parametre EMU550'!M235</f>
        <v>0</v>
      </c>
      <c r="O41" s="262">
        <f>O29*'Parametre EMU550'!N235</f>
        <v>0</v>
      </c>
      <c r="P41" s="262">
        <f>P29*'Parametre EMU550'!O235</f>
        <v>0</v>
      </c>
      <c r="Q41" s="262">
        <f>Q29*'Parametre EMU550'!P235</f>
        <v>0</v>
      </c>
      <c r="R41" s="262">
        <f>R29*'Parametre EMU550'!Q235</f>
        <v>0</v>
      </c>
      <c r="S41" s="262">
        <f>S29*'Parametre EMU550'!R235</f>
        <v>0</v>
      </c>
      <c r="T41" s="262">
        <f>T29*'Parametre EMU550'!S235</f>
        <v>0</v>
      </c>
      <c r="U41" s="262">
        <f>U29*'Parametre EMU550'!T235</f>
        <v>0</v>
      </c>
      <c r="V41" s="262">
        <f>V29*'Parametre EMU550'!U235</f>
        <v>0</v>
      </c>
      <c r="W41" s="262">
        <f>W29*'Parametre EMU550'!V235</f>
        <v>0</v>
      </c>
      <c r="X41" s="262">
        <f>X29*'Parametre EMU550'!W235</f>
        <v>0</v>
      </c>
      <c r="Y41" s="262">
        <f>Y29*'Parametre EMU550'!X235</f>
        <v>0</v>
      </c>
      <c r="Z41" s="262">
        <f>Z29*'Parametre EMU550'!Y235</f>
        <v>0</v>
      </c>
      <c r="AA41" s="262">
        <f>AA29*'Parametre EMU550'!Z235</f>
        <v>0</v>
      </c>
      <c r="AB41" s="262">
        <f>AB29*'Parametre EMU550'!AA235</f>
        <v>0</v>
      </c>
      <c r="AC41" s="262">
        <f>AC29*'Parametre EMU550'!AB235</f>
        <v>0</v>
      </c>
      <c r="AD41" s="262">
        <f>AD29*'Parametre EMU550'!AC235</f>
        <v>0</v>
      </c>
      <c r="AE41" s="262">
        <f>AE29*'Parametre EMU550'!AD235</f>
        <v>0</v>
      </c>
      <c r="AF41" s="262">
        <f>AF29*'Parametre EMU550'!AE235</f>
        <v>0</v>
      </c>
      <c r="AG41" s="262">
        <f>AG29*'Parametre EMU550'!AF235</f>
        <v>0</v>
      </c>
      <c r="AH41" s="262">
        <f>AH29*'Parametre EMU550'!AG235</f>
        <v>0</v>
      </c>
      <c r="AI41" s="262">
        <f>AI29*'Parametre EMU550'!AH235</f>
        <v>0</v>
      </c>
      <c r="AJ41" s="262">
        <f>AJ29*'Parametre EMU550'!AI235</f>
        <v>0</v>
      </c>
      <c r="AK41" s="262">
        <f>AK29*'Parametre EMU550'!AJ235</f>
        <v>0</v>
      </c>
      <c r="AL41" s="262">
        <f>AL29*'Parametre EMU550'!AK235</f>
        <v>0</v>
      </c>
      <c r="AM41" s="262">
        <f>AM29*'Parametre EMU550'!AL235</f>
        <v>0</v>
      </c>
      <c r="AN41" s="262">
        <f>AN29*'Parametre EMU550'!AM235</f>
        <v>0</v>
      </c>
      <c r="AO41" s="262">
        <f>AO29*'Parametre EMU550'!AN235</f>
        <v>0</v>
      </c>
      <c r="AP41" s="262">
        <f>AP29*'Parametre EMU550'!AO235</f>
        <v>0</v>
      </c>
    </row>
    <row r="42" spans="2:42" x14ac:dyDescent="0.2">
      <c r="B42" s="256" t="s">
        <v>414</v>
      </c>
      <c r="C42" s="262">
        <f t="shared" ref="C42:C47" si="11">SUM(D42:AP42)</f>
        <v>0</v>
      </c>
      <c r="D42" s="262">
        <f>D30*'Parametre EMU550'!C236</f>
        <v>0</v>
      </c>
      <c r="E42" s="262">
        <f>E30*'Parametre EMU550'!D236</f>
        <v>0</v>
      </c>
      <c r="F42" s="262">
        <f>F30*'Parametre EMU550'!E236</f>
        <v>0</v>
      </c>
      <c r="G42" s="262">
        <f>G30*'Parametre EMU550'!F236</f>
        <v>0</v>
      </c>
      <c r="H42" s="262">
        <f>H30*'Parametre EMU550'!G236</f>
        <v>0</v>
      </c>
      <c r="I42" s="262">
        <f>I30*'Parametre EMU550'!H236</f>
        <v>0</v>
      </c>
      <c r="J42" s="262">
        <f>J30*'Parametre EMU550'!I236</f>
        <v>0</v>
      </c>
      <c r="K42" s="262">
        <f>K30*'Parametre EMU550'!J236</f>
        <v>0</v>
      </c>
      <c r="L42" s="262">
        <f>L30*'Parametre EMU550'!K236</f>
        <v>0</v>
      </c>
      <c r="M42" s="262">
        <f>M30*'Parametre EMU550'!L236</f>
        <v>0</v>
      </c>
      <c r="N42" s="262">
        <f>N30*'Parametre EMU550'!M236</f>
        <v>0</v>
      </c>
      <c r="O42" s="262">
        <f>O30*'Parametre EMU550'!N236</f>
        <v>0</v>
      </c>
      <c r="P42" s="262">
        <f>P30*'Parametre EMU550'!O236</f>
        <v>0</v>
      </c>
      <c r="Q42" s="262">
        <f>Q30*'Parametre EMU550'!P236</f>
        <v>0</v>
      </c>
      <c r="R42" s="262">
        <f>R30*'Parametre EMU550'!Q236</f>
        <v>0</v>
      </c>
      <c r="S42" s="262">
        <f>S30*'Parametre EMU550'!R236</f>
        <v>0</v>
      </c>
      <c r="T42" s="262">
        <f>T30*'Parametre EMU550'!S236</f>
        <v>0</v>
      </c>
      <c r="U42" s="262">
        <f>U30*'Parametre EMU550'!T236</f>
        <v>0</v>
      </c>
      <c r="V42" s="262">
        <f>V30*'Parametre EMU550'!U236</f>
        <v>0</v>
      </c>
      <c r="W42" s="262">
        <f>W30*'Parametre EMU550'!V236</f>
        <v>0</v>
      </c>
      <c r="X42" s="262">
        <f>X30*'Parametre EMU550'!W236</f>
        <v>0</v>
      </c>
      <c r="Y42" s="262">
        <f>Y30*'Parametre EMU550'!X236</f>
        <v>0</v>
      </c>
      <c r="Z42" s="262">
        <f>Z30*'Parametre EMU550'!Y236</f>
        <v>0</v>
      </c>
      <c r="AA42" s="262">
        <f>AA30*'Parametre EMU550'!Z236</f>
        <v>0</v>
      </c>
      <c r="AB42" s="262">
        <f>AB30*'Parametre EMU550'!AA236</f>
        <v>0</v>
      </c>
      <c r="AC42" s="262">
        <f>AC30*'Parametre EMU550'!AB236</f>
        <v>0</v>
      </c>
      <c r="AD42" s="262">
        <f>AD30*'Parametre EMU550'!AC236</f>
        <v>0</v>
      </c>
      <c r="AE42" s="262">
        <f>AE30*'Parametre EMU550'!AD236</f>
        <v>0</v>
      </c>
      <c r="AF42" s="262">
        <f>AF30*'Parametre EMU550'!AE236</f>
        <v>0</v>
      </c>
      <c r="AG42" s="262">
        <f>AG30*'Parametre EMU550'!AF236</f>
        <v>0</v>
      </c>
      <c r="AH42" s="262">
        <f>AH30*'Parametre EMU550'!AG236</f>
        <v>0</v>
      </c>
      <c r="AI42" s="262">
        <f>AI30*'Parametre EMU550'!AH236</f>
        <v>0</v>
      </c>
      <c r="AJ42" s="262">
        <f>AJ30*'Parametre EMU550'!AI236</f>
        <v>0</v>
      </c>
      <c r="AK42" s="262">
        <f>AK30*'Parametre EMU550'!AJ236</f>
        <v>0</v>
      </c>
      <c r="AL42" s="262">
        <f>AL30*'Parametre EMU550'!AK236</f>
        <v>0</v>
      </c>
      <c r="AM42" s="262">
        <f>AM30*'Parametre EMU550'!AL236</f>
        <v>0</v>
      </c>
      <c r="AN42" s="262">
        <f>AN30*'Parametre EMU550'!AM236</f>
        <v>0</v>
      </c>
      <c r="AO42" s="262">
        <f>AO30*'Parametre EMU550'!AN236</f>
        <v>0</v>
      </c>
      <c r="AP42" s="262">
        <f>AP30*'Parametre EMU550'!AO236</f>
        <v>0</v>
      </c>
    </row>
    <row r="43" spans="2:42" x14ac:dyDescent="0.2">
      <c r="B43" s="256" t="s">
        <v>415</v>
      </c>
      <c r="C43" s="262">
        <f t="shared" si="11"/>
        <v>0</v>
      </c>
      <c r="D43" s="262">
        <f>D31*'Parametre EMU550'!C237</f>
        <v>0</v>
      </c>
      <c r="E43" s="262">
        <f>E31*'Parametre EMU550'!D237</f>
        <v>0</v>
      </c>
      <c r="F43" s="262">
        <f>F31*'Parametre EMU550'!E237</f>
        <v>0</v>
      </c>
      <c r="G43" s="262">
        <f>G31*'Parametre EMU550'!F237</f>
        <v>0</v>
      </c>
      <c r="H43" s="262">
        <f>H31*'Parametre EMU550'!G237</f>
        <v>0</v>
      </c>
      <c r="I43" s="262">
        <f>I31*'Parametre EMU550'!H237</f>
        <v>0</v>
      </c>
      <c r="J43" s="262">
        <f>J31*'Parametre EMU550'!I237</f>
        <v>0</v>
      </c>
      <c r="K43" s="262">
        <f>K31*'Parametre EMU550'!J237</f>
        <v>0</v>
      </c>
      <c r="L43" s="262">
        <f>L31*'Parametre EMU550'!K237</f>
        <v>0</v>
      </c>
      <c r="M43" s="262">
        <f>M31*'Parametre EMU550'!L237</f>
        <v>0</v>
      </c>
      <c r="N43" s="262">
        <f>N31*'Parametre EMU550'!M237</f>
        <v>0</v>
      </c>
      <c r="O43" s="262">
        <f>O31*'Parametre EMU550'!N237</f>
        <v>0</v>
      </c>
      <c r="P43" s="262">
        <f>P31*'Parametre EMU550'!O237</f>
        <v>0</v>
      </c>
      <c r="Q43" s="262">
        <f>Q31*'Parametre EMU550'!P237</f>
        <v>0</v>
      </c>
      <c r="R43" s="262">
        <f>R31*'Parametre EMU550'!Q237</f>
        <v>0</v>
      </c>
      <c r="S43" s="262">
        <f>S31*'Parametre EMU550'!R237</f>
        <v>0</v>
      </c>
      <c r="T43" s="262">
        <f>T31*'Parametre EMU550'!S237</f>
        <v>0</v>
      </c>
      <c r="U43" s="262">
        <f>U31*'Parametre EMU550'!T237</f>
        <v>0</v>
      </c>
      <c r="V43" s="262">
        <f>V31*'Parametre EMU550'!U237</f>
        <v>0</v>
      </c>
      <c r="W43" s="262">
        <f>W31*'Parametre EMU550'!V237</f>
        <v>0</v>
      </c>
      <c r="X43" s="262">
        <f>X31*'Parametre EMU550'!W237</f>
        <v>0</v>
      </c>
      <c r="Y43" s="262">
        <f>Y31*'Parametre EMU550'!X237</f>
        <v>0</v>
      </c>
      <c r="Z43" s="262">
        <f>Z31*'Parametre EMU550'!Y237</f>
        <v>0</v>
      </c>
      <c r="AA43" s="262">
        <f>AA31*'Parametre EMU550'!Z237</f>
        <v>0</v>
      </c>
      <c r="AB43" s="262">
        <f>AB31*'Parametre EMU550'!AA237</f>
        <v>0</v>
      </c>
      <c r="AC43" s="262">
        <f>AC31*'Parametre EMU550'!AB237</f>
        <v>0</v>
      </c>
      <c r="AD43" s="262">
        <f>AD31*'Parametre EMU550'!AC237</f>
        <v>0</v>
      </c>
      <c r="AE43" s="262">
        <f>AE31*'Parametre EMU550'!AD237</f>
        <v>0</v>
      </c>
      <c r="AF43" s="262">
        <f>AF31*'Parametre EMU550'!AE237</f>
        <v>0</v>
      </c>
      <c r="AG43" s="262">
        <f>AG31*'Parametre EMU550'!AF237</f>
        <v>0</v>
      </c>
      <c r="AH43" s="262">
        <f>AH31*'Parametre EMU550'!AG237</f>
        <v>0</v>
      </c>
      <c r="AI43" s="262">
        <f>AI31*'Parametre EMU550'!AH237</f>
        <v>0</v>
      </c>
      <c r="AJ43" s="262">
        <f>AJ31*'Parametre EMU550'!AI237</f>
        <v>0</v>
      </c>
      <c r="AK43" s="262">
        <f>AK31*'Parametre EMU550'!AJ237</f>
        <v>0</v>
      </c>
      <c r="AL43" s="262">
        <f>AL31*'Parametre EMU550'!AK237</f>
        <v>0</v>
      </c>
      <c r="AM43" s="262">
        <f>AM31*'Parametre EMU550'!AL237</f>
        <v>0</v>
      </c>
      <c r="AN43" s="262">
        <f>AN31*'Parametre EMU550'!AM237</f>
        <v>0</v>
      </c>
      <c r="AO43" s="262">
        <f>AO31*'Parametre EMU550'!AN237</f>
        <v>0</v>
      </c>
      <c r="AP43" s="262">
        <f>AP31*'Parametre EMU550'!AO237</f>
        <v>0</v>
      </c>
    </row>
    <row r="44" spans="2:42" x14ac:dyDescent="0.2">
      <c r="B44" s="256" t="s">
        <v>416</v>
      </c>
      <c r="C44" s="262">
        <f t="shared" si="11"/>
        <v>0</v>
      </c>
      <c r="D44" s="262">
        <f>D32*'Parametre EMU550'!C238</f>
        <v>0</v>
      </c>
      <c r="E44" s="262">
        <f>E32*'Parametre EMU550'!D238</f>
        <v>0</v>
      </c>
      <c r="F44" s="262">
        <f>F32*'Parametre EMU550'!E238</f>
        <v>0</v>
      </c>
      <c r="G44" s="262">
        <f>G32*'Parametre EMU550'!F238</f>
        <v>0</v>
      </c>
      <c r="H44" s="262">
        <f>H32*'Parametre EMU550'!G238</f>
        <v>0</v>
      </c>
      <c r="I44" s="262">
        <f>I32*'Parametre EMU550'!H238</f>
        <v>0</v>
      </c>
      <c r="J44" s="262">
        <f>J32*'Parametre EMU550'!I238</f>
        <v>0</v>
      </c>
      <c r="K44" s="262">
        <f>K32*'Parametre EMU550'!J238</f>
        <v>0</v>
      </c>
      <c r="L44" s="262">
        <f>L32*'Parametre EMU550'!K238</f>
        <v>0</v>
      </c>
      <c r="M44" s="262">
        <f>M32*'Parametre EMU550'!L238</f>
        <v>0</v>
      </c>
      <c r="N44" s="262">
        <f>N32*'Parametre EMU550'!M238</f>
        <v>0</v>
      </c>
      <c r="O44" s="262">
        <f>O32*'Parametre EMU550'!N238</f>
        <v>0</v>
      </c>
      <c r="P44" s="262">
        <f>P32*'Parametre EMU550'!O238</f>
        <v>0</v>
      </c>
      <c r="Q44" s="262">
        <f>Q32*'Parametre EMU550'!P238</f>
        <v>0</v>
      </c>
      <c r="R44" s="262">
        <f>R32*'Parametre EMU550'!Q238</f>
        <v>0</v>
      </c>
      <c r="S44" s="262">
        <f>S32*'Parametre EMU550'!R238</f>
        <v>0</v>
      </c>
      <c r="T44" s="262">
        <f>T32*'Parametre EMU550'!S238</f>
        <v>0</v>
      </c>
      <c r="U44" s="262">
        <f>U32*'Parametre EMU550'!T238</f>
        <v>0</v>
      </c>
      <c r="V44" s="262">
        <f>V32*'Parametre EMU550'!U238</f>
        <v>0</v>
      </c>
      <c r="W44" s="262">
        <f>W32*'Parametre EMU550'!V238</f>
        <v>0</v>
      </c>
      <c r="X44" s="262">
        <f>X32*'Parametre EMU550'!W238</f>
        <v>0</v>
      </c>
      <c r="Y44" s="262">
        <f>Y32*'Parametre EMU550'!X238</f>
        <v>0</v>
      </c>
      <c r="Z44" s="262">
        <f>Z32*'Parametre EMU550'!Y238</f>
        <v>0</v>
      </c>
      <c r="AA44" s="262">
        <f>AA32*'Parametre EMU550'!Z238</f>
        <v>0</v>
      </c>
      <c r="AB44" s="262">
        <f>AB32*'Parametre EMU550'!AA238</f>
        <v>0</v>
      </c>
      <c r="AC44" s="262">
        <f>AC32*'Parametre EMU550'!AB238</f>
        <v>0</v>
      </c>
      <c r="AD44" s="262">
        <f>AD32*'Parametre EMU550'!AC238</f>
        <v>0</v>
      </c>
      <c r="AE44" s="262">
        <f>AE32*'Parametre EMU550'!AD238</f>
        <v>0</v>
      </c>
      <c r="AF44" s="262">
        <f>AF32*'Parametre EMU550'!AE238</f>
        <v>0</v>
      </c>
      <c r="AG44" s="262">
        <f>AG32*'Parametre EMU550'!AF238</f>
        <v>0</v>
      </c>
      <c r="AH44" s="262">
        <f>AH32*'Parametre EMU550'!AG238</f>
        <v>0</v>
      </c>
      <c r="AI44" s="262">
        <f>AI32*'Parametre EMU550'!AH238</f>
        <v>0</v>
      </c>
      <c r="AJ44" s="262">
        <f>AJ32*'Parametre EMU550'!AI238</f>
        <v>0</v>
      </c>
      <c r="AK44" s="262">
        <f>AK32*'Parametre EMU550'!AJ238</f>
        <v>0</v>
      </c>
      <c r="AL44" s="262">
        <f>AL32*'Parametre EMU550'!AK238</f>
        <v>0</v>
      </c>
      <c r="AM44" s="262">
        <f>AM32*'Parametre EMU550'!AL238</f>
        <v>0</v>
      </c>
      <c r="AN44" s="262">
        <f>AN32*'Parametre EMU550'!AM238</f>
        <v>0</v>
      </c>
      <c r="AO44" s="262">
        <f>AO32*'Parametre EMU550'!AN238</f>
        <v>0</v>
      </c>
      <c r="AP44" s="262">
        <f>AP32*'Parametre EMU550'!AO238</f>
        <v>0</v>
      </c>
    </row>
    <row r="45" spans="2:42" x14ac:dyDescent="0.2">
      <c r="B45" s="256" t="s">
        <v>417</v>
      </c>
      <c r="C45" s="262">
        <f t="shared" si="11"/>
        <v>0</v>
      </c>
      <c r="D45" s="262">
        <f>D33*'Parametre EMU550'!C239</f>
        <v>0</v>
      </c>
      <c r="E45" s="262">
        <f>E33*'Parametre EMU550'!D239</f>
        <v>0</v>
      </c>
      <c r="F45" s="262">
        <f>F33*'Parametre EMU550'!E239</f>
        <v>0</v>
      </c>
      <c r="G45" s="262">
        <f>G33*'Parametre EMU550'!F239</f>
        <v>0</v>
      </c>
      <c r="H45" s="262">
        <f>H33*'Parametre EMU550'!G239</f>
        <v>0</v>
      </c>
      <c r="I45" s="262">
        <f>I33*'Parametre EMU550'!H239</f>
        <v>0</v>
      </c>
      <c r="J45" s="262">
        <f>J33*'Parametre EMU550'!I239</f>
        <v>0</v>
      </c>
      <c r="K45" s="262">
        <f>K33*'Parametre EMU550'!J239</f>
        <v>0</v>
      </c>
      <c r="L45" s="262">
        <f>L33*'Parametre EMU550'!K239</f>
        <v>0</v>
      </c>
      <c r="M45" s="262">
        <f>M33*'Parametre EMU550'!L239</f>
        <v>0</v>
      </c>
      <c r="N45" s="262">
        <f>N33*'Parametre EMU550'!M239</f>
        <v>0</v>
      </c>
      <c r="O45" s="262">
        <f>O33*'Parametre EMU550'!N239</f>
        <v>0</v>
      </c>
      <c r="P45" s="262">
        <f>P33*'Parametre EMU550'!O239</f>
        <v>0</v>
      </c>
      <c r="Q45" s="262">
        <f>Q33*'Parametre EMU550'!P239</f>
        <v>0</v>
      </c>
      <c r="R45" s="262">
        <f>R33*'Parametre EMU550'!Q239</f>
        <v>0</v>
      </c>
      <c r="S45" s="262">
        <f>S33*'Parametre EMU550'!R239</f>
        <v>0</v>
      </c>
      <c r="T45" s="262">
        <f>T33*'Parametre EMU550'!S239</f>
        <v>0</v>
      </c>
      <c r="U45" s="262">
        <f>U33*'Parametre EMU550'!T239</f>
        <v>0</v>
      </c>
      <c r="V45" s="262">
        <f>V33*'Parametre EMU550'!U239</f>
        <v>0</v>
      </c>
      <c r="W45" s="262">
        <f>W33*'Parametre EMU550'!V239</f>
        <v>0</v>
      </c>
      <c r="X45" s="262">
        <f>X33*'Parametre EMU550'!W239</f>
        <v>0</v>
      </c>
      <c r="Y45" s="262">
        <f>Y33*'Parametre EMU550'!X239</f>
        <v>0</v>
      </c>
      <c r="Z45" s="262">
        <f>Z33*'Parametre EMU550'!Y239</f>
        <v>0</v>
      </c>
      <c r="AA45" s="262">
        <f>AA33*'Parametre EMU550'!Z239</f>
        <v>0</v>
      </c>
      <c r="AB45" s="262">
        <f>AB33*'Parametre EMU550'!AA239</f>
        <v>0</v>
      </c>
      <c r="AC45" s="262">
        <f>AC33*'Parametre EMU550'!AB239</f>
        <v>0</v>
      </c>
      <c r="AD45" s="262">
        <f>AD33*'Parametre EMU550'!AC239</f>
        <v>0</v>
      </c>
      <c r="AE45" s="262">
        <f>AE33*'Parametre EMU550'!AD239</f>
        <v>0</v>
      </c>
      <c r="AF45" s="262">
        <f>AF33*'Parametre EMU550'!AE239</f>
        <v>0</v>
      </c>
      <c r="AG45" s="262">
        <f>AG33*'Parametre EMU550'!AF239</f>
        <v>0</v>
      </c>
      <c r="AH45" s="262">
        <f>AH33*'Parametre EMU550'!AG239</f>
        <v>0</v>
      </c>
      <c r="AI45" s="262">
        <f>AI33*'Parametre EMU550'!AH239</f>
        <v>0</v>
      </c>
      <c r="AJ45" s="262">
        <f>AJ33*'Parametre EMU550'!AI239</f>
        <v>0</v>
      </c>
      <c r="AK45" s="262">
        <f>AK33*'Parametre EMU550'!AJ239</f>
        <v>0</v>
      </c>
      <c r="AL45" s="262">
        <f>AL33*'Parametre EMU550'!AK239</f>
        <v>0</v>
      </c>
      <c r="AM45" s="262">
        <f>AM33*'Parametre EMU550'!AL239</f>
        <v>0</v>
      </c>
      <c r="AN45" s="262">
        <f>AN33*'Parametre EMU550'!AM239</f>
        <v>0</v>
      </c>
      <c r="AO45" s="262">
        <f>AO33*'Parametre EMU550'!AN239</f>
        <v>0</v>
      </c>
      <c r="AP45" s="262">
        <f>AP33*'Parametre EMU550'!AO239</f>
        <v>0</v>
      </c>
    </row>
    <row r="46" spans="2:42" x14ac:dyDescent="0.2">
      <c r="B46" s="256" t="s">
        <v>418</v>
      </c>
      <c r="C46" s="262">
        <f t="shared" si="11"/>
        <v>0</v>
      </c>
      <c r="D46" s="262">
        <f>D34*'Parametre EMU550'!C240</f>
        <v>0</v>
      </c>
      <c r="E46" s="262">
        <f>E34*'Parametre EMU550'!D240</f>
        <v>0</v>
      </c>
      <c r="F46" s="262">
        <f>F34*'Parametre EMU550'!E240</f>
        <v>0</v>
      </c>
      <c r="G46" s="262">
        <f>G34*'Parametre EMU550'!F240</f>
        <v>0</v>
      </c>
      <c r="H46" s="262">
        <f>H34*'Parametre EMU550'!G240</f>
        <v>0</v>
      </c>
      <c r="I46" s="262">
        <f>I34*'Parametre EMU550'!H240</f>
        <v>0</v>
      </c>
      <c r="J46" s="262">
        <f>J34*'Parametre EMU550'!I240</f>
        <v>0</v>
      </c>
      <c r="K46" s="262">
        <f>K34*'Parametre EMU550'!J240</f>
        <v>0</v>
      </c>
      <c r="L46" s="262">
        <f>L34*'Parametre EMU550'!K240</f>
        <v>0</v>
      </c>
      <c r="M46" s="262">
        <f>M34*'Parametre EMU550'!L240</f>
        <v>0</v>
      </c>
      <c r="N46" s="262">
        <f>N34*'Parametre EMU550'!M240</f>
        <v>0</v>
      </c>
      <c r="O46" s="262">
        <f>O34*'Parametre EMU550'!N240</f>
        <v>0</v>
      </c>
      <c r="P46" s="262">
        <f>P34*'Parametre EMU550'!O240</f>
        <v>0</v>
      </c>
      <c r="Q46" s="262">
        <f>Q34*'Parametre EMU550'!P240</f>
        <v>0</v>
      </c>
      <c r="R46" s="262">
        <f>R34*'Parametre EMU550'!Q240</f>
        <v>0</v>
      </c>
      <c r="S46" s="262">
        <f>S34*'Parametre EMU550'!R240</f>
        <v>0</v>
      </c>
      <c r="T46" s="262">
        <f>T34*'Parametre EMU550'!S240</f>
        <v>0</v>
      </c>
      <c r="U46" s="262">
        <f>U34*'Parametre EMU550'!T240</f>
        <v>0</v>
      </c>
      <c r="V46" s="262">
        <f>V34*'Parametre EMU550'!U240</f>
        <v>0</v>
      </c>
      <c r="W46" s="262">
        <f>W34*'Parametre EMU550'!V240</f>
        <v>0</v>
      </c>
      <c r="X46" s="262">
        <f>X34*'Parametre EMU550'!W240</f>
        <v>0</v>
      </c>
      <c r="Y46" s="262">
        <f>Y34*'Parametre EMU550'!X240</f>
        <v>0</v>
      </c>
      <c r="Z46" s="262">
        <f>Z34*'Parametre EMU550'!Y240</f>
        <v>0</v>
      </c>
      <c r="AA46" s="262">
        <f>AA34*'Parametre EMU550'!Z240</f>
        <v>0</v>
      </c>
      <c r="AB46" s="262">
        <f>AB34*'Parametre EMU550'!AA240</f>
        <v>0</v>
      </c>
      <c r="AC46" s="262">
        <f>AC34*'Parametre EMU550'!AB240</f>
        <v>0</v>
      </c>
      <c r="AD46" s="262">
        <f>AD34*'Parametre EMU550'!AC240</f>
        <v>0</v>
      </c>
      <c r="AE46" s="262">
        <f>AE34*'Parametre EMU550'!AD240</f>
        <v>0</v>
      </c>
      <c r="AF46" s="262">
        <f>AF34*'Parametre EMU550'!AE240</f>
        <v>0</v>
      </c>
      <c r="AG46" s="262">
        <f>AG34*'Parametre EMU550'!AF240</f>
        <v>0</v>
      </c>
      <c r="AH46" s="262">
        <f>AH34*'Parametre EMU550'!AG240</f>
        <v>0</v>
      </c>
      <c r="AI46" s="262">
        <f>AI34*'Parametre EMU550'!AH240</f>
        <v>0</v>
      </c>
      <c r="AJ46" s="262">
        <f>AJ34*'Parametre EMU550'!AI240</f>
        <v>0</v>
      </c>
      <c r="AK46" s="262">
        <f>AK34*'Parametre EMU550'!AJ240</f>
        <v>0</v>
      </c>
      <c r="AL46" s="262">
        <f>AL34*'Parametre EMU550'!AK240</f>
        <v>0</v>
      </c>
      <c r="AM46" s="262">
        <f>AM34*'Parametre EMU550'!AL240</f>
        <v>0</v>
      </c>
      <c r="AN46" s="262">
        <f>AN34*'Parametre EMU550'!AM240</f>
        <v>0</v>
      </c>
      <c r="AO46" s="262">
        <f>AO34*'Parametre EMU550'!AN240</f>
        <v>0</v>
      </c>
      <c r="AP46" s="262">
        <f>AP34*'Parametre EMU550'!AO240</f>
        <v>0</v>
      </c>
    </row>
    <row r="47" spans="2:42" x14ac:dyDescent="0.2">
      <c r="B47" s="273" t="s">
        <v>59</v>
      </c>
      <c r="C47" s="275">
        <f t="shared" si="11"/>
        <v>0</v>
      </c>
      <c r="D47" s="275">
        <f t="shared" ref="D47:AG47" si="12">SUM(D41:D46)</f>
        <v>0</v>
      </c>
      <c r="E47" s="274">
        <f t="shared" si="12"/>
        <v>0</v>
      </c>
      <c r="F47" s="274">
        <f t="shared" si="12"/>
        <v>0</v>
      </c>
      <c r="G47" s="274">
        <f t="shared" si="12"/>
        <v>0</v>
      </c>
      <c r="H47" s="274">
        <f t="shared" si="12"/>
        <v>0</v>
      </c>
      <c r="I47" s="274">
        <f t="shared" si="12"/>
        <v>0</v>
      </c>
      <c r="J47" s="274">
        <f t="shared" si="12"/>
        <v>0</v>
      </c>
      <c r="K47" s="274">
        <f t="shared" si="12"/>
        <v>0</v>
      </c>
      <c r="L47" s="274">
        <f t="shared" si="12"/>
        <v>0</v>
      </c>
      <c r="M47" s="274">
        <f t="shared" si="12"/>
        <v>0</v>
      </c>
      <c r="N47" s="274">
        <f t="shared" si="12"/>
        <v>0</v>
      </c>
      <c r="O47" s="274">
        <f t="shared" si="12"/>
        <v>0</v>
      </c>
      <c r="P47" s="274">
        <f t="shared" si="12"/>
        <v>0</v>
      </c>
      <c r="Q47" s="274">
        <f t="shared" si="12"/>
        <v>0</v>
      </c>
      <c r="R47" s="274">
        <f t="shared" si="12"/>
        <v>0</v>
      </c>
      <c r="S47" s="274">
        <f t="shared" si="12"/>
        <v>0</v>
      </c>
      <c r="T47" s="274">
        <f t="shared" si="12"/>
        <v>0</v>
      </c>
      <c r="U47" s="274">
        <f t="shared" si="12"/>
        <v>0</v>
      </c>
      <c r="V47" s="274">
        <f t="shared" si="12"/>
        <v>0</v>
      </c>
      <c r="W47" s="274">
        <f t="shared" si="12"/>
        <v>0</v>
      </c>
      <c r="X47" s="274">
        <f t="shared" si="12"/>
        <v>0</v>
      </c>
      <c r="Y47" s="274">
        <f t="shared" si="12"/>
        <v>0</v>
      </c>
      <c r="Z47" s="274">
        <f t="shared" si="12"/>
        <v>0</v>
      </c>
      <c r="AA47" s="274">
        <f t="shared" si="12"/>
        <v>0</v>
      </c>
      <c r="AB47" s="274">
        <f t="shared" si="12"/>
        <v>0</v>
      </c>
      <c r="AC47" s="274">
        <f t="shared" si="12"/>
        <v>0</v>
      </c>
      <c r="AD47" s="274">
        <f t="shared" si="12"/>
        <v>0</v>
      </c>
      <c r="AE47" s="274">
        <f t="shared" si="12"/>
        <v>0</v>
      </c>
      <c r="AF47" s="274">
        <f t="shared" si="12"/>
        <v>0</v>
      </c>
      <c r="AG47" s="274">
        <f t="shared" si="12"/>
        <v>0</v>
      </c>
      <c r="AH47" s="274">
        <f t="shared" ref="AH47:AP47" si="13">SUM(AH41:AH46)</f>
        <v>0</v>
      </c>
      <c r="AI47" s="274">
        <f t="shared" si="13"/>
        <v>0</v>
      </c>
      <c r="AJ47" s="274">
        <f t="shared" si="13"/>
        <v>0</v>
      </c>
      <c r="AK47" s="274">
        <f t="shared" si="13"/>
        <v>0</v>
      </c>
      <c r="AL47" s="274">
        <f t="shared" si="13"/>
        <v>0</v>
      </c>
      <c r="AM47" s="274">
        <f t="shared" si="13"/>
        <v>0</v>
      </c>
      <c r="AN47" s="274">
        <f t="shared" si="13"/>
        <v>0</v>
      </c>
      <c r="AO47" s="274">
        <f t="shared" si="13"/>
        <v>0</v>
      </c>
      <c r="AP47" s="274">
        <f t="shared" si="13"/>
        <v>0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A88F-B849-4591-99CE-DB58EE7E6D6B}">
  <sheetPr>
    <tabColor rgb="FF92D050"/>
  </sheetPr>
  <dimension ref="B2:AP30"/>
  <sheetViews>
    <sheetView zoomScale="90" zoomScaleNormal="90" workbookViewId="0"/>
  </sheetViews>
  <sheetFormatPr defaultColWidth="10.42578125" defaultRowHeight="11.25" x14ac:dyDescent="0.2"/>
  <cols>
    <col min="1" max="1" width="5.85546875" style="255" customWidth="1"/>
    <col min="2" max="2" width="41.42578125" style="255" customWidth="1"/>
    <col min="3" max="3" width="12.85546875" style="255" customWidth="1"/>
    <col min="4" max="6" width="10.42578125" style="255"/>
    <col min="7" max="7" width="11.5703125" style="255" bestFit="1" customWidth="1"/>
    <col min="8" max="16384" width="10.42578125" style="255"/>
  </cols>
  <sheetData>
    <row r="2" spans="2:42" x14ac:dyDescent="0.2">
      <c r="B2" s="383" t="s">
        <v>471</v>
      </c>
      <c r="C2" s="383"/>
      <c r="D2" s="256" t="s">
        <v>10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</row>
    <row r="3" spans="2:42" x14ac:dyDescent="0.2">
      <c r="B3" s="257"/>
      <c r="C3" s="257"/>
      <c r="D3" s="258">
        <v>1</v>
      </c>
      <c r="E3" s="258">
        <v>2</v>
      </c>
      <c r="F3" s="258">
        <v>3</v>
      </c>
      <c r="G3" s="258">
        <v>4</v>
      </c>
      <c r="H3" s="258">
        <v>5</v>
      </c>
      <c r="I3" s="258">
        <v>6</v>
      </c>
      <c r="J3" s="258">
        <v>7</v>
      </c>
      <c r="K3" s="258">
        <v>8</v>
      </c>
      <c r="L3" s="258">
        <v>9</v>
      </c>
      <c r="M3" s="258">
        <v>10</v>
      </c>
      <c r="N3" s="258">
        <v>11</v>
      </c>
      <c r="O3" s="258">
        <v>12</v>
      </c>
      <c r="P3" s="258">
        <v>13</v>
      </c>
      <c r="Q3" s="258">
        <v>14</v>
      </c>
      <c r="R3" s="258">
        <v>15</v>
      </c>
      <c r="S3" s="258">
        <v>16</v>
      </c>
      <c r="T3" s="258">
        <v>17</v>
      </c>
      <c r="U3" s="258">
        <v>18</v>
      </c>
      <c r="V3" s="258">
        <v>19</v>
      </c>
      <c r="W3" s="258">
        <v>20</v>
      </c>
      <c r="X3" s="258">
        <v>21</v>
      </c>
      <c r="Y3" s="258">
        <v>22</v>
      </c>
      <c r="Z3" s="258">
        <v>23</v>
      </c>
      <c r="AA3" s="258">
        <v>24</v>
      </c>
      <c r="AB3" s="258">
        <v>25</v>
      </c>
      <c r="AC3" s="258">
        <v>26</v>
      </c>
      <c r="AD3" s="258">
        <v>27</v>
      </c>
      <c r="AE3" s="258">
        <v>28</v>
      </c>
      <c r="AF3" s="258">
        <v>29</v>
      </c>
      <c r="AG3" s="258">
        <v>30</v>
      </c>
      <c r="AH3" s="258">
        <v>31</v>
      </c>
      <c r="AI3" s="258">
        <v>32</v>
      </c>
      <c r="AJ3" s="258">
        <v>33</v>
      </c>
      <c r="AK3" s="258">
        <v>34</v>
      </c>
      <c r="AL3" s="258">
        <v>35</v>
      </c>
      <c r="AM3" s="258">
        <v>36</v>
      </c>
      <c r="AN3" s="258">
        <v>37</v>
      </c>
      <c r="AO3" s="258">
        <v>38</v>
      </c>
      <c r="AP3" s="258">
        <v>39</v>
      </c>
    </row>
    <row r="4" spans="2:42" ht="22.5" x14ac:dyDescent="0.2">
      <c r="B4" s="259" t="s">
        <v>39</v>
      </c>
      <c r="C4" s="511" t="s">
        <v>36</v>
      </c>
      <c r="D4" s="261">
        <f>'Parametre EMU550'!C13</f>
        <v>2026</v>
      </c>
      <c r="E4" s="261">
        <f>$D$4+D3</f>
        <v>2027</v>
      </c>
      <c r="F4" s="261">
        <f>$D$4+E3</f>
        <v>2028</v>
      </c>
      <c r="G4" s="261">
        <f t="shared" ref="G4:AP4" si="0">$D$4+F3</f>
        <v>2029</v>
      </c>
      <c r="H4" s="261">
        <f t="shared" si="0"/>
        <v>2030</v>
      </c>
      <c r="I4" s="261">
        <f t="shared" si="0"/>
        <v>2031</v>
      </c>
      <c r="J4" s="261">
        <f t="shared" si="0"/>
        <v>2032</v>
      </c>
      <c r="K4" s="261">
        <f t="shared" si="0"/>
        <v>2033</v>
      </c>
      <c r="L4" s="261">
        <f t="shared" si="0"/>
        <v>2034</v>
      </c>
      <c r="M4" s="261">
        <f t="shared" si="0"/>
        <v>2035</v>
      </c>
      <c r="N4" s="261">
        <f t="shared" si="0"/>
        <v>2036</v>
      </c>
      <c r="O4" s="261">
        <f t="shared" si="0"/>
        <v>2037</v>
      </c>
      <c r="P4" s="261">
        <f t="shared" si="0"/>
        <v>2038</v>
      </c>
      <c r="Q4" s="261">
        <f t="shared" si="0"/>
        <v>2039</v>
      </c>
      <c r="R4" s="261">
        <f t="shared" si="0"/>
        <v>2040</v>
      </c>
      <c r="S4" s="261">
        <f t="shared" si="0"/>
        <v>2041</v>
      </c>
      <c r="T4" s="261">
        <f t="shared" si="0"/>
        <v>2042</v>
      </c>
      <c r="U4" s="261">
        <f t="shared" si="0"/>
        <v>2043</v>
      </c>
      <c r="V4" s="261">
        <f t="shared" si="0"/>
        <v>2044</v>
      </c>
      <c r="W4" s="261">
        <f t="shared" si="0"/>
        <v>2045</v>
      </c>
      <c r="X4" s="261">
        <f t="shared" si="0"/>
        <v>2046</v>
      </c>
      <c r="Y4" s="261">
        <f t="shared" si="0"/>
        <v>2047</v>
      </c>
      <c r="Z4" s="261">
        <f t="shared" si="0"/>
        <v>2048</v>
      </c>
      <c r="AA4" s="261">
        <f t="shared" si="0"/>
        <v>2049</v>
      </c>
      <c r="AB4" s="261">
        <f t="shared" si="0"/>
        <v>2050</v>
      </c>
      <c r="AC4" s="261">
        <f t="shared" si="0"/>
        <v>2051</v>
      </c>
      <c r="AD4" s="261">
        <f t="shared" si="0"/>
        <v>2052</v>
      </c>
      <c r="AE4" s="261">
        <f t="shared" si="0"/>
        <v>2053</v>
      </c>
      <c r="AF4" s="261">
        <f t="shared" si="0"/>
        <v>2054</v>
      </c>
      <c r="AG4" s="261">
        <f t="shared" si="0"/>
        <v>2055</v>
      </c>
      <c r="AH4" s="261">
        <f t="shared" si="0"/>
        <v>2056</v>
      </c>
      <c r="AI4" s="261">
        <f t="shared" si="0"/>
        <v>2057</v>
      </c>
      <c r="AJ4" s="261">
        <f t="shared" si="0"/>
        <v>2058</v>
      </c>
      <c r="AK4" s="261">
        <f t="shared" si="0"/>
        <v>2059</v>
      </c>
      <c r="AL4" s="261">
        <f t="shared" si="0"/>
        <v>2060</v>
      </c>
      <c r="AM4" s="261">
        <f t="shared" si="0"/>
        <v>2061</v>
      </c>
      <c r="AN4" s="261">
        <f t="shared" si="0"/>
        <v>2062</v>
      </c>
      <c r="AO4" s="261">
        <f t="shared" si="0"/>
        <v>2063</v>
      </c>
      <c r="AP4" s="261">
        <f t="shared" si="0"/>
        <v>2064</v>
      </c>
    </row>
    <row r="5" spans="2:42" x14ac:dyDescent="0.2">
      <c r="B5" s="256" t="s">
        <v>14</v>
      </c>
      <c r="C5" s="262">
        <f>D5+NPV('Parametre EMU550'!$C$10,E5:AQ5)</f>
        <v>179674468.97126198</v>
      </c>
      <c r="D5" s="262">
        <f>'01 Investičné výdavky EMU550'!D33</f>
        <v>0</v>
      </c>
      <c r="E5" s="262">
        <f>'01 Investičné výdavky EMU550'!E33</f>
        <v>0</v>
      </c>
      <c r="F5" s="262">
        <f>'01 Investičné výdavky EMU550'!F33</f>
        <v>0</v>
      </c>
      <c r="G5" s="262">
        <f>'01 Investičné výdavky EMU550'!G33</f>
        <v>121330800</v>
      </c>
      <c r="H5" s="262">
        <f>'01 Investičné výdavky EMU550'!H33</f>
        <v>90998100</v>
      </c>
      <c r="I5" s="262">
        <f>'01 Investičné výdavky EMU550'!I33</f>
        <v>0</v>
      </c>
      <c r="J5" s="262">
        <f>'01 Investičné výdavky EMU550'!J33</f>
        <v>0</v>
      </c>
      <c r="K5" s="262">
        <f>'01 Investičné výdavky EMU550'!K33</f>
        <v>0</v>
      </c>
      <c r="L5" s="262">
        <f>'01 Investičné výdavky EMU550'!L33</f>
        <v>0</v>
      </c>
      <c r="M5" s="262">
        <f>'01 Investičné výdavky EMU550'!M33</f>
        <v>0</v>
      </c>
      <c r="N5" s="262">
        <f>'01 Investičné výdavky EMU550'!N33</f>
        <v>0</v>
      </c>
      <c r="O5" s="262">
        <f>'01 Investičné výdavky EMU550'!O33</f>
        <v>0</v>
      </c>
      <c r="P5" s="262">
        <f>'01 Investičné výdavky EMU550'!P33</f>
        <v>0</v>
      </c>
      <c r="Q5" s="262">
        <f>'01 Investičné výdavky EMU550'!Q33</f>
        <v>0</v>
      </c>
      <c r="R5" s="262">
        <f>'01 Investičné výdavky EMU550'!R33</f>
        <v>0</v>
      </c>
      <c r="S5" s="262">
        <f>'01 Investičné výdavky EMU550'!S33</f>
        <v>0</v>
      </c>
      <c r="T5" s="262">
        <f>'01 Investičné výdavky EMU550'!T33</f>
        <v>0</v>
      </c>
      <c r="U5" s="262">
        <f>'01 Investičné výdavky EMU550'!U33</f>
        <v>0</v>
      </c>
      <c r="V5" s="262">
        <f>'01 Investičné výdavky EMU550'!V33</f>
        <v>0</v>
      </c>
      <c r="W5" s="262">
        <f>'01 Investičné výdavky EMU550'!W33</f>
        <v>0</v>
      </c>
      <c r="X5" s="262">
        <f>'01 Investičné výdavky EMU550'!X33</f>
        <v>0</v>
      </c>
      <c r="Y5" s="262">
        <f>'01 Investičné výdavky EMU550'!Y33</f>
        <v>0</v>
      </c>
      <c r="Z5" s="262">
        <f>'01 Investičné výdavky EMU550'!Z33</f>
        <v>0</v>
      </c>
      <c r="AA5" s="262">
        <f>'01 Investičné výdavky EMU550'!AA33</f>
        <v>0</v>
      </c>
      <c r="AB5" s="262">
        <f>'01 Investičné výdavky EMU550'!AB33</f>
        <v>0</v>
      </c>
      <c r="AC5" s="262">
        <f>'01 Investičné výdavky EMU550'!AC33</f>
        <v>0</v>
      </c>
      <c r="AD5" s="262">
        <f>'01 Investičné výdavky EMU550'!AD33</f>
        <v>0</v>
      </c>
      <c r="AE5" s="262">
        <f>'01 Investičné výdavky EMU550'!AE33</f>
        <v>0</v>
      </c>
      <c r="AF5" s="262">
        <f>'01 Investičné výdavky EMU550'!AF33</f>
        <v>0</v>
      </c>
      <c r="AG5" s="262">
        <f>'01 Investičné výdavky EMU550'!AG33</f>
        <v>0</v>
      </c>
      <c r="AH5" s="262">
        <f>'01 Investičné výdavky EMU550'!AH33</f>
        <v>0</v>
      </c>
      <c r="AI5" s="262">
        <f>'01 Investičné výdavky EMU550'!AI33</f>
        <v>0</v>
      </c>
      <c r="AJ5" s="262">
        <f>'01 Investičné výdavky EMU550'!AJ33</f>
        <v>0</v>
      </c>
      <c r="AK5" s="262">
        <f>'01 Investičné výdavky EMU550'!AK33</f>
        <v>0</v>
      </c>
      <c r="AL5" s="262">
        <f>'01 Investičné výdavky EMU550'!AL33</f>
        <v>0</v>
      </c>
      <c r="AM5" s="262">
        <f>'01 Investičné výdavky EMU550'!AM33</f>
        <v>0</v>
      </c>
      <c r="AN5" s="262">
        <f>'01 Investičné výdavky EMU550'!AN33</f>
        <v>0</v>
      </c>
      <c r="AO5" s="262">
        <f>'01 Investičné výdavky EMU550'!AO33</f>
        <v>0</v>
      </c>
      <c r="AP5" s="262">
        <f>'01 Investičné výdavky EMU550'!AP33</f>
        <v>0</v>
      </c>
    </row>
    <row r="6" spans="2:42" x14ac:dyDescent="0.2">
      <c r="B6" s="256" t="s">
        <v>12</v>
      </c>
      <c r="C6" s="262">
        <f>D6+NPV('Parametre EMU550'!$C$10,E6:AQ6)</f>
        <v>-136968647.25644356</v>
      </c>
      <c r="D6" s="262">
        <f>'03 Prev. výdavky EMU550'!D43</f>
        <v>0</v>
      </c>
      <c r="E6" s="262">
        <f>'03 Prev. výdavky EMU550'!E43</f>
        <v>0</v>
      </c>
      <c r="F6" s="262">
        <f>'03 Prev. výdavky EMU550'!F43</f>
        <v>0</v>
      </c>
      <c r="G6" s="262">
        <f>'03 Prev. výdavky EMU550'!G43</f>
        <v>0</v>
      </c>
      <c r="H6" s="262">
        <f>'03 Prev. výdavky EMU550'!H43</f>
        <v>445466.25144000089</v>
      </c>
      <c r="I6" s="262">
        <f>'03 Prev. výdavky EMU550'!I43</f>
        <v>-23340434.059980005</v>
      </c>
      <c r="J6" s="262">
        <f>'03 Prev. výdavky EMU550'!J43</f>
        <v>-23340434.059980005</v>
      </c>
      <c r="K6" s="262">
        <f>'03 Prev. výdavky EMU550'!K43</f>
        <v>779565.94001999486</v>
      </c>
      <c r="L6" s="262">
        <f>'03 Prev. výdavky EMU550'!L43</f>
        <v>779565.94001999486</v>
      </c>
      <c r="M6" s="262">
        <f>'03 Prev. výdavky EMU550'!M43</f>
        <v>779565.94001999486</v>
      </c>
      <c r="N6" s="262">
        <f>'03 Prev. výdavky EMU550'!N43</f>
        <v>779565.94001999486</v>
      </c>
      <c r="O6" s="262">
        <f>'03 Prev. výdavky EMU550'!O43</f>
        <v>779565.94001999486</v>
      </c>
      <c r="P6" s="262">
        <f>'03 Prev. výdavky EMU550'!P43</f>
        <v>779565.94001999486</v>
      </c>
      <c r="Q6" s="262">
        <f>'03 Prev. výdavky EMU550'!Q43</f>
        <v>726857.01143999537</v>
      </c>
      <c r="R6" s="262">
        <f>'03 Prev. výdavky EMU550'!R43</f>
        <v>726857.01143999537</v>
      </c>
      <c r="S6" s="262">
        <f>'03 Prev. výdavky EMU550'!S43</f>
        <v>-54412838.749980003</v>
      </c>
      <c r="T6" s="262">
        <f>'03 Prev. výdavky EMU550'!T43</f>
        <v>-54412838.749980003</v>
      </c>
      <c r="U6" s="262">
        <f>'03 Prev. výdavky EMU550'!U43</f>
        <v>-6172838.7499800026</v>
      </c>
      <c r="V6" s="262">
        <f>'03 Prev. výdavky EMU550'!V43</f>
        <v>-6172838.7499800026</v>
      </c>
      <c r="W6" s="262">
        <f>'03 Prev. výdavky EMU550'!W43</f>
        <v>-6172838.7499800026</v>
      </c>
      <c r="X6" s="262">
        <f>'03 Prev. výdavky EMU550'!X43</f>
        <v>-6172838.7499800026</v>
      </c>
      <c r="Y6" s="262">
        <f>'03 Prev. výdavky EMU550'!Y43</f>
        <v>-6172838.7499800026</v>
      </c>
      <c r="Z6" s="262">
        <f>'03 Prev. výdavky EMU550'!Z43</f>
        <v>-6172838.7499800026</v>
      </c>
      <c r="AA6" s="262">
        <f>'03 Prev. výdavky EMU550'!AA43</f>
        <v>-6172838.7499800026</v>
      </c>
      <c r="AB6" s="262">
        <f>'03 Prev. výdavky EMU550'!AB43</f>
        <v>-6172838.7499800026</v>
      </c>
      <c r="AC6" s="262">
        <f>'03 Prev. výdavky EMU550'!AC43</f>
        <v>-9059948.7499800026</v>
      </c>
      <c r="AD6" s="262">
        <f>'03 Prev. výdavky EMU550'!AD43</f>
        <v>-30292838.749980003</v>
      </c>
      <c r="AE6" s="262">
        <f>'03 Prev. výdavky EMU550'!AE43</f>
        <v>-6172838.7499800026</v>
      </c>
      <c r="AF6" s="262">
        <f>'03 Prev. výdavky EMU550'!AF43</f>
        <v>-6172838.7499800026</v>
      </c>
      <c r="AG6" s="262">
        <f>'03 Prev. výdavky EMU550'!AG43</f>
        <v>-6172838.7499800026</v>
      </c>
      <c r="AH6" s="262">
        <f>'03 Prev. výdavky EMU550'!AH43</f>
        <v>-6172838.7499800026</v>
      </c>
      <c r="AI6" s="262">
        <f>'03 Prev. výdavky EMU550'!AI43</f>
        <v>-6172838.7499800026</v>
      </c>
      <c r="AJ6" s="262">
        <f>'03 Prev. výdavky EMU550'!AJ43</f>
        <v>-6172838.7499800026</v>
      </c>
      <c r="AK6" s="262">
        <f>'03 Prev. výdavky EMU550'!AK43</f>
        <v>-6172838.7499800026</v>
      </c>
      <c r="AL6" s="262">
        <f>'03 Prev. výdavky EMU550'!AL43</f>
        <v>-6172838.7499800026</v>
      </c>
      <c r="AM6" s="262">
        <f>'03 Prev. výdavky EMU550'!AM43</f>
        <v>-11947058.749980003</v>
      </c>
      <c r="AN6" s="262">
        <f>'03 Prev. výdavky EMU550'!AN43</f>
        <v>-54412838.749980003</v>
      </c>
      <c r="AO6" s="262">
        <f>'03 Prev. výdavky EMU550'!AO43</f>
        <v>-6172838.7499800026</v>
      </c>
      <c r="AP6" s="262">
        <f>'03 Prev. výdavky EMU550'!AP43</f>
        <v>-6172838.7499800026</v>
      </c>
    </row>
    <row r="7" spans="2:42" x14ac:dyDescent="0.2">
      <c r="B7" s="256" t="s">
        <v>202</v>
      </c>
      <c r="C7" s="262">
        <f>D7+NPV('Parametre EMU550'!$C$10,E7:AQ7)</f>
        <v>28844575.367881596</v>
      </c>
      <c r="D7" s="262">
        <f>SUM(D8:D10)</f>
        <v>0</v>
      </c>
      <c r="E7" s="262">
        <f t="shared" ref="E7:AP7" si="1">SUM(E8:E10)</f>
        <v>0</v>
      </c>
      <c r="F7" s="262">
        <f t="shared" si="1"/>
        <v>0</v>
      </c>
      <c r="G7" s="262">
        <f t="shared" si="1"/>
        <v>0</v>
      </c>
      <c r="H7" s="262">
        <f t="shared" si="1"/>
        <v>844088.23483825161</v>
      </c>
      <c r="I7" s="262">
        <f t="shared" si="1"/>
        <v>1729541.7421266078</v>
      </c>
      <c r="J7" s="262">
        <f t="shared" si="1"/>
        <v>1769368.9556492832</v>
      </c>
      <c r="K7" s="262">
        <f t="shared" si="1"/>
        <v>1809819.7592682193</v>
      </c>
      <c r="L7" s="262">
        <f t="shared" si="1"/>
        <v>1850285.7281613054</v>
      </c>
      <c r="M7" s="262">
        <f t="shared" si="1"/>
        <v>1891380.0344563071</v>
      </c>
      <c r="N7" s="262">
        <f t="shared" si="1"/>
        <v>1933740.5121765179</v>
      </c>
      <c r="O7" s="262">
        <f t="shared" si="1"/>
        <v>1976759.0614476767</v>
      </c>
      <c r="P7" s="262">
        <f t="shared" si="1"/>
        <v>2020444.6076530442</v>
      </c>
      <c r="Q7" s="262">
        <f t="shared" si="1"/>
        <v>2064899.434550642</v>
      </c>
      <c r="R7" s="262">
        <f t="shared" si="1"/>
        <v>2110041.3135254364</v>
      </c>
      <c r="S7" s="262">
        <f t="shared" si="1"/>
        <v>2130265.1297584055</v>
      </c>
      <c r="T7" s="262">
        <f t="shared" si="1"/>
        <v>2151051.8602533778</v>
      </c>
      <c r="U7" s="262">
        <f t="shared" si="1"/>
        <v>2173273.0517964242</v>
      </c>
      <c r="V7" s="262">
        <f t="shared" si="1"/>
        <v>2190864.46028955</v>
      </c>
      <c r="W7" s="262">
        <f t="shared" si="1"/>
        <v>2209990.0807847735</v>
      </c>
      <c r="X7" s="262">
        <f t="shared" si="1"/>
        <v>2229030.4353401503</v>
      </c>
      <c r="Y7" s="262">
        <f t="shared" si="1"/>
        <v>2247985.7885169997</v>
      </c>
      <c r="Z7" s="262">
        <f t="shared" si="1"/>
        <v>2266856.4041594146</v>
      </c>
      <c r="AA7" s="262">
        <f t="shared" si="1"/>
        <v>2286285.718199301</v>
      </c>
      <c r="AB7" s="262">
        <f t="shared" si="1"/>
        <v>2305628.2475573751</v>
      </c>
      <c r="AC7" s="262">
        <f t="shared" si="1"/>
        <v>2324884.2616551709</v>
      </c>
      <c r="AD7" s="262">
        <f t="shared" si="1"/>
        <v>2344145.9717374854</v>
      </c>
      <c r="AE7" s="262">
        <f t="shared" si="1"/>
        <v>2363321.3354424015</v>
      </c>
      <c r="AF7" s="262">
        <f t="shared" si="1"/>
        <v>2381682.2792064962</v>
      </c>
      <c r="AG7" s="262">
        <f t="shared" si="1"/>
        <v>2399960.3259102171</v>
      </c>
      <c r="AH7" s="262">
        <f t="shared" si="1"/>
        <v>2418246.9429151127</v>
      </c>
      <c r="AI7" s="262">
        <f t="shared" si="1"/>
        <v>2436992.74059828</v>
      </c>
      <c r="AJ7" s="262">
        <f t="shared" si="1"/>
        <v>2455653.8821029435</v>
      </c>
      <c r="AK7" s="262">
        <f t="shared" si="1"/>
        <v>2474230.6310706181</v>
      </c>
      <c r="AL7" s="262">
        <f t="shared" si="1"/>
        <v>2492813.732156374</v>
      </c>
      <c r="AM7" s="262">
        <f t="shared" si="1"/>
        <v>2511312.6039152956</v>
      </c>
      <c r="AN7" s="262">
        <f t="shared" si="1"/>
        <v>2529727.508932251</v>
      </c>
      <c r="AO7" s="262">
        <f t="shared" si="1"/>
        <v>2548058.7090786826</v>
      </c>
      <c r="AP7" s="262">
        <f t="shared" si="1"/>
        <v>2569107.8138747327</v>
      </c>
    </row>
    <row r="8" spans="2:42" x14ac:dyDescent="0.2">
      <c r="B8" s="302" t="s">
        <v>419</v>
      </c>
      <c r="C8" s="512">
        <f>D8+NPV('Parametre EMU550'!$C$10,E8:AQ8)</f>
        <v>28844575.367881596</v>
      </c>
      <c r="D8" s="512">
        <f>'07 Čas cestujúcich EMU550'!D16</f>
        <v>0</v>
      </c>
      <c r="E8" s="512">
        <f>'07 Čas cestujúcich EMU550'!E16</f>
        <v>0</v>
      </c>
      <c r="F8" s="512">
        <f>'07 Čas cestujúcich EMU550'!F16</f>
        <v>0</v>
      </c>
      <c r="G8" s="512">
        <f>'07 Čas cestujúcich EMU550'!G16</f>
        <v>0</v>
      </c>
      <c r="H8" s="512">
        <f>'07 Čas cestujúcich EMU550'!H16</f>
        <v>844088.23483825161</v>
      </c>
      <c r="I8" s="512">
        <f>'07 Čas cestujúcich EMU550'!I16</f>
        <v>1729541.7421266078</v>
      </c>
      <c r="J8" s="512">
        <f>'07 Čas cestujúcich EMU550'!J16</f>
        <v>1769368.9556492832</v>
      </c>
      <c r="K8" s="512">
        <f>'07 Čas cestujúcich EMU550'!K16</f>
        <v>1809819.7592682193</v>
      </c>
      <c r="L8" s="512">
        <f>'07 Čas cestujúcich EMU550'!L16</f>
        <v>1850285.7281613054</v>
      </c>
      <c r="M8" s="512">
        <f>'07 Čas cestujúcich EMU550'!M16</f>
        <v>1891380.0344563071</v>
      </c>
      <c r="N8" s="512">
        <f>'07 Čas cestujúcich EMU550'!N16</f>
        <v>1933740.5121765179</v>
      </c>
      <c r="O8" s="512">
        <f>'07 Čas cestujúcich EMU550'!O16</f>
        <v>1976759.0614476767</v>
      </c>
      <c r="P8" s="512">
        <f>'07 Čas cestujúcich EMU550'!P16</f>
        <v>2020444.6076530442</v>
      </c>
      <c r="Q8" s="512">
        <f>'07 Čas cestujúcich EMU550'!Q16</f>
        <v>2064899.434550642</v>
      </c>
      <c r="R8" s="512">
        <f>'07 Čas cestujúcich EMU550'!R16</f>
        <v>2110041.3135254364</v>
      </c>
      <c r="S8" s="512">
        <f>'07 Čas cestujúcich EMU550'!S16</f>
        <v>2130265.1297584055</v>
      </c>
      <c r="T8" s="512">
        <f>'07 Čas cestujúcich EMU550'!T16</f>
        <v>2151051.8602533778</v>
      </c>
      <c r="U8" s="512">
        <f>'07 Čas cestujúcich EMU550'!U16</f>
        <v>2173273.0517964242</v>
      </c>
      <c r="V8" s="512">
        <f>'07 Čas cestujúcich EMU550'!V16</f>
        <v>2190864.46028955</v>
      </c>
      <c r="W8" s="512">
        <f>'07 Čas cestujúcich EMU550'!W16</f>
        <v>2209990.0807847735</v>
      </c>
      <c r="X8" s="512">
        <f>'07 Čas cestujúcich EMU550'!X16</f>
        <v>2229030.4353401503</v>
      </c>
      <c r="Y8" s="512">
        <f>'07 Čas cestujúcich EMU550'!Y16</f>
        <v>2247985.7885169997</v>
      </c>
      <c r="Z8" s="512">
        <f>'07 Čas cestujúcich EMU550'!Z16</f>
        <v>2266856.4041594146</v>
      </c>
      <c r="AA8" s="512">
        <f>'07 Čas cestujúcich EMU550'!AA16</f>
        <v>2286285.718199301</v>
      </c>
      <c r="AB8" s="512">
        <f>'07 Čas cestujúcich EMU550'!AB16</f>
        <v>2305628.2475573751</v>
      </c>
      <c r="AC8" s="512">
        <f>'07 Čas cestujúcich EMU550'!AC16</f>
        <v>2324884.2616551709</v>
      </c>
      <c r="AD8" s="512">
        <f>'07 Čas cestujúcich EMU550'!AD16</f>
        <v>2344145.9717374854</v>
      </c>
      <c r="AE8" s="512">
        <f>'07 Čas cestujúcich EMU550'!AE16</f>
        <v>2363321.3354424015</v>
      </c>
      <c r="AF8" s="512">
        <f>'07 Čas cestujúcich EMU550'!AF16</f>
        <v>2381682.2792064962</v>
      </c>
      <c r="AG8" s="512">
        <f>'07 Čas cestujúcich EMU550'!AG16</f>
        <v>2399960.3259102171</v>
      </c>
      <c r="AH8" s="512">
        <f>'07 Čas cestujúcich EMU550'!AH16</f>
        <v>2418246.9429151127</v>
      </c>
      <c r="AI8" s="512">
        <f>'07 Čas cestujúcich EMU550'!AI16</f>
        <v>2436992.74059828</v>
      </c>
      <c r="AJ8" s="512">
        <f>'07 Čas cestujúcich EMU550'!AJ16</f>
        <v>2455653.8821029435</v>
      </c>
      <c r="AK8" s="512">
        <f>'07 Čas cestujúcich EMU550'!AK16</f>
        <v>2474230.6310706181</v>
      </c>
      <c r="AL8" s="512">
        <f>'07 Čas cestujúcich EMU550'!AL16</f>
        <v>2492813.732156374</v>
      </c>
      <c r="AM8" s="512">
        <f>'07 Čas cestujúcich EMU550'!AM16</f>
        <v>2511312.6039152956</v>
      </c>
      <c r="AN8" s="512">
        <f>'07 Čas cestujúcich EMU550'!AN16</f>
        <v>2529727.508932251</v>
      </c>
      <c r="AO8" s="512">
        <f>'07 Čas cestujúcich EMU550'!AO16</f>
        <v>2548058.7090786826</v>
      </c>
      <c r="AP8" s="512">
        <f>'07 Čas cestujúcich EMU550'!AP16</f>
        <v>2569107.8138747327</v>
      </c>
    </row>
    <row r="9" spans="2:42" x14ac:dyDescent="0.2">
      <c r="B9" s="302" t="s">
        <v>420</v>
      </c>
      <c r="C9" s="512">
        <f>D9+NPV('Parametre EMU550'!$C$10,E9:AQ9)</f>
        <v>0</v>
      </c>
      <c r="D9" s="512">
        <f>'07 Čas cestujúcich EMU550'!D33</f>
        <v>0</v>
      </c>
      <c r="E9" s="512">
        <f>'07 Čas cestujúcich EMU550'!E33</f>
        <v>0</v>
      </c>
      <c r="F9" s="512">
        <f>'07 Čas cestujúcich EMU550'!F33</f>
        <v>0</v>
      </c>
      <c r="G9" s="512">
        <f>'07 Čas cestujúcich EMU550'!G33</f>
        <v>0</v>
      </c>
      <c r="H9" s="512">
        <f>'07 Čas cestujúcich EMU550'!H33</f>
        <v>0</v>
      </c>
      <c r="I9" s="512">
        <f>'07 Čas cestujúcich EMU550'!I33</f>
        <v>0</v>
      </c>
      <c r="J9" s="512">
        <f>'07 Čas cestujúcich EMU550'!J33</f>
        <v>0</v>
      </c>
      <c r="K9" s="512">
        <f>'07 Čas cestujúcich EMU550'!K33</f>
        <v>0</v>
      </c>
      <c r="L9" s="512">
        <f>'07 Čas cestujúcich EMU550'!L33</f>
        <v>0</v>
      </c>
      <c r="M9" s="512">
        <f>'07 Čas cestujúcich EMU550'!M33</f>
        <v>0</v>
      </c>
      <c r="N9" s="512">
        <f>'07 Čas cestujúcich EMU550'!N33</f>
        <v>0</v>
      </c>
      <c r="O9" s="512">
        <f>'07 Čas cestujúcich EMU550'!O33</f>
        <v>0</v>
      </c>
      <c r="P9" s="512">
        <f>'07 Čas cestujúcich EMU550'!P33</f>
        <v>0</v>
      </c>
      <c r="Q9" s="512">
        <f>'07 Čas cestujúcich EMU550'!Q33</f>
        <v>0</v>
      </c>
      <c r="R9" s="512">
        <f>'07 Čas cestujúcich EMU550'!R33</f>
        <v>0</v>
      </c>
      <c r="S9" s="512">
        <f>'07 Čas cestujúcich EMU550'!S33</f>
        <v>0</v>
      </c>
      <c r="T9" s="512">
        <f>'07 Čas cestujúcich EMU550'!T33</f>
        <v>0</v>
      </c>
      <c r="U9" s="512">
        <f>'07 Čas cestujúcich EMU550'!U33</f>
        <v>0</v>
      </c>
      <c r="V9" s="512">
        <f>'07 Čas cestujúcich EMU550'!V33</f>
        <v>0</v>
      </c>
      <c r="W9" s="512">
        <f>'07 Čas cestujúcich EMU550'!W33</f>
        <v>0</v>
      </c>
      <c r="X9" s="512">
        <f>'07 Čas cestujúcich EMU550'!X33</f>
        <v>0</v>
      </c>
      <c r="Y9" s="512">
        <f>'07 Čas cestujúcich EMU550'!Y33</f>
        <v>0</v>
      </c>
      <c r="Z9" s="512">
        <f>'07 Čas cestujúcich EMU550'!Z33</f>
        <v>0</v>
      </c>
      <c r="AA9" s="512">
        <f>'07 Čas cestujúcich EMU550'!AA33</f>
        <v>0</v>
      </c>
      <c r="AB9" s="512">
        <f>'07 Čas cestujúcich EMU550'!AB33</f>
        <v>0</v>
      </c>
      <c r="AC9" s="512">
        <f>'07 Čas cestujúcich EMU550'!AC33</f>
        <v>0</v>
      </c>
      <c r="AD9" s="512">
        <f>'07 Čas cestujúcich EMU550'!AD33</f>
        <v>0</v>
      </c>
      <c r="AE9" s="512">
        <f>'07 Čas cestujúcich EMU550'!AE33</f>
        <v>0</v>
      </c>
      <c r="AF9" s="512">
        <f>'07 Čas cestujúcich EMU550'!AF33</f>
        <v>0</v>
      </c>
      <c r="AG9" s="512">
        <f>'07 Čas cestujúcich EMU550'!AG33</f>
        <v>0</v>
      </c>
      <c r="AH9" s="512">
        <f>'07 Čas cestujúcich EMU550'!AH33</f>
        <v>0</v>
      </c>
      <c r="AI9" s="512">
        <f>'07 Čas cestujúcich EMU550'!AI33</f>
        <v>0</v>
      </c>
      <c r="AJ9" s="512">
        <f>'07 Čas cestujúcich EMU550'!AJ33</f>
        <v>0</v>
      </c>
      <c r="AK9" s="512">
        <f>'07 Čas cestujúcich EMU550'!AK33</f>
        <v>0</v>
      </c>
      <c r="AL9" s="512">
        <f>'07 Čas cestujúcich EMU550'!AL33</f>
        <v>0</v>
      </c>
      <c r="AM9" s="512">
        <f>'07 Čas cestujúcich EMU550'!AM33</f>
        <v>0</v>
      </c>
      <c r="AN9" s="512">
        <f>'07 Čas cestujúcich EMU550'!AN33</f>
        <v>0</v>
      </c>
      <c r="AO9" s="512">
        <f>'07 Čas cestujúcich EMU550'!AO33</f>
        <v>0</v>
      </c>
      <c r="AP9" s="512">
        <f>'07 Čas cestujúcich EMU550'!AP33</f>
        <v>0</v>
      </c>
    </row>
    <row r="10" spans="2:42" x14ac:dyDescent="0.2">
      <c r="B10" s="302" t="s">
        <v>421</v>
      </c>
      <c r="C10" s="512">
        <f>D10+NPV('Parametre EMU550'!$C$10,E10:AQ10)</f>
        <v>0</v>
      </c>
      <c r="D10" s="512">
        <f>'07 Čas cestujúcich EMU550'!D50</f>
        <v>0</v>
      </c>
      <c r="E10" s="512">
        <f>'07 Čas cestujúcich EMU550'!E50</f>
        <v>0</v>
      </c>
      <c r="F10" s="512">
        <f>'07 Čas cestujúcich EMU550'!F50</f>
        <v>0</v>
      </c>
      <c r="G10" s="512">
        <f>'07 Čas cestujúcich EMU550'!G50</f>
        <v>0</v>
      </c>
      <c r="H10" s="512">
        <f>'07 Čas cestujúcich EMU550'!H50</f>
        <v>0</v>
      </c>
      <c r="I10" s="512">
        <f>'07 Čas cestujúcich EMU550'!I50</f>
        <v>0</v>
      </c>
      <c r="J10" s="512">
        <f>'07 Čas cestujúcich EMU550'!J50</f>
        <v>0</v>
      </c>
      <c r="K10" s="512">
        <f>'07 Čas cestujúcich EMU550'!K50</f>
        <v>0</v>
      </c>
      <c r="L10" s="512">
        <f>'07 Čas cestujúcich EMU550'!L50</f>
        <v>0</v>
      </c>
      <c r="M10" s="512">
        <f>'07 Čas cestujúcich EMU550'!M50</f>
        <v>0</v>
      </c>
      <c r="N10" s="512">
        <f>'07 Čas cestujúcich EMU550'!N50</f>
        <v>0</v>
      </c>
      <c r="O10" s="512">
        <f>'07 Čas cestujúcich EMU550'!O50</f>
        <v>0</v>
      </c>
      <c r="P10" s="512">
        <f>'07 Čas cestujúcich EMU550'!P50</f>
        <v>0</v>
      </c>
      <c r="Q10" s="512">
        <f>'07 Čas cestujúcich EMU550'!Q50</f>
        <v>0</v>
      </c>
      <c r="R10" s="512">
        <f>'07 Čas cestujúcich EMU550'!R50</f>
        <v>0</v>
      </c>
      <c r="S10" s="512">
        <f>'07 Čas cestujúcich EMU550'!S50</f>
        <v>0</v>
      </c>
      <c r="T10" s="512">
        <f>'07 Čas cestujúcich EMU550'!T50</f>
        <v>0</v>
      </c>
      <c r="U10" s="512">
        <f>'07 Čas cestujúcich EMU550'!U50</f>
        <v>0</v>
      </c>
      <c r="V10" s="512">
        <f>'07 Čas cestujúcich EMU550'!V50</f>
        <v>0</v>
      </c>
      <c r="W10" s="512">
        <f>'07 Čas cestujúcich EMU550'!W50</f>
        <v>0</v>
      </c>
      <c r="X10" s="512">
        <f>'07 Čas cestujúcich EMU550'!X50</f>
        <v>0</v>
      </c>
      <c r="Y10" s="512">
        <f>'07 Čas cestujúcich EMU550'!Y50</f>
        <v>0</v>
      </c>
      <c r="Z10" s="512">
        <f>'07 Čas cestujúcich EMU550'!Z50</f>
        <v>0</v>
      </c>
      <c r="AA10" s="512">
        <f>'07 Čas cestujúcich EMU550'!AA50</f>
        <v>0</v>
      </c>
      <c r="AB10" s="512">
        <f>'07 Čas cestujúcich EMU550'!AB50</f>
        <v>0</v>
      </c>
      <c r="AC10" s="512">
        <f>'07 Čas cestujúcich EMU550'!AC50</f>
        <v>0</v>
      </c>
      <c r="AD10" s="512">
        <f>'07 Čas cestujúcich EMU550'!AD50</f>
        <v>0</v>
      </c>
      <c r="AE10" s="512">
        <f>'07 Čas cestujúcich EMU550'!AE50</f>
        <v>0</v>
      </c>
      <c r="AF10" s="512">
        <f>'07 Čas cestujúcich EMU550'!AF50</f>
        <v>0</v>
      </c>
      <c r="AG10" s="512">
        <f>'07 Čas cestujúcich EMU550'!AG50</f>
        <v>0</v>
      </c>
      <c r="AH10" s="512">
        <f>'07 Čas cestujúcich EMU550'!AH50</f>
        <v>0</v>
      </c>
      <c r="AI10" s="512">
        <f>'07 Čas cestujúcich EMU550'!AI50</f>
        <v>0</v>
      </c>
      <c r="AJ10" s="512">
        <f>'07 Čas cestujúcich EMU550'!AJ50</f>
        <v>0</v>
      </c>
      <c r="AK10" s="512">
        <f>'07 Čas cestujúcich EMU550'!AK50</f>
        <v>0</v>
      </c>
      <c r="AL10" s="512">
        <f>'07 Čas cestujúcich EMU550'!AL50</f>
        <v>0</v>
      </c>
      <c r="AM10" s="512">
        <f>'07 Čas cestujúcich EMU550'!AM50</f>
        <v>0</v>
      </c>
      <c r="AN10" s="512">
        <f>'07 Čas cestujúcich EMU550'!AN50</f>
        <v>0</v>
      </c>
      <c r="AO10" s="512">
        <f>'07 Čas cestujúcich EMU550'!AO50</f>
        <v>0</v>
      </c>
      <c r="AP10" s="512">
        <f>'07 Čas cestujúcich EMU550'!AP50</f>
        <v>0</v>
      </c>
    </row>
    <row r="11" spans="2:42" x14ac:dyDescent="0.2">
      <c r="B11" s="256" t="s">
        <v>422</v>
      </c>
      <c r="C11" s="262">
        <f>D11+NPV('Parametre EMU550'!$C$10,E11:AQ11)</f>
        <v>0</v>
      </c>
      <c r="D11" s="262">
        <f>SUM(D12:D13)</f>
        <v>0</v>
      </c>
      <c r="E11" s="262">
        <f t="shared" ref="E11:AP11" si="2">SUM(E12:E13)</f>
        <v>0</v>
      </c>
      <c r="F11" s="262">
        <f t="shared" si="2"/>
        <v>0</v>
      </c>
      <c r="G11" s="262">
        <f t="shared" si="2"/>
        <v>0</v>
      </c>
      <c r="H11" s="262">
        <f t="shared" si="2"/>
        <v>0</v>
      </c>
      <c r="I11" s="262">
        <f t="shared" si="2"/>
        <v>0</v>
      </c>
      <c r="J11" s="262">
        <f t="shared" si="2"/>
        <v>0</v>
      </c>
      <c r="K11" s="262">
        <f t="shared" si="2"/>
        <v>0</v>
      </c>
      <c r="L11" s="262">
        <f t="shared" si="2"/>
        <v>0</v>
      </c>
      <c r="M11" s="262">
        <f t="shared" si="2"/>
        <v>0</v>
      </c>
      <c r="N11" s="262">
        <f t="shared" si="2"/>
        <v>0</v>
      </c>
      <c r="O11" s="262">
        <f t="shared" si="2"/>
        <v>0</v>
      </c>
      <c r="P11" s="262">
        <f t="shared" si="2"/>
        <v>0</v>
      </c>
      <c r="Q11" s="262">
        <f t="shared" si="2"/>
        <v>0</v>
      </c>
      <c r="R11" s="262">
        <f t="shared" si="2"/>
        <v>0</v>
      </c>
      <c r="S11" s="262">
        <f t="shared" si="2"/>
        <v>0</v>
      </c>
      <c r="T11" s="262">
        <f t="shared" si="2"/>
        <v>0</v>
      </c>
      <c r="U11" s="262">
        <f t="shared" si="2"/>
        <v>0</v>
      </c>
      <c r="V11" s="262">
        <f t="shared" si="2"/>
        <v>0</v>
      </c>
      <c r="W11" s="262">
        <f t="shared" si="2"/>
        <v>0</v>
      </c>
      <c r="X11" s="262">
        <f t="shared" si="2"/>
        <v>0</v>
      </c>
      <c r="Y11" s="262">
        <f t="shared" si="2"/>
        <v>0</v>
      </c>
      <c r="Z11" s="262">
        <f t="shared" si="2"/>
        <v>0</v>
      </c>
      <c r="AA11" s="262">
        <f t="shared" si="2"/>
        <v>0</v>
      </c>
      <c r="AB11" s="262">
        <f t="shared" si="2"/>
        <v>0</v>
      </c>
      <c r="AC11" s="262">
        <f t="shared" si="2"/>
        <v>0</v>
      </c>
      <c r="AD11" s="262">
        <f t="shared" si="2"/>
        <v>0</v>
      </c>
      <c r="AE11" s="262">
        <f t="shared" si="2"/>
        <v>0</v>
      </c>
      <c r="AF11" s="262">
        <f t="shared" si="2"/>
        <v>0</v>
      </c>
      <c r="AG11" s="262">
        <f t="shared" si="2"/>
        <v>0</v>
      </c>
      <c r="AH11" s="262">
        <f t="shared" si="2"/>
        <v>0</v>
      </c>
      <c r="AI11" s="262">
        <f t="shared" si="2"/>
        <v>0</v>
      </c>
      <c r="AJ11" s="262">
        <f t="shared" si="2"/>
        <v>0</v>
      </c>
      <c r="AK11" s="262">
        <f t="shared" si="2"/>
        <v>0</v>
      </c>
      <c r="AL11" s="262">
        <f t="shared" si="2"/>
        <v>0</v>
      </c>
      <c r="AM11" s="262">
        <f t="shared" si="2"/>
        <v>0</v>
      </c>
      <c r="AN11" s="262">
        <f t="shared" si="2"/>
        <v>0</v>
      </c>
      <c r="AO11" s="262">
        <f t="shared" si="2"/>
        <v>0</v>
      </c>
      <c r="AP11" s="262">
        <f t="shared" si="2"/>
        <v>0</v>
      </c>
    </row>
    <row r="12" spans="2:42" x14ac:dyDescent="0.2">
      <c r="B12" s="302" t="s">
        <v>423</v>
      </c>
      <c r="C12" s="512">
        <f>D12+NPV('Parametre EMU550'!$C$10,E12:AQ12)</f>
        <v>0</v>
      </c>
      <c r="D12" s="512">
        <f>'08 Spotreba PHM_E EMU550'!D80</f>
        <v>0</v>
      </c>
      <c r="E12" s="512">
        <f>'08 Spotreba PHM_E EMU550'!E80</f>
        <v>0</v>
      </c>
      <c r="F12" s="512">
        <f>'08 Spotreba PHM_E EMU550'!F80</f>
        <v>0</v>
      </c>
      <c r="G12" s="512">
        <f>'08 Spotreba PHM_E EMU550'!G80</f>
        <v>0</v>
      </c>
      <c r="H12" s="512">
        <f>'08 Spotreba PHM_E EMU550'!H80</f>
        <v>0</v>
      </c>
      <c r="I12" s="512">
        <f>'08 Spotreba PHM_E EMU550'!I80</f>
        <v>0</v>
      </c>
      <c r="J12" s="512">
        <f>'08 Spotreba PHM_E EMU550'!J80</f>
        <v>0</v>
      </c>
      <c r="K12" s="512">
        <f>'08 Spotreba PHM_E EMU550'!K80</f>
        <v>0</v>
      </c>
      <c r="L12" s="512">
        <f>'08 Spotreba PHM_E EMU550'!L80</f>
        <v>0</v>
      </c>
      <c r="M12" s="512">
        <f>'08 Spotreba PHM_E EMU550'!M80</f>
        <v>0</v>
      </c>
      <c r="N12" s="512">
        <f>'08 Spotreba PHM_E EMU550'!N80</f>
        <v>0</v>
      </c>
      <c r="O12" s="512">
        <f>'08 Spotreba PHM_E EMU550'!O80</f>
        <v>0</v>
      </c>
      <c r="P12" s="512">
        <f>'08 Spotreba PHM_E EMU550'!P80</f>
        <v>0</v>
      </c>
      <c r="Q12" s="512">
        <f>'08 Spotreba PHM_E EMU550'!Q80</f>
        <v>0</v>
      </c>
      <c r="R12" s="512">
        <f>'08 Spotreba PHM_E EMU550'!R80</f>
        <v>0</v>
      </c>
      <c r="S12" s="512">
        <f>'08 Spotreba PHM_E EMU550'!S80</f>
        <v>0</v>
      </c>
      <c r="T12" s="512">
        <f>'08 Spotreba PHM_E EMU550'!T80</f>
        <v>0</v>
      </c>
      <c r="U12" s="512">
        <f>'08 Spotreba PHM_E EMU550'!U80</f>
        <v>0</v>
      </c>
      <c r="V12" s="512">
        <f>'08 Spotreba PHM_E EMU550'!V80</f>
        <v>0</v>
      </c>
      <c r="W12" s="512">
        <f>'08 Spotreba PHM_E EMU550'!W80</f>
        <v>0</v>
      </c>
      <c r="X12" s="512">
        <f>'08 Spotreba PHM_E EMU550'!X80</f>
        <v>0</v>
      </c>
      <c r="Y12" s="512">
        <f>'08 Spotreba PHM_E EMU550'!Y80</f>
        <v>0</v>
      </c>
      <c r="Z12" s="512">
        <f>'08 Spotreba PHM_E EMU550'!Z80</f>
        <v>0</v>
      </c>
      <c r="AA12" s="512">
        <f>'08 Spotreba PHM_E EMU550'!AA80</f>
        <v>0</v>
      </c>
      <c r="AB12" s="512">
        <f>'08 Spotreba PHM_E EMU550'!AB80</f>
        <v>0</v>
      </c>
      <c r="AC12" s="512">
        <f>'08 Spotreba PHM_E EMU550'!AC80</f>
        <v>0</v>
      </c>
      <c r="AD12" s="512">
        <f>'08 Spotreba PHM_E EMU550'!AD80</f>
        <v>0</v>
      </c>
      <c r="AE12" s="512">
        <f>'08 Spotreba PHM_E EMU550'!AE80</f>
        <v>0</v>
      </c>
      <c r="AF12" s="512">
        <f>'08 Spotreba PHM_E EMU550'!AF80</f>
        <v>0</v>
      </c>
      <c r="AG12" s="512">
        <f>'08 Spotreba PHM_E EMU550'!AG80</f>
        <v>0</v>
      </c>
      <c r="AH12" s="512">
        <f>'08 Spotreba PHM_E EMU550'!AH80</f>
        <v>0</v>
      </c>
      <c r="AI12" s="512">
        <f>'08 Spotreba PHM_E EMU550'!AI80</f>
        <v>0</v>
      </c>
      <c r="AJ12" s="512">
        <f>'08 Spotreba PHM_E EMU550'!AJ80</f>
        <v>0</v>
      </c>
      <c r="AK12" s="512">
        <f>'08 Spotreba PHM_E EMU550'!AK80</f>
        <v>0</v>
      </c>
      <c r="AL12" s="512">
        <f>'08 Spotreba PHM_E EMU550'!AL80</f>
        <v>0</v>
      </c>
      <c r="AM12" s="512">
        <f>'08 Spotreba PHM_E EMU550'!AM80</f>
        <v>0</v>
      </c>
      <c r="AN12" s="512">
        <f>'08 Spotreba PHM_E EMU550'!AN80</f>
        <v>0</v>
      </c>
      <c r="AO12" s="512">
        <f>'08 Spotreba PHM_E EMU550'!AO80</f>
        <v>0</v>
      </c>
      <c r="AP12" s="512">
        <f>'08 Spotreba PHM_E EMU550'!AP80</f>
        <v>0</v>
      </c>
    </row>
    <row r="13" spans="2:42" x14ac:dyDescent="0.2">
      <c r="B13" s="302" t="s">
        <v>424</v>
      </c>
      <c r="C13" s="512">
        <f>D13+NPV('Parametre EMU550'!$C$10,E13:AQ13)</f>
        <v>0</v>
      </c>
      <c r="D13" s="512">
        <f>'09 Ostatné nákl. (cesty) EMU550'!D73</f>
        <v>0</v>
      </c>
      <c r="E13" s="512">
        <f>'09 Ostatné nákl. (cesty) EMU550'!E73</f>
        <v>0</v>
      </c>
      <c r="F13" s="512">
        <f>'09 Ostatné nákl. (cesty) EMU550'!F73</f>
        <v>0</v>
      </c>
      <c r="G13" s="512">
        <f>'09 Ostatné nákl. (cesty) EMU550'!G73</f>
        <v>0</v>
      </c>
      <c r="H13" s="512">
        <f>'09 Ostatné nákl. (cesty) EMU550'!H73</f>
        <v>0</v>
      </c>
      <c r="I13" s="512">
        <f>'09 Ostatné nákl. (cesty) EMU550'!I73</f>
        <v>0</v>
      </c>
      <c r="J13" s="512">
        <f>'09 Ostatné nákl. (cesty) EMU550'!J73</f>
        <v>0</v>
      </c>
      <c r="K13" s="512">
        <f>'09 Ostatné nákl. (cesty) EMU550'!K73</f>
        <v>0</v>
      </c>
      <c r="L13" s="512">
        <f>'09 Ostatné nákl. (cesty) EMU550'!L73</f>
        <v>0</v>
      </c>
      <c r="M13" s="512">
        <f>'09 Ostatné nákl. (cesty) EMU550'!M73</f>
        <v>0</v>
      </c>
      <c r="N13" s="512">
        <f>'09 Ostatné nákl. (cesty) EMU550'!N73</f>
        <v>0</v>
      </c>
      <c r="O13" s="512">
        <f>'09 Ostatné nákl. (cesty) EMU550'!O73</f>
        <v>0</v>
      </c>
      <c r="P13" s="512">
        <f>'09 Ostatné nákl. (cesty) EMU550'!P73</f>
        <v>0</v>
      </c>
      <c r="Q13" s="512">
        <f>'09 Ostatné nákl. (cesty) EMU550'!Q73</f>
        <v>0</v>
      </c>
      <c r="R13" s="512">
        <f>'09 Ostatné nákl. (cesty) EMU550'!R73</f>
        <v>0</v>
      </c>
      <c r="S13" s="512">
        <f>'09 Ostatné nákl. (cesty) EMU550'!S73</f>
        <v>0</v>
      </c>
      <c r="T13" s="512">
        <f>'09 Ostatné nákl. (cesty) EMU550'!T73</f>
        <v>0</v>
      </c>
      <c r="U13" s="512">
        <f>'09 Ostatné nákl. (cesty) EMU550'!U73</f>
        <v>0</v>
      </c>
      <c r="V13" s="512">
        <f>'09 Ostatné nákl. (cesty) EMU550'!V73</f>
        <v>0</v>
      </c>
      <c r="W13" s="512">
        <f>'09 Ostatné nákl. (cesty) EMU550'!W73</f>
        <v>0</v>
      </c>
      <c r="X13" s="512">
        <f>'09 Ostatné nákl. (cesty) EMU550'!X73</f>
        <v>0</v>
      </c>
      <c r="Y13" s="512">
        <f>'09 Ostatné nákl. (cesty) EMU550'!Y73</f>
        <v>0</v>
      </c>
      <c r="Z13" s="512">
        <f>'09 Ostatné nákl. (cesty) EMU550'!Z73</f>
        <v>0</v>
      </c>
      <c r="AA13" s="512">
        <f>'09 Ostatné nákl. (cesty) EMU550'!AA73</f>
        <v>0</v>
      </c>
      <c r="AB13" s="512">
        <f>'09 Ostatné nákl. (cesty) EMU550'!AB73</f>
        <v>0</v>
      </c>
      <c r="AC13" s="512">
        <f>'09 Ostatné nákl. (cesty) EMU550'!AC73</f>
        <v>0</v>
      </c>
      <c r="AD13" s="512">
        <f>'09 Ostatné nákl. (cesty) EMU550'!AD73</f>
        <v>0</v>
      </c>
      <c r="AE13" s="512">
        <f>'09 Ostatné nákl. (cesty) EMU550'!AE73</f>
        <v>0</v>
      </c>
      <c r="AF13" s="512">
        <f>'09 Ostatné nákl. (cesty) EMU550'!AF73</f>
        <v>0</v>
      </c>
      <c r="AG13" s="512">
        <f>'09 Ostatné nákl. (cesty) EMU550'!AG73</f>
        <v>0</v>
      </c>
      <c r="AH13" s="512">
        <f>'09 Ostatné nákl. (cesty) EMU550'!AH73</f>
        <v>0</v>
      </c>
      <c r="AI13" s="512">
        <f>'09 Ostatné nákl. (cesty) EMU550'!AI73</f>
        <v>0</v>
      </c>
      <c r="AJ13" s="512">
        <f>'09 Ostatné nákl. (cesty) EMU550'!AJ73</f>
        <v>0</v>
      </c>
      <c r="AK13" s="512">
        <f>'09 Ostatné nákl. (cesty) EMU550'!AK73</f>
        <v>0</v>
      </c>
      <c r="AL13" s="512">
        <f>'09 Ostatné nákl. (cesty) EMU550'!AL73</f>
        <v>0</v>
      </c>
      <c r="AM13" s="512">
        <f>'09 Ostatné nákl. (cesty) EMU550'!AM73</f>
        <v>0</v>
      </c>
      <c r="AN13" s="512">
        <f>'09 Ostatné nákl. (cesty) EMU550'!AN73</f>
        <v>0</v>
      </c>
      <c r="AO13" s="512">
        <f>'09 Ostatné nákl. (cesty) EMU550'!AO73</f>
        <v>0</v>
      </c>
      <c r="AP13" s="512">
        <f>'09 Ostatné nákl. (cesty) EMU550'!AP73</f>
        <v>0</v>
      </c>
    </row>
    <row r="14" spans="2:42" x14ac:dyDescent="0.2">
      <c r="B14" s="276" t="s">
        <v>427</v>
      </c>
      <c r="C14" s="262">
        <f>D14+NPV('Parametre EMU550'!$C$10,E14:AQ14)</f>
        <v>0</v>
      </c>
      <c r="D14" s="262">
        <f>'10 Bezpečnosť (cesty) EMU550'!D26</f>
        <v>0</v>
      </c>
      <c r="E14" s="262">
        <f>'10 Bezpečnosť (cesty) EMU550'!E26</f>
        <v>0</v>
      </c>
      <c r="F14" s="262">
        <f>'10 Bezpečnosť (cesty) EMU550'!F26</f>
        <v>0</v>
      </c>
      <c r="G14" s="262">
        <f>'10 Bezpečnosť (cesty) EMU550'!G26</f>
        <v>0</v>
      </c>
      <c r="H14" s="262">
        <f>'10 Bezpečnosť (cesty) EMU550'!H26</f>
        <v>0</v>
      </c>
      <c r="I14" s="262">
        <f>'10 Bezpečnosť (cesty) EMU550'!I26</f>
        <v>0</v>
      </c>
      <c r="J14" s="262">
        <f>'10 Bezpečnosť (cesty) EMU550'!J26</f>
        <v>0</v>
      </c>
      <c r="K14" s="262">
        <f>'10 Bezpečnosť (cesty) EMU550'!K26</f>
        <v>0</v>
      </c>
      <c r="L14" s="262">
        <f>'10 Bezpečnosť (cesty) EMU550'!L26</f>
        <v>0</v>
      </c>
      <c r="M14" s="262">
        <f>'10 Bezpečnosť (cesty) EMU550'!M26</f>
        <v>0</v>
      </c>
      <c r="N14" s="262">
        <f>'10 Bezpečnosť (cesty) EMU550'!N26</f>
        <v>0</v>
      </c>
      <c r="O14" s="262">
        <f>'10 Bezpečnosť (cesty) EMU550'!O26</f>
        <v>0</v>
      </c>
      <c r="P14" s="262">
        <f>'10 Bezpečnosť (cesty) EMU550'!P26</f>
        <v>0</v>
      </c>
      <c r="Q14" s="262">
        <f>'10 Bezpečnosť (cesty) EMU550'!Q26</f>
        <v>0</v>
      </c>
      <c r="R14" s="262">
        <f>'10 Bezpečnosť (cesty) EMU550'!R26</f>
        <v>0</v>
      </c>
      <c r="S14" s="262">
        <f>'10 Bezpečnosť (cesty) EMU550'!S26</f>
        <v>0</v>
      </c>
      <c r="T14" s="262">
        <f>'10 Bezpečnosť (cesty) EMU550'!T26</f>
        <v>0</v>
      </c>
      <c r="U14" s="262">
        <f>'10 Bezpečnosť (cesty) EMU550'!U26</f>
        <v>0</v>
      </c>
      <c r="V14" s="262">
        <f>'10 Bezpečnosť (cesty) EMU550'!V26</f>
        <v>0</v>
      </c>
      <c r="W14" s="262">
        <f>'10 Bezpečnosť (cesty) EMU550'!W26</f>
        <v>0</v>
      </c>
      <c r="X14" s="262">
        <f>'10 Bezpečnosť (cesty) EMU550'!X26</f>
        <v>0</v>
      </c>
      <c r="Y14" s="262">
        <f>'10 Bezpečnosť (cesty) EMU550'!Y26</f>
        <v>0</v>
      </c>
      <c r="Z14" s="262">
        <f>'10 Bezpečnosť (cesty) EMU550'!Z26</f>
        <v>0</v>
      </c>
      <c r="AA14" s="262">
        <f>'10 Bezpečnosť (cesty) EMU550'!AA26</f>
        <v>0</v>
      </c>
      <c r="AB14" s="262">
        <f>'10 Bezpečnosť (cesty) EMU550'!AB26</f>
        <v>0</v>
      </c>
      <c r="AC14" s="262">
        <f>'10 Bezpečnosť (cesty) EMU550'!AC26</f>
        <v>0</v>
      </c>
      <c r="AD14" s="262">
        <f>'10 Bezpečnosť (cesty) EMU550'!AD26</f>
        <v>0</v>
      </c>
      <c r="AE14" s="262">
        <f>'10 Bezpečnosť (cesty) EMU550'!AE26</f>
        <v>0</v>
      </c>
      <c r="AF14" s="262">
        <f>'10 Bezpečnosť (cesty) EMU550'!AF26</f>
        <v>0</v>
      </c>
      <c r="AG14" s="262">
        <f>'10 Bezpečnosť (cesty) EMU550'!AG26</f>
        <v>0</v>
      </c>
      <c r="AH14" s="262">
        <f>'10 Bezpečnosť (cesty) EMU550'!AH26</f>
        <v>0</v>
      </c>
      <c r="AI14" s="262">
        <f>'10 Bezpečnosť (cesty) EMU550'!AI26</f>
        <v>0</v>
      </c>
      <c r="AJ14" s="262">
        <f>'10 Bezpečnosť (cesty) EMU550'!AJ26</f>
        <v>0</v>
      </c>
      <c r="AK14" s="262">
        <f>'10 Bezpečnosť (cesty) EMU550'!AK26</f>
        <v>0</v>
      </c>
      <c r="AL14" s="262">
        <f>'10 Bezpečnosť (cesty) EMU550'!AL26</f>
        <v>0</v>
      </c>
      <c r="AM14" s="262">
        <f>'10 Bezpečnosť (cesty) EMU550'!AM26</f>
        <v>0</v>
      </c>
      <c r="AN14" s="262">
        <f>'10 Bezpečnosť (cesty) EMU550'!AN26</f>
        <v>0</v>
      </c>
      <c r="AO14" s="262">
        <f>'10 Bezpečnosť (cesty) EMU550'!AO26</f>
        <v>0</v>
      </c>
      <c r="AP14" s="262">
        <f>'10 Bezpečnosť (cesty) EMU550'!AP26</f>
        <v>0</v>
      </c>
    </row>
    <row r="15" spans="2:42" x14ac:dyDescent="0.2">
      <c r="B15" s="256" t="s">
        <v>203</v>
      </c>
      <c r="C15" s="262">
        <f>D15+NPV('Parametre EMU550'!$C$10,E15:AQ15)</f>
        <v>0</v>
      </c>
      <c r="D15" s="262">
        <f>SUM(D16:D17)</f>
        <v>0</v>
      </c>
      <c r="E15" s="262">
        <f t="shared" ref="E15:AP15" si="3">SUM(E16:E17)</f>
        <v>0</v>
      </c>
      <c r="F15" s="262">
        <f t="shared" si="3"/>
        <v>0</v>
      </c>
      <c r="G15" s="262">
        <f t="shared" si="3"/>
        <v>0</v>
      </c>
      <c r="H15" s="262">
        <f t="shared" si="3"/>
        <v>0</v>
      </c>
      <c r="I15" s="262">
        <f t="shared" si="3"/>
        <v>0</v>
      </c>
      <c r="J15" s="262">
        <f t="shared" si="3"/>
        <v>0</v>
      </c>
      <c r="K15" s="262">
        <f t="shared" si="3"/>
        <v>0</v>
      </c>
      <c r="L15" s="262">
        <f t="shared" si="3"/>
        <v>0</v>
      </c>
      <c r="M15" s="262">
        <f t="shared" si="3"/>
        <v>0</v>
      </c>
      <c r="N15" s="262">
        <f t="shared" si="3"/>
        <v>0</v>
      </c>
      <c r="O15" s="262">
        <f t="shared" si="3"/>
        <v>0</v>
      </c>
      <c r="P15" s="262">
        <f t="shared" si="3"/>
        <v>0</v>
      </c>
      <c r="Q15" s="262">
        <f t="shared" si="3"/>
        <v>0</v>
      </c>
      <c r="R15" s="262">
        <f t="shared" si="3"/>
        <v>0</v>
      </c>
      <c r="S15" s="262">
        <f t="shared" si="3"/>
        <v>0</v>
      </c>
      <c r="T15" s="262">
        <f t="shared" si="3"/>
        <v>0</v>
      </c>
      <c r="U15" s="262">
        <f t="shared" si="3"/>
        <v>0</v>
      </c>
      <c r="V15" s="262">
        <f t="shared" si="3"/>
        <v>0</v>
      </c>
      <c r="W15" s="262">
        <f t="shared" si="3"/>
        <v>0</v>
      </c>
      <c r="X15" s="262">
        <f t="shared" si="3"/>
        <v>0</v>
      </c>
      <c r="Y15" s="262">
        <f t="shared" si="3"/>
        <v>0</v>
      </c>
      <c r="Z15" s="262">
        <f t="shared" si="3"/>
        <v>0</v>
      </c>
      <c r="AA15" s="262">
        <f t="shared" si="3"/>
        <v>0</v>
      </c>
      <c r="AB15" s="262">
        <f t="shared" si="3"/>
        <v>0</v>
      </c>
      <c r="AC15" s="262">
        <f t="shared" si="3"/>
        <v>0</v>
      </c>
      <c r="AD15" s="262">
        <f t="shared" si="3"/>
        <v>0</v>
      </c>
      <c r="AE15" s="262">
        <f t="shared" si="3"/>
        <v>0</v>
      </c>
      <c r="AF15" s="262">
        <f t="shared" si="3"/>
        <v>0</v>
      </c>
      <c r="AG15" s="262">
        <f t="shared" si="3"/>
        <v>0</v>
      </c>
      <c r="AH15" s="262">
        <f t="shared" si="3"/>
        <v>0</v>
      </c>
      <c r="AI15" s="262">
        <f t="shared" si="3"/>
        <v>0</v>
      </c>
      <c r="AJ15" s="262">
        <f t="shared" si="3"/>
        <v>0</v>
      </c>
      <c r="AK15" s="262">
        <f t="shared" si="3"/>
        <v>0</v>
      </c>
      <c r="AL15" s="262">
        <f t="shared" si="3"/>
        <v>0</v>
      </c>
      <c r="AM15" s="262">
        <f t="shared" si="3"/>
        <v>0</v>
      </c>
      <c r="AN15" s="262">
        <f t="shared" si="3"/>
        <v>0</v>
      </c>
      <c r="AO15" s="262">
        <f t="shared" si="3"/>
        <v>0</v>
      </c>
      <c r="AP15" s="262">
        <f t="shared" si="3"/>
        <v>0</v>
      </c>
    </row>
    <row r="16" spans="2:42" x14ac:dyDescent="0.2">
      <c r="B16" s="302" t="s">
        <v>425</v>
      </c>
      <c r="C16" s="512">
        <f>D16+NPV('Parametre EMU550'!$C$10,E16:AQ16)</f>
        <v>0</v>
      </c>
      <c r="D16" s="512">
        <f>'11a Znečisťujúce l. (voz.) EMU'!D75</f>
        <v>0</v>
      </c>
      <c r="E16" s="512">
        <f>'11a Znečisťujúce l. (voz.) EMU'!E75</f>
        <v>0</v>
      </c>
      <c r="F16" s="512">
        <f>'11a Znečisťujúce l. (voz.) EMU'!F75</f>
        <v>0</v>
      </c>
      <c r="G16" s="512">
        <f>'11a Znečisťujúce l. (voz.) EMU'!G75</f>
        <v>0</v>
      </c>
      <c r="H16" s="512">
        <f>'11a Znečisťujúce l. (voz.) EMU'!H75</f>
        <v>0</v>
      </c>
      <c r="I16" s="512">
        <f>'11a Znečisťujúce l. (voz.) EMU'!I75</f>
        <v>0</v>
      </c>
      <c r="J16" s="512">
        <f>'11a Znečisťujúce l. (voz.) EMU'!J75</f>
        <v>0</v>
      </c>
      <c r="K16" s="512">
        <f>'11a Znečisťujúce l. (voz.) EMU'!K75</f>
        <v>0</v>
      </c>
      <c r="L16" s="512">
        <f>'11a Znečisťujúce l. (voz.) EMU'!L75</f>
        <v>0</v>
      </c>
      <c r="M16" s="512">
        <f>'11a Znečisťujúce l. (voz.) EMU'!M75</f>
        <v>0</v>
      </c>
      <c r="N16" s="512">
        <f>'11a Znečisťujúce l. (voz.) EMU'!N75</f>
        <v>0</v>
      </c>
      <c r="O16" s="512">
        <f>'11a Znečisťujúce l. (voz.) EMU'!O75</f>
        <v>0</v>
      </c>
      <c r="P16" s="512">
        <f>'11a Znečisťujúce l. (voz.) EMU'!P75</f>
        <v>0</v>
      </c>
      <c r="Q16" s="512">
        <f>'11a Znečisťujúce l. (voz.) EMU'!Q75</f>
        <v>0</v>
      </c>
      <c r="R16" s="512">
        <f>'11a Znečisťujúce l. (voz.) EMU'!R75</f>
        <v>0</v>
      </c>
      <c r="S16" s="512">
        <f>'11a Znečisťujúce l. (voz.) EMU'!S75</f>
        <v>0</v>
      </c>
      <c r="T16" s="512">
        <f>'11a Znečisťujúce l. (voz.) EMU'!T75</f>
        <v>0</v>
      </c>
      <c r="U16" s="512">
        <f>'11a Znečisťujúce l. (voz.) EMU'!U75</f>
        <v>0</v>
      </c>
      <c r="V16" s="512">
        <f>'11a Znečisťujúce l. (voz.) EMU'!V75</f>
        <v>0</v>
      </c>
      <c r="W16" s="512">
        <f>'11a Znečisťujúce l. (voz.) EMU'!W75</f>
        <v>0</v>
      </c>
      <c r="X16" s="512">
        <f>'11a Znečisťujúce l. (voz.) EMU'!X75</f>
        <v>0</v>
      </c>
      <c r="Y16" s="512">
        <f>'11a Znečisťujúce l. (voz.) EMU'!Y75</f>
        <v>0</v>
      </c>
      <c r="Z16" s="512">
        <f>'11a Znečisťujúce l. (voz.) EMU'!Z75</f>
        <v>0</v>
      </c>
      <c r="AA16" s="512">
        <f>'11a Znečisťujúce l. (voz.) EMU'!AA75</f>
        <v>0</v>
      </c>
      <c r="AB16" s="512">
        <f>'11a Znečisťujúce l. (voz.) EMU'!AB75</f>
        <v>0</v>
      </c>
      <c r="AC16" s="512">
        <f>'11a Znečisťujúce l. (voz.) EMU'!AC75</f>
        <v>0</v>
      </c>
      <c r="AD16" s="512">
        <f>'11a Znečisťujúce l. (voz.) EMU'!AD75</f>
        <v>0</v>
      </c>
      <c r="AE16" s="512">
        <f>'11a Znečisťujúce l. (voz.) EMU'!AE75</f>
        <v>0</v>
      </c>
      <c r="AF16" s="512">
        <f>'11a Znečisťujúce l. (voz.) EMU'!AF75</f>
        <v>0</v>
      </c>
      <c r="AG16" s="512">
        <f>'11a Znečisťujúce l. (voz.) EMU'!AG75</f>
        <v>0</v>
      </c>
      <c r="AH16" s="512">
        <f>'11a Znečisťujúce l. (voz.) EMU'!AH75</f>
        <v>0</v>
      </c>
      <c r="AI16" s="512">
        <f>'11a Znečisťujúce l. (voz.) EMU'!AI75</f>
        <v>0</v>
      </c>
      <c r="AJ16" s="512">
        <f>'11a Znečisťujúce l. (voz.) EMU'!AJ75</f>
        <v>0</v>
      </c>
      <c r="AK16" s="512">
        <f>'11a Znečisťujúce l. (voz.) EMU'!AK75</f>
        <v>0</v>
      </c>
      <c r="AL16" s="512">
        <f>'11a Znečisťujúce l. (voz.) EMU'!AL75</f>
        <v>0</v>
      </c>
      <c r="AM16" s="512">
        <f>'11a Znečisťujúce l. (voz.) EMU'!AM75</f>
        <v>0</v>
      </c>
      <c r="AN16" s="512">
        <f>'11a Znečisťujúce l. (voz.) EMU'!AN75</f>
        <v>0</v>
      </c>
      <c r="AO16" s="512">
        <f>'11a Znečisťujúce l. (voz.) EMU'!AO75</f>
        <v>0</v>
      </c>
      <c r="AP16" s="512">
        <f>'11a Znečisťujúce l. (voz.) EMU'!AP75</f>
        <v>0</v>
      </c>
    </row>
    <row r="17" spans="2:42" x14ac:dyDescent="0.2">
      <c r="B17" s="302" t="s">
        <v>426</v>
      </c>
      <c r="C17" s="512">
        <f>D17+NPV('Parametre EMU550'!$C$10,E17:AQ17)</f>
        <v>0</v>
      </c>
      <c r="D17" s="512">
        <f>'11b Znečisť. l. (cesty)  EMU550'!D51</f>
        <v>0</v>
      </c>
      <c r="E17" s="512">
        <f>'11b Znečisť. l. (cesty)  EMU550'!E51</f>
        <v>0</v>
      </c>
      <c r="F17" s="512">
        <f>'11b Znečisť. l. (cesty)  EMU550'!F51</f>
        <v>0</v>
      </c>
      <c r="G17" s="512">
        <f>'11b Znečisť. l. (cesty)  EMU550'!G51</f>
        <v>0</v>
      </c>
      <c r="H17" s="512">
        <f>'11b Znečisť. l. (cesty)  EMU550'!H51</f>
        <v>0</v>
      </c>
      <c r="I17" s="512">
        <f>'11b Znečisť. l. (cesty)  EMU550'!I51</f>
        <v>0</v>
      </c>
      <c r="J17" s="512">
        <f>'11b Znečisť. l. (cesty)  EMU550'!J51</f>
        <v>0</v>
      </c>
      <c r="K17" s="512">
        <f>'11b Znečisť. l. (cesty)  EMU550'!K51</f>
        <v>0</v>
      </c>
      <c r="L17" s="512">
        <f>'11b Znečisť. l. (cesty)  EMU550'!L51</f>
        <v>0</v>
      </c>
      <c r="M17" s="512">
        <f>'11b Znečisť. l. (cesty)  EMU550'!M51</f>
        <v>0</v>
      </c>
      <c r="N17" s="512">
        <f>'11b Znečisť. l. (cesty)  EMU550'!N51</f>
        <v>0</v>
      </c>
      <c r="O17" s="512">
        <f>'11b Znečisť. l. (cesty)  EMU550'!O51</f>
        <v>0</v>
      </c>
      <c r="P17" s="512">
        <f>'11b Znečisť. l. (cesty)  EMU550'!P51</f>
        <v>0</v>
      </c>
      <c r="Q17" s="512">
        <f>'11b Znečisť. l. (cesty)  EMU550'!Q51</f>
        <v>0</v>
      </c>
      <c r="R17" s="512">
        <f>'11b Znečisť. l. (cesty)  EMU550'!R51</f>
        <v>0</v>
      </c>
      <c r="S17" s="512">
        <f>'11b Znečisť. l. (cesty)  EMU550'!S51</f>
        <v>0</v>
      </c>
      <c r="T17" s="512">
        <f>'11b Znečisť. l. (cesty)  EMU550'!T51</f>
        <v>0</v>
      </c>
      <c r="U17" s="512">
        <f>'11b Znečisť. l. (cesty)  EMU550'!U51</f>
        <v>0</v>
      </c>
      <c r="V17" s="512">
        <f>'11b Znečisť. l. (cesty)  EMU550'!V51</f>
        <v>0</v>
      </c>
      <c r="W17" s="512">
        <f>'11b Znečisť. l. (cesty)  EMU550'!W51</f>
        <v>0</v>
      </c>
      <c r="X17" s="512">
        <f>'11b Znečisť. l. (cesty)  EMU550'!X51</f>
        <v>0</v>
      </c>
      <c r="Y17" s="512">
        <f>'11b Znečisť. l. (cesty)  EMU550'!Y51</f>
        <v>0</v>
      </c>
      <c r="Z17" s="512">
        <f>'11b Znečisť. l. (cesty)  EMU550'!Z51</f>
        <v>0</v>
      </c>
      <c r="AA17" s="512">
        <f>'11b Znečisť. l. (cesty)  EMU550'!AA51</f>
        <v>0</v>
      </c>
      <c r="AB17" s="512">
        <f>'11b Znečisť. l. (cesty)  EMU550'!AB51</f>
        <v>0</v>
      </c>
      <c r="AC17" s="512">
        <f>'11b Znečisť. l. (cesty)  EMU550'!AC51</f>
        <v>0</v>
      </c>
      <c r="AD17" s="512">
        <f>'11b Znečisť. l. (cesty)  EMU550'!AD51</f>
        <v>0</v>
      </c>
      <c r="AE17" s="512">
        <f>'11b Znečisť. l. (cesty)  EMU550'!AE51</f>
        <v>0</v>
      </c>
      <c r="AF17" s="512">
        <f>'11b Znečisť. l. (cesty)  EMU550'!AF51</f>
        <v>0</v>
      </c>
      <c r="AG17" s="512">
        <f>'11b Znečisť. l. (cesty)  EMU550'!AG51</f>
        <v>0</v>
      </c>
      <c r="AH17" s="512">
        <f>'11b Znečisť. l. (cesty)  EMU550'!AH51</f>
        <v>0</v>
      </c>
      <c r="AI17" s="512">
        <f>'11b Znečisť. l. (cesty)  EMU550'!AI51</f>
        <v>0</v>
      </c>
      <c r="AJ17" s="512">
        <f>'11b Znečisť. l. (cesty)  EMU550'!AJ51</f>
        <v>0</v>
      </c>
      <c r="AK17" s="512">
        <f>'11b Znečisť. l. (cesty)  EMU550'!AK51</f>
        <v>0</v>
      </c>
      <c r="AL17" s="512">
        <f>'11b Znečisť. l. (cesty)  EMU550'!AL51</f>
        <v>0</v>
      </c>
      <c r="AM17" s="512">
        <f>'11b Znečisť. l. (cesty)  EMU550'!AM51</f>
        <v>0</v>
      </c>
      <c r="AN17" s="512">
        <f>'11b Znečisť. l. (cesty)  EMU550'!AN51</f>
        <v>0</v>
      </c>
      <c r="AO17" s="512">
        <f>'11b Znečisť. l. (cesty)  EMU550'!AO51</f>
        <v>0</v>
      </c>
      <c r="AP17" s="512">
        <f>'11b Znečisť. l. (cesty)  EMU550'!AP51</f>
        <v>0</v>
      </c>
    </row>
    <row r="18" spans="2:42" x14ac:dyDescent="0.2">
      <c r="B18" s="256" t="s">
        <v>204</v>
      </c>
      <c r="C18" s="262">
        <f>D18+NPV('Parametre EMU550'!$C$10,E18:AQ18)</f>
        <v>602567.44989271869</v>
      </c>
      <c r="D18" s="262">
        <f>SUM(D19:D20)</f>
        <v>0</v>
      </c>
      <c r="E18" s="262">
        <f t="shared" ref="E18:AP18" si="4">SUM(E19:E20)</f>
        <v>0</v>
      </c>
      <c r="F18" s="262">
        <f t="shared" si="4"/>
        <v>0</v>
      </c>
      <c r="G18" s="262">
        <f t="shared" si="4"/>
        <v>0</v>
      </c>
      <c r="H18" s="262">
        <f t="shared" si="4"/>
        <v>17915.64625619986</v>
      </c>
      <c r="I18" s="262">
        <f t="shared" si="4"/>
        <v>19326.607145999849</v>
      </c>
      <c r="J18" s="262">
        <f t="shared" si="4"/>
        <v>20737.568035799835</v>
      </c>
      <c r="K18" s="262">
        <f t="shared" si="4"/>
        <v>23061.503618999817</v>
      </c>
      <c r="L18" s="262">
        <f t="shared" si="4"/>
        <v>25385.439202199799</v>
      </c>
      <c r="M18" s="262">
        <f t="shared" si="4"/>
        <v>27709.374785399781</v>
      </c>
      <c r="N18" s="262">
        <f t="shared" si="4"/>
        <v>30033.310368599767</v>
      </c>
      <c r="O18" s="262">
        <f t="shared" si="4"/>
        <v>32345.389137599745</v>
      </c>
      <c r="P18" s="262">
        <f t="shared" si="4"/>
        <v>34586.327021399724</v>
      </c>
      <c r="Q18" s="262">
        <f t="shared" si="4"/>
        <v>36827.264905199714</v>
      </c>
      <c r="R18" s="262">
        <f t="shared" si="4"/>
        <v>39068.20278899969</v>
      </c>
      <c r="S18" s="262">
        <f t="shared" si="4"/>
        <v>41309.140672799673</v>
      </c>
      <c r="T18" s="262">
        <f t="shared" si="4"/>
        <v>43544.150149499656</v>
      </c>
      <c r="U18" s="262">
        <f t="shared" si="4"/>
        <v>45785.088033299631</v>
      </c>
      <c r="V18" s="262">
        <f t="shared" si="4"/>
        <v>48026.025917099614</v>
      </c>
      <c r="W18" s="262">
        <f t="shared" si="4"/>
        <v>50266.963800899604</v>
      </c>
      <c r="X18" s="262">
        <f t="shared" si="4"/>
        <v>52507.901684699587</v>
      </c>
      <c r="Y18" s="262">
        <f t="shared" si="4"/>
        <v>54742.911161399563</v>
      </c>
      <c r="Z18" s="262">
        <f t="shared" si="4"/>
        <v>57066.846744599548</v>
      </c>
      <c r="AA18" s="262">
        <f t="shared" si="4"/>
        <v>59390.782327799527</v>
      </c>
      <c r="AB18" s="262">
        <f t="shared" si="4"/>
        <v>61714.717910999512</v>
      </c>
      <c r="AC18" s="262">
        <f t="shared" si="4"/>
        <v>64038.653494199491</v>
      </c>
      <c r="AD18" s="262">
        <f t="shared" si="4"/>
        <v>66350.732263199476</v>
      </c>
      <c r="AE18" s="262">
        <f t="shared" si="4"/>
        <v>67038.427486799468</v>
      </c>
      <c r="AF18" s="262">
        <f t="shared" si="4"/>
        <v>67684.623860699459</v>
      </c>
      <c r="AG18" s="262">
        <f t="shared" si="4"/>
        <v>68336.748641699465</v>
      </c>
      <c r="AH18" s="262">
        <f t="shared" si="4"/>
        <v>68994.801829799457</v>
      </c>
      <c r="AI18" s="262">
        <f t="shared" si="4"/>
        <v>69658.783424999448</v>
      </c>
      <c r="AJ18" s="262">
        <f t="shared" si="4"/>
        <v>70328.69342729944</v>
      </c>
      <c r="AK18" s="262">
        <f t="shared" si="4"/>
        <v>71004.531836699447</v>
      </c>
      <c r="AL18" s="262">
        <f t="shared" si="4"/>
        <v>71686.298653199439</v>
      </c>
      <c r="AM18" s="262">
        <f t="shared" si="4"/>
        <v>72373.993876799417</v>
      </c>
      <c r="AN18" s="262">
        <f t="shared" si="4"/>
        <v>73067.617507499424</v>
      </c>
      <c r="AO18" s="262">
        <f t="shared" si="4"/>
        <v>73767.169545299417</v>
      </c>
      <c r="AP18" s="262">
        <f t="shared" si="4"/>
        <v>74531.934061199412</v>
      </c>
    </row>
    <row r="19" spans="2:42" x14ac:dyDescent="0.2">
      <c r="B19" s="302" t="s">
        <v>425</v>
      </c>
      <c r="C19" s="512">
        <f>D19+NPV('Parametre EMU550'!$C$10,E19:AQ19)</f>
        <v>602567.44989271869</v>
      </c>
      <c r="D19" s="512">
        <f>'12a Skleník. plyny (voz.)EMU550'!D72</f>
        <v>0</v>
      </c>
      <c r="E19" s="512">
        <f>'12a Skleník. plyny (voz.)EMU550'!E72</f>
        <v>0</v>
      </c>
      <c r="F19" s="512">
        <f>'12a Skleník. plyny (voz.)EMU550'!F72</f>
        <v>0</v>
      </c>
      <c r="G19" s="512">
        <f>'12a Skleník. plyny (voz.)EMU550'!G72</f>
        <v>0</v>
      </c>
      <c r="H19" s="512">
        <f>'12a Skleník. plyny (voz.)EMU550'!H72</f>
        <v>17915.64625619986</v>
      </c>
      <c r="I19" s="512">
        <f>'12a Skleník. plyny (voz.)EMU550'!I72</f>
        <v>19326.607145999849</v>
      </c>
      <c r="J19" s="512">
        <f>'12a Skleník. plyny (voz.)EMU550'!J72</f>
        <v>20737.568035799835</v>
      </c>
      <c r="K19" s="512">
        <f>'12a Skleník. plyny (voz.)EMU550'!K72</f>
        <v>23061.503618999817</v>
      </c>
      <c r="L19" s="512">
        <f>'12a Skleník. plyny (voz.)EMU550'!L72</f>
        <v>25385.439202199799</v>
      </c>
      <c r="M19" s="512">
        <f>'12a Skleník. plyny (voz.)EMU550'!M72</f>
        <v>27709.374785399781</v>
      </c>
      <c r="N19" s="512">
        <f>'12a Skleník. plyny (voz.)EMU550'!N72</f>
        <v>30033.310368599767</v>
      </c>
      <c r="O19" s="512">
        <f>'12a Skleník. plyny (voz.)EMU550'!O72</f>
        <v>32345.389137599745</v>
      </c>
      <c r="P19" s="512">
        <f>'12a Skleník. plyny (voz.)EMU550'!P72</f>
        <v>34586.327021399724</v>
      </c>
      <c r="Q19" s="512">
        <f>'12a Skleník. plyny (voz.)EMU550'!Q72</f>
        <v>36827.264905199714</v>
      </c>
      <c r="R19" s="512">
        <f>'12a Skleník. plyny (voz.)EMU550'!R72</f>
        <v>39068.20278899969</v>
      </c>
      <c r="S19" s="512">
        <f>'12a Skleník. plyny (voz.)EMU550'!S72</f>
        <v>41309.140672799673</v>
      </c>
      <c r="T19" s="512">
        <f>'12a Skleník. plyny (voz.)EMU550'!T72</f>
        <v>43544.150149499656</v>
      </c>
      <c r="U19" s="512">
        <f>'12a Skleník. plyny (voz.)EMU550'!U72</f>
        <v>45785.088033299631</v>
      </c>
      <c r="V19" s="512">
        <f>'12a Skleník. plyny (voz.)EMU550'!V72</f>
        <v>48026.025917099614</v>
      </c>
      <c r="W19" s="512">
        <f>'12a Skleník. plyny (voz.)EMU550'!W72</f>
        <v>50266.963800899604</v>
      </c>
      <c r="X19" s="512">
        <f>'12a Skleník. plyny (voz.)EMU550'!X72</f>
        <v>52507.901684699587</v>
      </c>
      <c r="Y19" s="512">
        <f>'12a Skleník. plyny (voz.)EMU550'!Y72</f>
        <v>54742.911161399563</v>
      </c>
      <c r="Z19" s="512">
        <f>'12a Skleník. plyny (voz.)EMU550'!Z72</f>
        <v>57066.846744599548</v>
      </c>
      <c r="AA19" s="512">
        <f>'12a Skleník. plyny (voz.)EMU550'!AA72</f>
        <v>59390.782327799527</v>
      </c>
      <c r="AB19" s="512">
        <f>'12a Skleník. plyny (voz.)EMU550'!AB72</f>
        <v>61714.717910999512</v>
      </c>
      <c r="AC19" s="512">
        <f>'12a Skleník. plyny (voz.)EMU550'!AC72</f>
        <v>64038.653494199491</v>
      </c>
      <c r="AD19" s="512">
        <f>'12a Skleník. plyny (voz.)EMU550'!AD72</f>
        <v>66350.732263199476</v>
      </c>
      <c r="AE19" s="512">
        <f>'12a Skleník. plyny (voz.)EMU550'!AE72</f>
        <v>67038.427486799468</v>
      </c>
      <c r="AF19" s="512">
        <f>'12a Skleník. plyny (voz.)EMU550'!AF72</f>
        <v>67684.623860699459</v>
      </c>
      <c r="AG19" s="512">
        <f>'12a Skleník. plyny (voz.)EMU550'!AG72</f>
        <v>68336.748641699465</v>
      </c>
      <c r="AH19" s="512">
        <f>'12a Skleník. plyny (voz.)EMU550'!AH72</f>
        <v>68994.801829799457</v>
      </c>
      <c r="AI19" s="512">
        <f>'12a Skleník. plyny (voz.)EMU550'!AI72</f>
        <v>69658.783424999448</v>
      </c>
      <c r="AJ19" s="512">
        <f>'12a Skleník. plyny (voz.)EMU550'!AJ72</f>
        <v>70328.69342729944</v>
      </c>
      <c r="AK19" s="512">
        <f>'12a Skleník. plyny (voz.)EMU550'!AK72</f>
        <v>71004.531836699447</v>
      </c>
      <c r="AL19" s="512">
        <f>'12a Skleník. plyny (voz.)EMU550'!AL72</f>
        <v>71686.298653199439</v>
      </c>
      <c r="AM19" s="512">
        <f>'12a Skleník. plyny (voz.)EMU550'!AM72</f>
        <v>72373.993876799417</v>
      </c>
      <c r="AN19" s="512">
        <f>'12a Skleník. plyny (voz.)EMU550'!AN72</f>
        <v>73067.617507499424</v>
      </c>
      <c r="AO19" s="512">
        <f>'12a Skleník. plyny (voz.)EMU550'!AO72</f>
        <v>73767.169545299417</v>
      </c>
      <c r="AP19" s="512">
        <f>'12a Skleník. plyny (voz.)EMU550'!AP72</f>
        <v>74531.934061199412</v>
      </c>
    </row>
    <row r="20" spans="2:42" x14ac:dyDescent="0.2">
      <c r="B20" s="302" t="s">
        <v>426</v>
      </c>
      <c r="C20" s="512">
        <f>D20+NPV('Parametre EMU550'!$C$10,E20:AQ20)</f>
        <v>0</v>
      </c>
      <c r="D20" s="512">
        <f>'12b Skleník.plyny (cesty)EMU550'!D35</f>
        <v>0</v>
      </c>
      <c r="E20" s="512">
        <f>'12b Skleník.plyny (cesty)EMU550'!E35</f>
        <v>0</v>
      </c>
      <c r="F20" s="512">
        <f>'12b Skleník.plyny (cesty)EMU550'!F35</f>
        <v>0</v>
      </c>
      <c r="G20" s="512">
        <f>'12b Skleník.plyny (cesty)EMU550'!G35</f>
        <v>0</v>
      </c>
      <c r="H20" s="512">
        <f>'12b Skleník.plyny (cesty)EMU550'!H35</f>
        <v>0</v>
      </c>
      <c r="I20" s="512">
        <f>'12b Skleník.plyny (cesty)EMU550'!I35</f>
        <v>0</v>
      </c>
      <c r="J20" s="512">
        <f>'12b Skleník.plyny (cesty)EMU550'!J35</f>
        <v>0</v>
      </c>
      <c r="K20" s="512">
        <f>'12b Skleník.plyny (cesty)EMU550'!K35</f>
        <v>0</v>
      </c>
      <c r="L20" s="512">
        <f>'12b Skleník.plyny (cesty)EMU550'!L35</f>
        <v>0</v>
      </c>
      <c r="M20" s="512">
        <f>'12b Skleník.plyny (cesty)EMU550'!M35</f>
        <v>0</v>
      </c>
      <c r="N20" s="512">
        <f>'12b Skleník.plyny (cesty)EMU550'!N35</f>
        <v>0</v>
      </c>
      <c r="O20" s="512">
        <f>'12b Skleník.plyny (cesty)EMU550'!O35</f>
        <v>0</v>
      </c>
      <c r="P20" s="512">
        <f>'12b Skleník.plyny (cesty)EMU550'!P35</f>
        <v>0</v>
      </c>
      <c r="Q20" s="512">
        <f>'12b Skleník.plyny (cesty)EMU550'!Q35</f>
        <v>0</v>
      </c>
      <c r="R20" s="512">
        <f>'12b Skleník.plyny (cesty)EMU550'!R35</f>
        <v>0</v>
      </c>
      <c r="S20" s="512">
        <f>'12b Skleník.plyny (cesty)EMU550'!S35</f>
        <v>0</v>
      </c>
      <c r="T20" s="512">
        <f>'12b Skleník.plyny (cesty)EMU550'!T35</f>
        <v>0</v>
      </c>
      <c r="U20" s="512">
        <f>'12b Skleník.plyny (cesty)EMU550'!U35</f>
        <v>0</v>
      </c>
      <c r="V20" s="512">
        <f>'12b Skleník.plyny (cesty)EMU550'!V35</f>
        <v>0</v>
      </c>
      <c r="W20" s="512">
        <f>'12b Skleník.plyny (cesty)EMU550'!W35</f>
        <v>0</v>
      </c>
      <c r="X20" s="512">
        <f>'12b Skleník.plyny (cesty)EMU550'!X35</f>
        <v>0</v>
      </c>
      <c r="Y20" s="512">
        <f>'12b Skleník.plyny (cesty)EMU550'!Y35</f>
        <v>0</v>
      </c>
      <c r="Z20" s="512">
        <f>'12b Skleník.plyny (cesty)EMU550'!Z35</f>
        <v>0</v>
      </c>
      <c r="AA20" s="512">
        <f>'12b Skleník.plyny (cesty)EMU550'!AA35</f>
        <v>0</v>
      </c>
      <c r="AB20" s="512">
        <f>'12b Skleník.plyny (cesty)EMU550'!AB35</f>
        <v>0</v>
      </c>
      <c r="AC20" s="512">
        <f>'12b Skleník.plyny (cesty)EMU550'!AC35</f>
        <v>0</v>
      </c>
      <c r="AD20" s="512">
        <f>'12b Skleník.plyny (cesty)EMU550'!AD35</f>
        <v>0</v>
      </c>
      <c r="AE20" s="512">
        <f>'12b Skleník.plyny (cesty)EMU550'!AE35</f>
        <v>0</v>
      </c>
      <c r="AF20" s="512">
        <f>'12b Skleník.plyny (cesty)EMU550'!AF35</f>
        <v>0</v>
      </c>
      <c r="AG20" s="512">
        <f>'12b Skleník.plyny (cesty)EMU550'!AG35</f>
        <v>0</v>
      </c>
      <c r="AH20" s="512">
        <f>'12b Skleník.plyny (cesty)EMU550'!AH35</f>
        <v>0</v>
      </c>
      <c r="AI20" s="512">
        <f>'12b Skleník.plyny (cesty)EMU550'!AI35</f>
        <v>0</v>
      </c>
      <c r="AJ20" s="512">
        <f>'12b Skleník.plyny (cesty)EMU550'!AJ35</f>
        <v>0</v>
      </c>
      <c r="AK20" s="512">
        <f>'12b Skleník.plyny (cesty)EMU550'!AK35</f>
        <v>0</v>
      </c>
      <c r="AL20" s="512">
        <f>'12b Skleník.plyny (cesty)EMU550'!AL35</f>
        <v>0</v>
      </c>
      <c r="AM20" s="512">
        <f>'12b Skleník.plyny (cesty)EMU550'!AM35</f>
        <v>0</v>
      </c>
      <c r="AN20" s="512">
        <f>'12b Skleník.plyny (cesty)EMU550'!AN35</f>
        <v>0</v>
      </c>
      <c r="AO20" s="512">
        <f>'12b Skleník.plyny (cesty)EMU550'!AO35</f>
        <v>0</v>
      </c>
      <c r="AP20" s="512">
        <f>'12b Skleník.plyny (cesty)EMU550'!AP35</f>
        <v>0</v>
      </c>
    </row>
    <row r="21" spans="2:42" x14ac:dyDescent="0.2">
      <c r="B21" s="256" t="s">
        <v>205</v>
      </c>
      <c r="C21" s="262">
        <f>D21+NPV('Parametre EMU550'!$C$10,E21:AQ21)</f>
        <v>0</v>
      </c>
      <c r="D21" s="262">
        <f>SUM(D22:D23)</f>
        <v>0</v>
      </c>
      <c r="E21" s="262">
        <f t="shared" ref="E21:AP21" si="5">SUM(E22:E23)</f>
        <v>0</v>
      </c>
      <c r="F21" s="262">
        <f t="shared" si="5"/>
        <v>0</v>
      </c>
      <c r="G21" s="262">
        <f t="shared" si="5"/>
        <v>0</v>
      </c>
      <c r="H21" s="262">
        <f t="shared" si="5"/>
        <v>0</v>
      </c>
      <c r="I21" s="262">
        <f t="shared" si="5"/>
        <v>0</v>
      </c>
      <c r="J21" s="262">
        <f t="shared" si="5"/>
        <v>0</v>
      </c>
      <c r="K21" s="262">
        <f t="shared" si="5"/>
        <v>0</v>
      </c>
      <c r="L21" s="262">
        <f t="shared" si="5"/>
        <v>0</v>
      </c>
      <c r="M21" s="262">
        <f t="shared" si="5"/>
        <v>0</v>
      </c>
      <c r="N21" s="262">
        <f t="shared" si="5"/>
        <v>0</v>
      </c>
      <c r="O21" s="262">
        <f t="shared" si="5"/>
        <v>0</v>
      </c>
      <c r="P21" s="262">
        <f t="shared" si="5"/>
        <v>0</v>
      </c>
      <c r="Q21" s="262">
        <f t="shared" si="5"/>
        <v>0</v>
      </c>
      <c r="R21" s="262">
        <f t="shared" si="5"/>
        <v>0</v>
      </c>
      <c r="S21" s="262">
        <f t="shared" si="5"/>
        <v>0</v>
      </c>
      <c r="T21" s="262">
        <f t="shared" si="5"/>
        <v>0</v>
      </c>
      <c r="U21" s="262">
        <f t="shared" si="5"/>
        <v>0</v>
      </c>
      <c r="V21" s="262">
        <f t="shared" si="5"/>
        <v>0</v>
      </c>
      <c r="W21" s="262">
        <f t="shared" si="5"/>
        <v>0</v>
      </c>
      <c r="X21" s="262">
        <f t="shared" si="5"/>
        <v>0</v>
      </c>
      <c r="Y21" s="262">
        <f t="shared" si="5"/>
        <v>0</v>
      </c>
      <c r="Z21" s="262">
        <f t="shared" si="5"/>
        <v>0</v>
      </c>
      <c r="AA21" s="262">
        <f t="shared" si="5"/>
        <v>0</v>
      </c>
      <c r="AB21" s="262">
        <f t="shared" si="5"/>
        <v>0</v>
      </c>
      <c r="AC21" s="262">
        <f t="shared" si="5"/>
        <v>0</v>
      </c>
      <c r="AD21" s="262">
        <f t="shared" si="5"/>
        <v>0</v>
      </c>
      <c r="AE21" s="262">
        <f t="shared" si="5"/>
        <v>0</v>
      </c>
      <c r="AF21" s="262">
        <f t="shared" si="5"/>
        <v>0</v>
      </c>
      <c r="AG21" s="262">
        <f t="shared" si="5"/>
        <v>0</v>
      </c>
      <c r="AH21" s="262">
        <f t="shared" si="5"/>
        <v>0</v>
      </c>
      <c r="AI21" s="262">
        <f t="shared" si="5"/>
        <v>0</v>
      </c>
      <c r="AJ21" s="262">
        <f t="shared" si="5"/>
        <v>0</v>
      </c>
      <c r="AK21" s="262">
        <f t="shared" si="5"/>
        <v>0</v>
      </c>
      <c r="AL21" s="262">
        <f t="shared" si="5"/>
        <v>0</v>
      </c>
      <c r="AM21" s="262">
        <f t="shared" si="5"/>
        <v>0</v>
      </c>
      <c r="AN21" s="262">
        <f t="shared" si="5"/>
        <v>0</v>
      </c>
      <c r="AO21" s="262">
        <f t="shared" si="5"/>
        <v>0</v>
      </c>
      <c r="AP21" s="262">
        <f t="shared" si="5"/>
        <v>0</v>
      </c>
    </row>
    <row r="22" spans="2:42" x14ac:dyDescent="0.2">
      <c r="B22" s="302" t="s">
        <v>425</v>
      </c>
      <c r="C22" s="512">
        <f>D22+NPV('Parametre EMU550'!$C$10,E22:AQ22)</f>
        <v>0</v>
      </c>
      <c r="D22" s="512">
        <f>'13a Hluk (voz.) EMU550'!D35</f>
        <v>0</v>
      </c>
      <c r="E22" s="512">
        <f>'13a Hluk (voz.) EMU550'!E35</f>
        <v>0</v>
      </c>
      <c r="F22" s="512">
        <f>'13a Hluk (voz.) EMU550'!F35</f>
        <v>0</v>
      </c>
      <c r="G22" s="512">
        <f>'13a Hluk (voz.) EMU550'!G35</f>
        <v>0</v>
      </c>
      <c r="H22" s="512">
        <f>'13a Hluk (voz.) EMU550'!H35</f>
        <v>0</v>
      </c>
      <c r="I22" s="512">
        <f>'13a Hluk (voz.) EMU550'!I35</f>
        <v>0</v>
      </c>
      <c r="J22" s="512">
        <f>'13a Hluk (voz.) EMU550'!J35</f>
        <v>0</v>
      </c>
      <c r="K22" s="512">
        <f>'13a Hluk (voz.) EMU550'!K35</f>
        <v>0</v>
      </c>
      <c r="L22" s="512">
        <f>'13a Hluk (voz.) EMU550'!L35</f>
        <v>0</v>
      </c>
      <c r="M22" s="512">
        <f>'13a Hluk (voz.) EMU550'!M35</f>
        <v>0</v>
      </c>
      <c r="N22" s="512">
        <f>'13a Hluk (voz.) EMU550'!N35</f>
        <v>0</v>
      </c>
      <c r="O22" s="512">
        <f>'13a Hluk (voz.) EMU550'!O35</f>
        <v>0</v>
      </c>
      <c r="P22" s="512">
        <f>'13a Hluk (voz.) EMU550'!P35</f>
        <v>0</v>
      </c>
      <c r="Q22" s="512">
        <f>'13a Hluk (voz.) EMU550'!Q35</f>
        <v>0</v>
      </c>
      <c r="R22" s="512">
        <f>'13a Hluk (voz.) EMU550'!R35</f>
        <v>0</v>
      </c>
      <c r="S22" s="512">
        <f>'13a Hluk (voz.) EMU550'!S35</f>
        <v>0</v>
      </c>
      <c r="T22" s="512">
        <f>'13a Hluk (voz.) EMU550'!T35</f>
        <v>0</v>
      </c>
      <c r="U22" s="512">
        <f>'13a Hluk (voz.) EMU550'!U35</f>
        <v>0</v>
      </c>
      <c r="V22" s="512">
        <f>'13a Hluk (voz.) EMU550'!V35</f>
        <v>0</v>
      </c>
      <c r="W22" s="512">
        <f>'13a Hluk (voz.) EMU550'!W35</f>
        <v>0</v>
      </c>
      <c r="X22" s="512">
        <f>'13a Hluk (voz.) EMU550'!X35</f>
        <v>0</v>
      </c>
      <c r="Y22" s="512">
        <f>'13a Hluk (voz.) EMU550'!Y35</f>
        <v>0</v>
      </c>
      <c r="Z22" s="512">
        <f>'13a Hluk (voz.) EMU550'!Z35</f>
        <v>0</v>
      </c>
      <c r="AA22" s="512">
        <f>'13a Hluk (voz.) EMU550'!AA35</f>
        <v>0</v>
      </c>
      <c r="AB22" s="512">
        <f>'13a Hluk (voz.) EMU550'!AB35</f>
        <v>0</v>
      </c>
      <c r="AC22" s="512">
        <f>'13a Hluk (voz.) EMU550'!AC35</f>
        <v>0</v>
      </c>
      <c r="AD22" s="512">
        <f>'13a Hluk (voz.) EMU550'!AD35</f>
        <v>0</v>
      </c>
      <c r="AE22" s="512">
        <f>'13a Hluk (voz.) EMU550'!AE35</f>
        <v>0</v>
      </c>
      <c r="AF22" s="512">
        <f>'13a Hluk (voz.) EMU550'!AF35</f>
        <v>0</v>
      </c>
      <c r="AG22" s="512">
        <f>'13a Hluk (voz.) EMU550'!AG35</f>
        <v>0</v>
      </c>
      <c r="AH22" s="512">
        <f>'13a Hluk (voz.) EMU550'!AH35</f>
        <v>0</v>
      </c>
      <c r="AI22" s="512">
        <f>'13a Hluk (voz.) EMU550'!AI35</f>
        <v>0</v>
      </c>
      <c r="AJ22" s="512">
        <f>'13a Hluk (voz.) EMU550'!AJ35</f>
        <v>0</v>
      </c>
      <c r="AK22" s="512">
        <f>'13a Hluk (voz.) EMU550'!AK35</f>
        <v>0</v>
      </c>
      <c r="AL22" s="512">
        <f>'13a Hluk (voz.) EMU550'!AL35</f>
        <v>0</v>
      </c>
      <c r="AM22" s="512">
        <f>'13a Hluk (voz.) EMU550'!AM35</f>
        <v>0</v>
      </c>
      <c r="AN22" s="512">
        <f>'13a Hluk (voz.) EMU550'!AN35</f>
        <v>0</v>
      </c>
      <c r="AO22" s="512">
        <f>'13a Hluk (voz.) EMU550'!AO35</f>
        <v>0</v>
      </c>
      <c r="AP22" s="512">
        <f>'13a Hluk (voz.) EMU550'!AP35</f>
        <v>0</v>
      </c>
    </row>
    <row r="23" spans="2:42" x14ac:dyDescent="0.2">
      <c r="B23" s="302" t="s">
        <v>426</v>
      </c>
      <c r="C23" s="512">
        <f>D23+NPV('Parametre EMU550'!$C$10,E23:AQ23)</f>
        <v>0</v>
      </c>
      <c r="D23" s="512">
        <f>'13b Hluk (cesty) EMU550'!D47</f>
        <v>0</v>
      </c>
      <c r="E23" s="512">
        <f>'13b Hluk (cesty) EMU550'!E47</f>
        <v>0</v>
      </c>
      <c r="F23" s="512">
        <f>'13b Hluk (cesty) EMU550'!F47</f>
        <v>0</v>
      </c>
      <c r="G23" s="512">
        <f>'13b Hluk (cesty) EMU550'!G47</f>
        <v>0</v>
      </c>
      <c r="H23" s="512">
        <f>'13b Hluk (cesty) EMU550'!H47</f>
        <v>0</v>
      </c>
      <c r="I23" s="512">
        <f>'13b Hluk (cesty) EMU550'!I47</f>
        <v>0</v>
      </c>
      <c r="J23" s="512">
        <f>'13b Hluk (cesty) EMU550'!J47</f>
        <v>0</v>
      </c>
      <c r="K23" s="512">
        <f>'13b Hluk (cesty) EMU550'!K47</f>
        <v>0</v>
      </c>
      <c r="L23" s="512">
        <f>'13b Hluk (cesty) EMU550'!L47</f>
        <v>0</v>
      </c>
      <c r="M23" s="512">
        <f>'13b Hluk (cesty) EMU550'!M47</f>
        <v>0</v>
      </c>
      <c r="N23" s="512">
        <f>'13b Hluk (cesty) EMU550'!N47</f>
        <v>0</v>
      </c>
      <c r="O23" s="512">
        <f>'13b Hluk (cesty) EMU550'!O47</f>
        <v>0</v>
      </c>
      <c r="P23" s="512">
        <f>'13b Hluk (cesty) EMU550'!P47</f>
        <v>0</v>
      </c>
      <c r="Q23" s="512">
        <f>'13b Hluk (cesty) EMU550'!Q47</f>
        <v>0</v>
      </c>
      <c r="R23" s="512">
        <f>'13b Hluk (cesty) EMU550'!R47</f>
        <v>0</v>
      </c>
      <c r="S23" s="512">
        <f>'13b Hluk (cesty) EMU550'!S47</f>
        <v>0</v>
      </c>
      <c r="T23" s="512">
        <f>'13b Hluk (cesty) EMU550'!T47</f>
        <v>0</v>
      </c>
      <c r="U23" s="512">
        <f>'13b Hluk (cesty) EMU550'!U47</f>
        <v>0</v>
      </c>
      <c r="V23" s="512">
        <f>'13b Hluk (cesty) EMU550'!V47</f>
        <v>0</v>
      </c>
      <c r="W23" s="512">
        <f>'13b Hluk (cesty) EMU550'!W47</f>
        <v>0</v>
      </c>
      <c r="X23" s="512">
        <f>'13b Hluk (cesty) EMU550'!X47</f>
        <v>0</v>
      </c>
      <c r="Y23" s="512">
        <f>'13b Hluk (cesty) EMU550'!Y47</f>
        <v>0</v>
      </c>
      <c r="Z23" s="512">
        <f>'13b Hluk (cesty) EMU550'!Z47</f>
        <v>0</v>
      </c>
      <c r="AA23" s="512">
        <f>'13b Hluk (cesty) EMU550'!AA47</f>
        <v>0</v>
      </c>
      <c r="AB23" s="512">
        <f>'13b Hluk (cesty) EMU550'!AB47</f>
        <v>0</v>
      </c>
      <c r="AC23" s="512">
        <f>'13b Hluk (cesty) EMU550'!AC47</f>
        <v>0</v>
      </c>
      <c r="AD23" s="512">
        <f>'13b Hluk (cesty) EMU550'!AD47</f>
        <v>0</v>
      </c>
      <c r="AE23" s="512">
        <f>'13b Hluk (cesty) EMU550'!AE47</f>
        <v>0</v>
      </c>
      <c r="AF23" s="512">
        <f>'13b Hluk (cesty) EMU550'!AF47</f>
        <v>0</v>
      </c>
      <c r="AG23" s="512">
        <f>'13b Hluk (cesty) EMU550'!AG47</f>
        <v>0</v>
      </c>
      <c r="AH23" s="512">
        <f>'13b Hluk (cesty) EMU550'!AH47</f>
        <v>0</v>
      </c>
      <c r="AI23" s="512">
        <f>'13b Hluk (cesty) EMU550'!AI47</f>
        <v>0</v>
      </c>
      <c r="AJ23" s="512">
        <f>'13b Hluk (cesty) EMU550'!AJ47</f>
        <v>0</v>
      </c>
      <c r="AK23" s="512">
        <f>'13b Hluk (cesty) EMU550'!AK47</f>
        <v>0</v>
      </c>
      <c r="AL23" s="512">
        <f>'13b Hluk (cesty) EMU550'!AL47</f>
        <v>0</v>
      </c>
      <c r="AM23" s="512">
        <f>'13b Hluk (cesty) EMU550'!AM47</f>
        <v>0</v>
      </c>
      <c r="AN23" s="512">
        <f>'13b Hluk (cesty) EMU550'!AN47</f>
        <v>0</v>
      </c>
      <c r="AO23" s="512">
        <f>'13b Hluk (cesty) EMU550'!AO47</f>
        <v>0</v>
      </c>
      <c r="AP23" s="512">
        <f>'13b Hluk (cesty) EMU550'!AP47</f>
        <v>0</v>
      </c>
    </row>
    <row r="24" spans="2:42" x14ac:dyDescent="0.2">
      <c r="B24" s="256" t="s">
        <v>16</v>
      </c>
      <c r="C24" s="262">
        <f>D24+NPV('Parametre EMU550'!$C$10,E24:AQ24)</f>
        <v>16736761.897014474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  <c r="U24" s="262">
        <v>0</v>
      </c>
      <c r="V24" s="262">
        <v>0</v>
      </c>
      <c r="W24" s="262">
        <v>0</v>
      </c>
      <c r="X24" s="262">
        <v>0</v>
      </c>
      <c r="Y24" s="262">
        <v>0</v>
      </c>
      <c r="Z24" s="262">
        <v>0</v>
      </c>
      <c r="AA24" s="262">
        <v>0</v>
      </c>
      <c r="AB24" s="262">
        <v>0</v>
      </c>
      <c r="AC24" s="262">
        <v>0</v>
      </c>
      <c r="AD24" s="262">
        <v>0</v>
      </c>
      <c r="AE24" s="262">
        <v>0</v>
      </c>
      <c r="AF24" s="262">
        <v>0</v>
      </c>
      <c r="AG24" s="262">
        <v>0</v>
      </c>
      <c r="AH24" s="262">
        <v>0</v>
      </c>
      <c r="AI24" s="262">
        <v>0</v>
      </c>
      <c r="AJ24" s="262">
        <v>0</v>
      </c>
      <c r="AK24" s="262">
        <v>0</v>
      </c>
      <c r="AL24" s="262">
        <v>0</v>
      </c>
      <c r="AM24" s="262">
        <v>0</v>
      </c>
      <c r="AN24" s="262">
        <v>0</v>
      </c>
      <c r="AO24" s="262">
        <v>0</v>
      </c>
      <c r="AP24" s="262">
        <f>IFERROR('02 Zostatková hodnota EMU550'!I9,0)</f>
        <v>106872213</v>
      </c>
    </row>
    <row r="25" spans="2:42" x14ac:dyDescent="0.2">
      <c r="B25" s="508" t="s">
        <v>40</v>
      </c>
      <c r="C25" s="501">
        <f>D25+NPV('Parametre EMU550'!$C$10,E25:AQ25)</f>
        <v>3478082.9999703593</v>
      </c>
      <c r="D25" s="501">
        <f>-D5-D6+D7+D11+D14+D15+D18+D21+D24</f>
        <v>0</v>
      </c>
      <c r="E25" s="501">
        <f t="shared" ref="E25:AP25" si="6">-E5-E6+E7+E11+E14+E15+E18+E21+E24</f>
        <v>0</v>
      </c>
      <c r="F25" s="501">
        <f t="shared" si="6"/>
        <v>0</v>
      </c>
      <c r="G25" s="501">
        <f t="shared" si="6"/>
        <v>-121330800</v>
      </c>
      <c r="H25" s="501">
        <f t="shared" si="6"/>
        <v>-90581562.370345563</v>
      </c>
      <c r="I25" s="501">
        <f t="shared" si="6"/>
        <v>25089302.40925261</v>
      </c>
      <c r="J25" s="501">
        <f t="shared" si="6"/>
        <v>25130540.583665088</v>
      </c>
      <c r="K25" s="501">
        <f t="shared" si="6"/>
        <v>1053315.3228672242</v>
      </c>
      <c r="L25" s="501">
        <f t="shared" si="6"/>
        <v>1096105.2273435104</v>
      </c>
      <c r="M25" s="501">
        <f t="shared" si="6"/>
        <v>1139523.4692217119</v>
      </c>
      <c r="N25" s="501">
        <f t="shared" si="6"/>
        <v>1184207.8825251227</v>
      </c>
      <c r="O25" s="501">
        <f t="shared" si="6"/>
        <v>1229538.5105652816</v>
      </c>
      <c r="P25" s="501">
        <f t="shared" si="6"/>
        <v>1275464.9946544489</v>
      </c>
      <c r="Q25" s="501">
        <f t="shared" si="6"/>
        <v>1374869.6880158463</v>
      </c>
      <c r="R25" s="501">
        <f t="shared" si="6"/>
        <v>1422252.5048744408</v>
      </c>
      <c r="S25" s="501">
        <f t="shared" si="6"/>
        <v>56584413.020411208</v>
      </c>
      <c r="T25" s="501">
        <f t="shared" si="6"/>
        <v>56607434.760382883</v>
      </c>
      <c r="U25" s="501">
        <f t="shared" si="6"/>
        <v>8391896.8898097258</v>
      </c>
      <c r="V25" s="501">
        <f t="shared" si="6"/>
        <v>8411729.2361866515</v>
      </c>
      <c r="W25" s="501">
        <f t="shared" si="6"/>
        <v>8433095.7945656758</v>
      </c>
      <c r="X25" s="501">
        <f t="shared" si="6"/>
        <v>8454377.0870048534</v>
      </c>
      <c r="Y25" s="501">
        <f t="shared" si="6"/>
        <v>8475567.4496584032</v>
      </c>
      <c r="Z25" s="501">
        <f t="shared" si="6"/>
        <v>8496762.000884017</v>
      </c>
      <c r="AA25" s="501">
        <f t="shared" si="6"/>
        <v>8518515.2505071033</v>
      </c>
      <c r="AB25" s="501">
        <f t="shared" si="6"/>
        <v>8540181.7154483777</v>
      </c>
      <c r="AC25" s="501">
        <f t="shared" si="6"/>
        <v>11448871.665129373</v>
      </c>
      <c r="AD25" s="501">
        <f t="shared" si="6"/>
        <v>32703335.453980688</v>
      </c>
      <c r="AE25" s="501">
        <f t="shared" si="6"/>
        <v>8603198.5129092038</v>
      </c>
      <c r="AF25" s="501">
        <f t="shared" si="6"/>
        <v>8622205.6530471984</v>
      </c>
      <c r="AG25" s="501">
        <f t="shared" si="6"/>
        <v>8641135.8245319203</v>
      </c>
      <c r="AH25" s="501">
        <f t="shared" si="6"/>
        <v>8660080.4947249144</v>
      </c>
      <c r="AI25" s="501">
        <f t="shared" si="6"/>
        <v>8679490.2740032822</v>
      </c>
      <c r="AJ25" s="501">
        <f t="shared" si="6"/>
        <v>8698821.3255102467</v>
      </c>
      <c r="AK25" s="501">
        <f t="shared" si="6"/>
        <v>8718073.9128873199</v>
      </c>
      <c r="AL25" s="501">
        <f t="shared" si="6"/>
        <v>8737338.7807895765</v>
      </c>
      <c r="AM25" s="501">
        <f t="shared" si="6"/>
        <v>14530745.347772099</v>
      </c>
      <c r="AN25" s="501">
        <f t="shared" si="6"/>
        <v>57015633.876419753</v>
      </c>
      <c r="AO25" s="501">
        <f t="shared" si="6"/>
        <v>8794664.6286039855</v>
      </c>
      <c r="AP25" s="501">
        <f t="shared" si="6"/>
        <v>115688691.49791594</v>
      </c>
    </row>
    <row r="27" spans="2:42" x14ac:dyDescent="0.2">
      <c r="B27" s="277" t="s">
        <v>41</v>
      </c>
      <c r="C27" s="507">
        <f>-C5-C6+C7+C11+C14+C15+C18+C21+C24</f>
        <v>3478082.9999703709</v>
      </c>
      <c r="D27" s="255" t="s">
        <v>0</v>
      </c>
    </row>
    <row r="28" spans="2:42" x14ac:dyDescent="0.2">
      <c r="B28" s="277" t="s">
        <v>42</v>
      </c>
      <c r="C28" s="513">
        <f>IRR(D25:AQ25,10)</f>
        <v>5.124888181253251E-2</v>
      </c>
    </row>
    <row r="29" spans="2:42" x14ac:dyDescent="0.2">
      <c r="B29" s="277" t="s">
        <v>1</v>
      </c>
      <c r="C29" s="278">
        <f>IF((C5+C6)&gt;0,(C7+C11+C15+C14+C18+C21+C24)/(C5+C6),"nerelevantné")</f>
        <v>1.0814428305160912</v>
      </c>
    </row>
    <row r="30" spans="2:42" x14ac:dyDescent="0.2">
      <c r="B30" s="277" t="s">
        <v>428</v>
      </c>
      <c r="C30" s="278">
        <f>IF(C6&lt;0,(C7+C11+C14+C15+C18+C21+C24-C6)/C5,"nerelevantné")</f>
        <v>1.0193576918294756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A979-23D8-43B6-8B1D-17AC9466FC80}">
  <sheetPr>
    <tabColor theme="5" tint="0.39997558519241921"/>
  </sheetPr>
  <dimension ref="A1:T57"/>
  <sheetViews>
    <sheetView zoomScale="80" zoomScaleNormal="80" workbookViewId="0"/>
  </sheetViews>
  <sheetFormatPr defaultColWidth="9.140625" defaultRowHeight="12.75" x14ac:dyDescent="0.2"/>
  <cols>
    <col min="1" max="1" width="36.85546875" style="591" customWidth="1"/>
    <col min="2" max="8" width="14.85546875" style="591" customWidth="1"/>
    <col min="9" max="20" width="13.85546875" style="591" customWidth="1"/>
    <col min="21" max="16384" width="9.140625" style="591"/>
  </cols>
  <sheetData>
    <row r="1" spans="1:15" x14ac:dyDescent="0.2">
      <c r="A1" s="590" t="s">
        <v>734</v>
      </c>
    </row>
    <row r="2" spans="1:15" x14ac:dyDescent="0.2">
      <c r="C2" s="592" t="s">
        <v>735</v>
      </c>
      <c r="D2" s="592" t="s">
        <v>736</v>
      </c>
      <c r="E2" s="592" t="s">
        <v>737</v>
      </c>
      <c r="F2" s="592" t="s">
        <v>738</v>
      </c>
      <c r="G2" s="592" t="s">
        <v>739</v>
      </c>
      <c r="H2" s="592" t="s">
        <v>740</v>
      </c>
    </row>
    <row r="3" spans="1:15" x14ac:dyDescent="0.2">
      <c r="A3" s="593" t="s">
        <v>58</v>
      </c>
      <c r="B3" s="594">
        <f>'06 Finančná analýza EMU550'!C5</f>
        <v>206275774.0559679</v>
      </c>
      <c r="C3" s="595">
        <f>B3*1.1</f>
        <v>226903351.46156472</v>
      </c>
      <c r="D3" s="595">
        <f>B3*0.9</f>
        <v>185648196.6503711</v>
      </c>
      <c r="E3" s="596">
        <f>B3</f>
        <v>206275774.0559679</v>
      </c>
      <c r="F3" s="596">
        <f>B3</f>
        <v>206275774.0559679</v>
      </c>
      <c r="G3" s="596">
        <f>B3</f>
        <v>206275774.0559679</v>
      </c>
      <c r="H3" s="596">
        <f>B3</f>
        <v>206275774.0559679</v>
      </c>
    </row>
    <row r="4" spans="1:15" x14ac:dyDescent="0.2">
      <c r="A4" s="593" t="s">
        <v>57</v>
      </c>
      <c r="B4" s="594">
        <f>'06 Finančná analýza EMU550'!C6</f>
        <v>-181173654.65318218</v>
      </c>
      <c r="C4" s="596">
        <f>B4</f>
        <v>-181173654.65318218</v>
      </c>
      <c r="D4" s="596">
        <f>B4</f>
        <v>-181173654.65318218</v>
      </c>
      <c r="E4" s="595">
        <f>B4*1.1</f>
        <v>-199291020.11850041</v>
      </c>
      <c r="F4" s="595">
        <f>B4*0.9</f>
        <v>-163056289.18786398</v>
      </c>
      <c r="G4" s="596">
        <f>B4</f>
        <v>-181173654.65318218</v>
      </c>
      <c r="H4" s="596">
        <f>B4</f>
        <v>-181173654.65318218</v>
      </c>
    </row>
    <row r="5" spans="1:15" x14ac:dyDescent="0.2">
      <c r="A5" s="593" t="s">
        <v>171</v>
      </c>
      <c r="B5" s="594">
        <f>'06 Finančná analýza EMU550'!C7</f>
        <v>0</v>
      </c>
      <c r="C5" s="596">
        <f>B5</f>
        <v>0</v>
      </c>
      <c r="D5" s="596">
        <f>B5</f>
        <v>0</v>
      </c>
      <c r="E5" s="596">
        <f>B5</f>
        <v>0</v>
      </c>
      <c r="F5" s="596">
        <f>B5</f>
        <v>0</v>
      </c>
      <c r="G5" s="595">
        <f>B5*1.1</f>
        <v>0</v>
      </c>
      <c r="H5" s="595">
        <f>B5*0.9</f>
        <v>0</v>
      </c>
    </row>
    <row r="6" spans="1:15" ht="13.5" thickBot="1" x14ac:dyDescent="0.25">
      <c r="A6" s="597" t="s">
        <v>16</v>
      </c>
      <c r="B6" s="598">
        <f>'06 Finančná analýza EMU550'!C8</f>
        <v>26751947.262624402</v>
      </c>
      <c r="C6" s="598">
        <f>B6</f>
        <v>26751947.262624402</v>
      </c>
      <c r="D6" s="598">
        <f>B6</f>
        <v>26751947.262624402</v>
      </c>
      <c r="E6" s="598">
        <f>B6</f>
        <v>26751947.262624402</v>
      </c>
      <c r="F6" s="598">
        <f>B6</f>
        <v>26751947.262624402</v>
      </c>
      <c r="G6" s="598">
        <f>B6</f>
        <v>26751947.262624402</v>
      </c>
      <c r="H6" s="598">
        <f>B6</f>
        <v>26751947.262624402</v>
      </c>
    </row>
    <row r="7" spans="1:15" ht="13.5" thickTop="1" x14ac:dyDescent="0.2">
      <c r="A7" s="599" t="s">
        <v>40</v>
      </c>
      <c r="B7" s="622">
        <f>'06 Finančná analýza EMU550'!C9</f>
        <v>1649827.8598386578</v>
      </c>
      <c r="C7" s="600">
        <f>-C3-C4+C5+C6</f>
        <v>-18977749.545758139</v>
      </c>
      <c r="D7" s="600">
        <f t="shared" ref="D7:G7" si="0">-D3-D4+D5+D6</f>
        <v>22277405.265435476</v>
      </c>
      <c r="E7" s="600">
        <f t="shared" si="0"/>
        <v>19767193.325156916</v>
      </c>
      <c r="F7" s="600">
        <f t="shared" si="0"/>
        <v>-16467537.60547952</v>
      </c>
      <c r="G7" s="600">
        <f t="shared" si="0"/>
        <v>1649827.8598386832</v>
      </c>
      <c r="H7" s="600">
        <f>-H3-H4+H5+H6</f>
        <v>1649827.8598386832</v>
      </c>
    </row>
    <row r="8" spans="1:15" x14ac:dyDescent="0.2">
      <c r="C8" s="601">
        <f>C7/B7-1</f>
        <v>-12.502866455179172</v>
      </c>
      <c r="D8" s="601">
        <f>D7/B7-1</f>
        <v>12.502866455179184</v>
      </c>
      <c r="E8" s="601">
        <f>E7/B7-1</f>
        <v>10.981367151291781</v>
      </c>
      <c r="F8" s="601">
        <f>F7/B7-1</f>
        <v>-10.981367151291733</v>
      </c>
      <c r="G8" s="602">
        <f>G7/B7-1</f>
        <v>1.532107773982716E-14</v>
      </c>
      <c r="H8" s="602">
        <f>H7/B7-1</f>
        <v>1.532107773982716E-14</v>
      </c>
      <c r="J8" s="603"/>
      <c r="K8" s="604"/>
      <c r="L8" s="604"/>
    </row>
    <row r="11" spans="1:15" x14ac:dyDescent="0.2">
      <c r="A11" s="590" t="s">
        <v>741</v>
      </c>
      <c r="M11" s="605" t="s">
        <v>742</v>
      </c>
      <c r="N11" s="605" t="s">
        <v>743</v>
      </c>
      <c r="O11" s="605" t="s">
        <v>744</v>
      </c>
    </row>
    <row r="12" spans="1:15" x14ac:dyDescent="0.2">
      <c r="A12" s="593" t="s">
        <v>58</v>
      </c>
      <c r="B12" s="596">
        <f>$B$7+B3</f>
        <v>207925601.91580656</v>
      </c>
      <c r="C12" s="601">
        <f>B12/B3-1</f>
        <v>7.9981658892771534E-3</v>
      </c>
      <c r="D12" s="591" t="s">
        <v>745</v>
      </c>
      <c r="M12" s="595">
        <f>B12</f>
        <v>207925601.91580656</v>
      </c>
      <c r="N12" s="596">
        <f>B3</f>
        <v>206275774.0559679</v>
      </c>
      <c r="O12" s="596">
        <f>B3</f>
        <v>206275774.0559679</v>
      </c>
    </row>
    <row r="13" spans="1:15" x14ac:dyDescent="0.2">
      <c r="A13" s="593" t="s">
        <v>57</v>
      </c>
      <c r="B13" s="596">
        <f>$B$7+B4</f>
        <v>-179523826.79334351</v>
      </c>
      <c r="C13" s="601">
        <f>B13/B4-1</f>
        <v>-9.1063342680639536E-3</v>
      </c>
      <c r="D13" s="591" t="s">
        <v>746</v>
      </c>
      <c r="M13" s="596">
        <f>B4</f>
        <v>-181173654.65318218</v>
      </c>
      <c r="N13" s="595">
        <f>B13</f>
        <v>-179523826.79334351</v>
      </c>
      <c r="O13" s="596">
        <f>B4</f>
        <v>-181173654.65318218</v>
      </c>
    </row>
    <row r="14" spans="1:15" x14ac:dyDescent="0.2">
      <c r="A14" s="593" t="s">
        <v>171</v>
      </c>
      <c r="B14" s="596">
        <f>-$B$7+B5</f>
        <v>-1649827.8598386578</v>
      </c>
      <c r="C14" s="601">
        <f>B14/B6-1</f>
        <v>-1.0616713184891651</v>
      </c>
      <c r="M14" s="596">
        <f>B5</f>
        <v>0</v>
      </c>
      <c r="N14" s="596">
        <f>B5</f>
        <v>0</v>
      </c>
      <c r="O14" s="595">
        <f>B14</f>
        <v>-1649827.8598386578</v>
      </c>
    </row>
    <row r="15" spans="1:15" ht="13.5" thickBot="1" x14ac:dyDescent="0.25">
      <c r="M15" s="598">
        <f>B6</f>
        <v>26751947.262624402</v>
      </c>
      <c r="N15" s="598">
        <f>B6</f>
        <v>26751947.262624402</v>
      </c>
      <c r="O15" s="598">
        <f>B6</f>
        <v>26751947.262624402</v>
      </c>
    </row>
    <row r="16" spans="1:15" ht="13.5" thickTop="1" x14ac:dyDescent="0.2">
      <c r="M16" s="600">
        <f>-M12-M13+M14+M15</f>
        <v>0</v>
      </c>
      <c r="N16" s="600">
        <f t="shared" ref="N16:O16" si="1">-N12-N13+N14+N15</f>
        <v>0</v>
      </c>
      <c r="O16" s="600">
        <f t="shared" si="1"/>
        <v>0</v>
      </c>
    </row>
    <row r="18" spans="1:20" x14ac:dyDescent="0.2">
      <c r="A18" s="590" t="s">
        <v>747</v>
      </c>
    </row>
    <row r="19" spans="1:20" x14ac:dyDescent="0.2">
      <c r="C19" s="606" t="s">
        <v>735</v>
      </c>
      <c r="D19" s="606" t="s">
        <v>736</v>
      </c>
      <c r="E19" s="606" t="s">
        <v>737</v>
      </c>
      <c r="F19" s="606" t="s">
        <v>738</v>
      </c>
      <c r="G19" s="606" t="s">
        <v>748</v>
      </c>
      <c r="H19" s="606" t="s">
        <v>749</v>
      </c>
      <c r="I19" s="606" t="s">
        <v>750</v>
      </c>
      <c r="J19" s="606" t="s">
        <v>751</v>
      </c>
      <c r="K19" s="606" t="s">
        <v>752</v>
      </c>
      <c r="L19" s="606" t="s">
        <v>753</v>
      </c>
      <c r="M19" s="606" t="s">
        <v>754</v>
      </c>
      <c r="N19" s="606" t="s">
        <v>755</v>
      </c>
      <c r="O19" s="606" t="s">
        <v>756</v>
      </c>
      <c r="P19" s="606" t="s">
        <v>757</v>
      </c>
      <c r="Q19" s="606" t="s">
        <v>758</v>
      </c>
      <c r="R19" s="606" t="s">
        <v>759</v>
      </c>
      <c r="S19" s="606" t="s">
        <v>760</v>
      </c>
      <c r="T19" s="606" t="s">
        <v>761</v>
      </c>
    </row>
    <row r="20" spans="1:20" x14ac:dyDescent="0.2">
      <c r="A20" s="607" t="s">
        <v>14</v>
      </c>
      <c r="B20" s="608">
        <f>'14 Ekonomická analýza EMU550'!C5</f>
        <v>179674468.97126198</v>
      </c>
      <c r="C20" s="609">
        <f>B20*1.1</f>
        <v>197641915.86838821</v>
      </c>
      <c r="D20" s="609">
        <f>B20*0.9</f>
        <v>161707022.07413578</v>
      </c>
      <c r="E20" s="608">
        <f>$B$20</f>
        <v>179674468.97126198</v>
      </c>
      <c r="F20" s="608">
        <f t="shared" ref="F20:T20" si="2">$B$20</f>
        <v>179674468.97126198</v>
      </c>
      <c r="G20" s="608">
        <f t="shared" si="2"/>
        <v>179674468.97126198</v>
      </c>
      <c r="H20" s="608">
        <f t="shared" si="2"/>
        <v>179674468.97126198</v>
      </c>
      <c r="I20" s="608">
        <f t="shared" si="2"/>
        <v>179674468.97126198</v>
      </c>
      <c r="J20" s="608">
        <f t="shared" si="2"/>
        <v>179674468.97126198</v>
      </c>
      <c r="K20" s="608">
        <f t="shared" si="2"/>
        <v>179674468.97126198</v>
      </c>
      <c r="L20" s="608">
        <f t="shared" si="2"/>
        <v>179674468.97126198</v>
      </c>
      <c r="M20" s="608">
        <f t="shared" si="2"/>
        <v>179674468.97126198</v>
      </c>
      <c r="N20" s="608">
        <f t="shared" si="2"/>
        <v>179674468.97126198</v>
      </c>
      <c r="O20" s="608">
        <f t="shared" si="2"/>
        <v>179674468.97126198</v>
      </c>
      <c r="P20" s="608">
        <f t="shared" si="2"/>
        <v>179674468.97126198</v>
      </c>
      <c r="Q20" s="608">
        <f t="shared" si="2"/>
        <v>179674468.97126198</v>
      </c>
      <c r="R20" s="608">
        <f t="shared" si="2"/>
        <v>179674468.97126198</v>
      </c>
      <c r="S20" s="608">
        <f t="shared" si="2"/>
        <v>179674468.97126198</v>
      </c>
      <c r="T20" s="610">
        <f t="shared" si="2"/>
        <v>179674468.97126198</v>
      </c>
    </row>
    <row r="21" spans="1:20" x14ac:dyDescent="0.2">
      <c r="A21" s="607" t="s">
        <v>12</v>
      </c>
      <c r="B21" s="608">
        <f>'14 Ekonomická analýza EMU550'!C6</f>
        <v>-136968647.25644356</v>
      </c>
      <c r="C21" s="608">
        <f>$B$21</f>
        <v>-136968647.25644356</v>
      </c>
      <c r="D21" s="608">
        <f>$B$21</f>
        <v>-136968647.25644356</v>
      </c>
      <c r="E21" s="609">
        <f>B21*1.1</f>
        <v>-150665511.98208794</v>
      </c>
      <c r="F21" s="609">
        <f>B21*0.9</f>
        <v>-123271782.53079921</v>
      </c>
      <c r="G21" s="608">
        <f t="shared" ref="G21:T21" si="3">$B$21</f>
        <v>-136968647.25644356</v>
      </c>
      <c r="H21" s="608">
        <f t="shared" si="3"/>
        <v>-136968647.25644356</v>
      </c>
      <c r="I21" s="608">
        <f t="shared" si="3"/>
        <v>-136968647.25644356</v>
      </c>
      <c r="J21" s="608">
        <f t="shared" si="3"/>
        <v>-136968647.25644356</v>
      </c>
      <c r="K21" s="608">
        <f t="shared" si="3"/>
        <v>-136968647.25644356</v>
      </c>
      <c r="L21" s="608">
        <f t="shared" si="3"/>
        <v>-136968647.25644356</v>
      </c>
      <c r="M21" s="608">
        <f t="shared" si="3"/>
        <v>-136968647.25644356</v>
      </c>
      <c r="N21" s="608">
        <f t="shared" si="3"/>
        <v>-136968647.25644356</v>
      </c>
      <c r="O21" s="608">
        <f t="shared" si="3"/>
        <v>-136968647.25644356</v>
      </c>
      <c r="P21" s="608">
        <f t="shared" si="3"/>
        <v>-136968647.25644356</v>
      </c>
      <c r="Q21" s="608">
        <f t="shared" si="3"/>
        <v>-136968647.25644356</v>
      </c>
      <c r="R21" s="608">
        <f t="shared" si="3"/>
        <v>-136968647.25644356</v>
      </c>
      <c r="S21" s="608">
        <f t="shared" si="3"/>
        <v>-136968647.25644356</v>
      </c>
      <c r="T21" s="610">
        <f t="shared" si="3"/>
        <v>-136968647.25644356</v>
      </c>
    </row>
    <row r="22" spans="1:20" x14ac:dyDescent="0.2">
      <c r="A22" s="607" t="s">
        <v>202</v>
      </c>
      <c r="B22" s="608">
        <f>'14 Ekonomická analýza EMU550'!C7</f>
        <v>28844575.367881596</v>
      </c>
      <c r="C22" s="608">
        <f>$B$22</f>
        <v>28844575.367881596</v>
      </c>
      <c r="D22" s="608">
        <f t="shared" ref="D22:F22" si="4">$B$22</f>
        <v>28844575.367881596</v>
      </c>
      <c r="E22" s="608">
        <f t="shared" si="4"/>
        <v>28844575.367881596</v>
      </c>
      <c r="F22" s="608">
        <f t="shared" si="4"/>
        <v>28844575.367881596</v>
      </c>
      <c r="G22" s="609">
        <f>B22*1.1</f>
        <v>31729032.904669758</v>
      </c>
      <c r="H22" s="609">
        <f>B22*0.9</f>
        <v>25960117.831093438</v>
      </c>
      <c r="I22" s="608">
        <f t="shared" ref="I22:T22" si="5">$B$22</f>
        <v>28844575.367881596</v>
      </c>
      <c r="J22" s="608">
        <f t="shared" si="5"/>
        <v>28844575.367881596</v>
      </c>
      <c r="K22" s="608">
        <f t="shared" si="5"/>
        <v>28844575.367881596</v>
      </c>
      <c r="L22" s="608">
        <f t="shared" si="5"/>
        <v>28844575.367881596</v>
      </c>
      <c r="M22" s="608">
        <f t="shared" si="5"/>
        <v>28844575.367881596</v>
      </c>
      <c r="N22" s="608">
        <f t="shared" si="5"/>
        <v>28844575.367881596</v>
      </c>
      <c r="O22" s="608">
        <f t="shared" si="5"/>
        <v>28844575.367881596</v>
      </c>
      <c r="P22" s="608">
        <f t="shared" si="5"/>
        <v>28844575.367881596</v>
      </c>
      <c r="Q22" s="608">
        <f t="shared" si="5"/>
        <v>28844575.367881596</v>
      </c>
      <c r="R22" s="608">
        <f t="shared" si="5"/>
        <v>28844575.367881596</v>
      </c>
      <c r="S22" s="608">
        <f t="shared" si="5"/>
        <v>28844575.367881596</v>
      </c>
      <c r="T22" s="610">
        <f t="shared" si="5"/>
        <v>28844575.367881596</v>
      </c>
    </row>
    <row r="23" spans="1:20" x14ac:dyDescent="0.2">
      <c r="A23" s="607" t="s">
        <v>762</v>
      </c>
      <c r="B23" s="608">
        <v>0</v>
      </c>
      <c r="C23" s="608">
        <f>$B$23</f>
        <v>0</v>
      </c>
      <c r="D23" s="608">
        <f t="shared" ref="D23:H23" si="6">$B$23</f>
        <v>0</v>
      </c>
      <c r="E23" s="608">
        <f t="shared" si="6"/>
        <v>0</v>
      </c>
      <c r="F23" s="608">
        <f t="shared" si="6"/>
        <v>0</v>
      </c>
      <c r="G23" s="608">
        <f t="shared" si="6"/>
        <v>0</v>
      </c>
      <c r="H23" s="608">
        <f t="shared" si="6"/>
        <v>0</v>
      </c>
      <c r="I23" s="609">
        <f>B23*1.1</f>
        <v>0</v>
      </c>
      <c r="J23" s="609">
        <f>B23*0.9</f>
        <v>0</v>
      </c>
      <c r="K23" s="608">
        <f t="shared" ref="K23:T23" si="7">$B$23</f>
        <v>0</v>
      </c>
      <c r="L23" s="608">
        <f t="shared" si="7"/>
        <v>0</v>
      </c>
      <c r="M23" s="608">
        <f t="shared" si="7"/>
        <v>0</v>
      </c>
      <c r="N23" s="608">
        <f t="shared" si="7"/>
        <v>0</v>
      </c>
      <c r="O23" s="608">
        <f t="shared" si="7"/>
        <v>0</v>
      </c>
      <c r="P23" s="608">
        <f t="shared" si="7"/>
        <v>0</v>
      </c>
      <c r="Q23" s="608">
        <f t="shared" si="7"/>
        <v>0</v>
      </c>
      <c r="R23" s="608">
        <f t="shared" si="7"/>
        <v>0</v>
      </c>
      <c r="S23" s="608">
        <f t="shared" si="7"/>
        <v>0</v>
      </c>
      <c r="T23" s="610">
        <f t="shared" si="7"/>
        <v>0</v>
      </c>
    </row>
    <row r="24" spans="1:20" x14ac:dyDescent="0.2">
      <c r="A24" s="607" t="s">
        <v>763</v>
      </c>
      <c r="B24" s="608">
        <f>'[2]15 Ekonomická analýza'!C10</f>
        <v>0</v>
      </c>
      <c r="C24" s="608">
        <f>$B$24</f>
        <v>0</v>
      </c>
      <c r="D24" s="608">
        <f t="shared" ref="D24:J24" si="8">$B$24</f>
        <v>0</v>
      </c>
      <c r="E24" s="608">
        <f t="shared" si="8"/>
        <v>0</v>
      </c>
      <c r="F24" s="608">
        <f t="shared" si="8"/>
        <v>0</v>
      </c>
      <c r="G24" s="608">
        <f t="shared" si="8"/>
        <v>0</v>
      </c>
      <c r="H24" s="608">
        <f t="shared" si="8"/>
        <v>0</v>
      </c>
      <c r="I24" s="608">
        <f t="shared" si="8"/>
        <v>0</v>
      </c>
      <c r="J24" s="608">
        <f t="shared" si="8"/>
        <v>0</v>
      </c>
      <c r="K24" s="609">
        <f>B24*1.1</f>
        <v>0</v>
      </c>
      <c r="L24" s="609">
        <f>B24*0.9</f>
        <v>0</v>
      </c>
      <c r="M24" s="608">
        <f t="shared" ref="M24:T24" si="9">$B$24</f>
        <v>0</v>
      </c>
      <c r="N24" s="608">
        <f t="shared" si="9"/>
        <v>0</v>
      </c>
      <c r="O24" s="608">
        <f t="shared" si="9"/>
        <v>0</v>
      </c>
      <c r="P24" s="608">
        <f t="shared" si="9"/>
        <v>0</v>
      </c>
      <c r="Q24" s="608">
        <f t="shared" si="9"/>
        <v>0</v>
      </c>
      <c r="R24" s="608">
        <f t="shared" si="9"/>
        <v>0</v>
      </c>
      <c r="S24" s="608">
        <f t="shared" si="9"/>
        <v>0</v>
      </c>
      <c r="T24" s="610">
        <f t="shared" si="9"/>
        <v>0</v>
      </c>
    </row>
    <row r="25" spans="1:20" x14ac:dyDescent="0.2">
      <c r="A25" s="607" t="s">
        <v>764</v>
      </c>
      <c r="B25" s="608">
        <f>'[2]15 Ekonomická analýza'!C11</f>
        <v>0</v>
      </c>
      <c r="C25" s="608">
        <f>$B$25</f>
        <v>0</v>
      </c>
      <c r="D25" s="608">
        <f t="shared" ref="D25:L25" si="10">$B$25</f>
        <v>0</v>
      </c>
      <c r="E25" s="608">
        <f t="shared" si="10"/>
        <v>0</v>
      </c>
      <c r="F25" s="608">
        <f t="shared" si="10"/>
        <v>0</v>
      </c>
      <c r="G25" s="608">
        <f t="shared" si="10"/>
        <v>0</v>
      </c>
      <c r="H25" s="608">
        <f t="shared" si="10"/>
        <v>0</v>
      </c>
      <c r="I25" s="608">
        <f t="shared" si="10"/>
        <v>0</v>
      </c>
      <c r="J25" s="608">
        <f t="shared" si="10"/>
        <v>0</v>
      </c>
      <c r="K25" s="608">
        <f t="shared" si="10"/>
        <v>0</v>
      </c>
      <c r="L25" s="608">
        <f t="shared" si="10"/>
        <v>0</v>
      </c>
      <c r="M25" s="609">
        <f>B25*1.1</f>
        <v>0</v>
      </c>
      <c r="N25" s="609">
        <f>B25*0.9</f>
        <v>0</v>
      </c>
      <c r="O25" s="608">
        <f t="shared" ref="O25:T25" si="11">$B$25</f>
        <v>0</v>
      </c>
      <c r="P25" s="608">
        <f t="shared" si="11"/>
        <v>0</v>
      </c>
      <c r="Q25" s="608">
        <f t="shared" si="11"/>
        <v>0</v>
      </c>
      <c r="R25" s="608">
        <f t="shared" si="11"/>
        <v>0</v>
      </c>
      <c r="S25" s="608">
        <f t="shared" si="11"/>
        <v>0</v>
      </c>
      <c r="T25" s="610">
        <f t="shared" si="11"/>
        <v>0</v>
      </c>
    </row>
    <row r="26" spans="1:20" x14ac:dyDescent="0.2">
      <c r="A26" s="607" t="s">
        <v>203</v>
      </c>
      <c r="B26" s="608">
        <f>'[2]15 Ekonomická analýza'!C12</f>
        <v>0</v>
      </c>
      <c r="C26" s="608">
        <f>$B$26</f>
        <v>0</v>
      </c>
      <c r="D26" s="608">
        <f t="shared" ref="D26:T26" si="12">$B$26</f>
        <v>0</v>
      </c>
      <c r="E26" s="608">
        <f t="shared" si="12"/>
        <v>0</v>
      </c>
      <c r="F26" s="608">
        <f t="shared" si="12"/>
        <v>0</v>
      </c>
      <c r="G26" s="608">
        <f t="shared" si="12"/>
        <v>0</v>
      </c>
      <c r="H26" s="608">
        <f t="shared" si="12"/>
        <v>0</v>
      </c>
      <c r="I26" s="608">
        <f t="shared" si="12"/>
        <v>0</v>
      </c>
      <c r="J26" s="608">
        <f t="shared" si="12"/>
        <v>0</v>
      </c>
      <c r="K26" s="608">
        <f t="shared" si="12"/>
        <v>0</v>
      </c>
      <c r="L26" s="608">
        <f t="shared" si="12"/>
        <v>0</v>
      </c>
      <c r="M26" s="608">
        <f t="shared" si="12"/>
        <v>0</v>
      </c>
      <c r="N26" s="608">
        <f t="shared" si="12"/>
        <v>0</v>
      </c>
      <c r="O26" s="609">
        <f>B26*1.1</f>
        <v>0</v>
      </c>
      <c r="P26" s="609">
        <f>B26*0.9</f>
        <v>0</v>
      </c>
      <c r="Q26" s="608">
        <f t="shared" si="12"/>
        <v>0</v>
      </c>
      <c r="R26" s="608">
        <f t="shared" si="12"/>
        <v>0</v>
      </c>
      <c r="S26" s="608">
        <f t="shared" si="12"/>
        <v>0</v>
      </c>
      <c r="T26" s="610">
        <f t="shared" si="12"/>
        <v>0</v>
      </c>
    </row>
    <row r="27" spans="1:20" x14ac:dyDescent="0.2">
      <c r="A27" s="607" t="s">
        <v>204</v>
      </c>
      <c r="B27" s="608">
        <f>'14 Ekonomická analýza EMU550'!C18</f>
        <v>602567.44989271869</v>
      </c>
      <c r="C27" s="608">
        <f>$B$27</f>
        <v>602567.44989271869</v>
      </c>
      <c r="D27" s="608">
        <f t="shared" ref="D27:T27" si="13">$B$27</f>
        <v>602567.44989271869</v>
      </c>
      <c r="E27" s="608">
        <f t="shared" si="13"/>
        <v>602567.44989271869</v>
      </c>
      <c r="F27" s="608">
        <f t="shared" si="13"/>
        <v>602567.44989271869</v>
      </c>
      <c r="G27" s="608">
        <f t="shared" si="13"/>
        <v>602567.44989271869</v>
      </c>
      <c r="H27" s="608">
        <f t="shared" si="13"/>
        <v>602567.44989271869</v>
      </c>
      <c r="I27" s="608">
        <f t="shared" si="13"/>
        <v>602567.44989271869</v>
      </c>
      <c r="J27" s="608">
        <f t="shared" si="13"/>
        <v>602567.44989271869</v>
      </c>
      <c r="K27" s="608">
        <f t="shared" si="13"/>
        <v>602567.44989271869</v>
      </c>
      <c r="L27" s="608">
        <f t="shared" si="13"/>
        <v>602567.44989271869</v>
      </c>
      <c r="M27" s="608">
        <f t="shared" si="13"/>
        <v>602567.44989271869</v>
      </c>
      <c r="N27" s="608">
        <f t="shared" si="13"/>
        <v>602567.44989271869</v>
      </c>
      <c r="O27" s="608">
        <f t="shared" si="13"/>
        <v>602567.44989271869</v>
      </c>
      <c r="P27" s="608">
        <f t="shared" si="13"/>
        <v>602567.44989271869</v>
      </c>
      <c r="Q27" s="609">
        <f>B27*1.1</f>
        <v>662824.19488199067</v>
      </c>
      <c r="R27" s="609">
        <f>B27*0.9</f>
        <v>542310.70490344684</v>
      </c>
      <c r="S27" s="608">
        <f t="shared" si="13"/>
        <v>602567.44989271869</v>
      </c>
      <c r="T27" s="610">
        <f t="shared" si="13"/>
        <v>602567.44989271869</v>
      </c>
    </row>
    <row r="28" spans="1:20" x14ac:dyDescent="0.2">
      <c r="A28" s="607" t="s">
        <v>205</v>
      </c>
      <c r="B28" s="608">
        <f>'[2]15 Ekonomická analýza'!C14</f>
        <v>0</v>
      </c>
      <c r="C28" s="608">
        <f>$B$28</f>
        <v>0</v>
      </c>
      <c r="D28" s="608">
        <f t="shared" ref="D28:R28" si="14">$B$28</f>
        <v>0</v>
      </c>
      <c r="E28" s="608">
        <f t="shared" si="14"/>
        <v>0</v>
      </c>
      <c r="F28" s="608">
        <f t="shared" si="14"/>
        <v>0</v>
      </c>
      <c r="G28" s="608">
        <f t="shared" si="14"/>
        <v>0</v>
      </c>
      <c r="H28" s="608">
        <f t="shared" si="14"/>
        <v>0</v>
      </c>
      <c r="I28" s="608">
        <f t="shared" si="14"/>
        <v>0</v>
      </c>
      <c r="J28" s="608">
        <f t="shared" si="14"/>
        <v>0</v>
      </c>
      <c r="K28" s="608">
        <f t="shared" si="14"/>
        <v>0</v>
      </c>
      <c r="L28" s="608">
        <f t="shared" si="14"/>
        <v>0</v>
      </c>
      <c r="M28" s="608">
        <f t="shared" si="14"/>
        <v>0</v>
      </c>
      <c r="N28" s="608">
        <f t="shared" si="14"/>
        <v>0</v>
      </c>
      <c r="O28" s="608">
        <f t="shared" si="14"/>
        <v>0</v>
      </c>
      <c r="P28" s="608">
        <f t="shared" si="14"/>
        <v>0</v>
      </c>
      <c r="Q28" s="608">
        <f t="shared" si="14"/>
        <v>0</v>
      </c>
      <c r="R28" s="608">
        <f t="shared" si="14"/>
        <v>0</v>
      </c>
      <c r="S28" s="609">
        <f>B28*1.1</f>
        <v>0</v>
      </c>
      <c r="T28" s="611">
        <f>B28*0.9</f>
        <v>0</v>
      </c>
    </row>
    <row r="29" spans="1:20" ht="13.5" thickBot="1" x14ac:dyDescent="0.25">
      <c r="A29" s="612" t="s">
        <v>16</v>
      </c>
      <c r="B29" s="613">
        <f>'14 Ekonomická analýza EMU550'!C24</f>
        <v>16736761.897014474</v>
      </c>
      <c r="C29" s="614">
        <f>$B$29</f>
        <v>16736761.897014474</v>
      </c>
      <c r="D29" s="614">
        <f t="shared" ref="D29:T29" si="15">$B$29</f>
        <v>16736761.897014474</v>
      </c>
      <c r="E29" s="614">
        <f t="shared" si="15"/>
        <v>16736761.897014474</v>
      </c>
      <c r="F29" s="614">
        <f t="shared" si="15"/>
        <v>16736761.897014474</v>
      </c>
      <c r="G29" s="614">
        <f t="shared" si="15"/>
        <v>16736761.897014474</v>
      </c>
      <c r="H29" s="614">
        <f t="shared" si="15"/>
        <v>16736761.897014474</v>
      </c>
      <c r="I29" s="614">
        <f t="shared" si="15"/>
        <v>16736761.897014474</v>
      </c>
      <c r="J29" s="614">
        <f t="shared" si="15"/>
        <v>16736761.897014474</v>
      </c>
      <c r="K29" s="614">
        <f t="shared" si="15"/>
        <v>16736761.897014474</v>
      </c>
      <c r="L29" s="614">
        <f t="shared" si="15"/>
        <v>16736761.897014474</v>
      </c>
      <c r="M29" s="614">
        <f t="shared" si="15"/>
        <v>16736761.897014474</v>
      </c>
      <c r="N29" s="614">
        <f t="shared" si="15"/>
        <v>16736761.897014474</v>
      </c>
      <c r="O29" s="614">
        <f t="shared" si="15"/>
        <v>16736761.897014474</v>
      </c>
      <c r="P29" s="614">
        <f t="shared" si="15"/>
        <v>16736761.897014474</v>
      </c>
      <c r="Q29" s="614">
        <f t="shared" si="15"/>
        <v>16736761.897014474</v>
      </c>
      <c r="R29" s="614">
        <f t="shared" si="15"/>
        <v>16736761.897014474</v>
      </c>
      <c r="S29" s="614">
        <f t="shared" si="15"/>
        <v>16736761.897014474</v>
      </c>
      <c r="T29" s="613">
        <f t="shared" si="15"/>
        <v>16736761.897014474</v>
      </c>
    </row>
    <row r="30" spans="1:20" ht="14.25" thickTop="1" thickBot="1" x14ac:dyDescent="0.25">
      <c r="A30" s="615" t="s">
        <v>40</v>
      </c>
      <c r="B30" s="613">
        <f>'14 Ekonomická analýza EMU550'!C25</f>
        <v>3478082.9999703593</v>
      </c>
      <c r="C30" s="600">
        <f>-C20-C21+C22+C23+C24+C25+C26+C27+C28+C29</f>
        <v>-14489363.897155857</v>
      </c>
      <c r="D30" s="600">
        <f t="shared" ref="D30:T30" si="16">-D20-D21+D22+D23+D24+D25+D26+D27+D28+D29</f>
        <v>21445529.897096567</v>
      </c>
      <c r="E30" s="600">
        <f t="shared" si="16"/>
        <v>17174947.725614753</v>
      </c>
      <c r="F30" s="600">
        <f t="shared" si="16"/>
        <v>-10218781.725673979</v>
      </c>
      <c r="G30" s="600">
        <f t="shared" si="16"/>
        <v>6362540.5367585327</v>
      </c>
      <c r="H30" s="600">
        <f t="shared" si="16"/>
        <v>593625.46318221278</v>
      </c>
      <c r="I30" s="600">
        <f t="shared" si="16"/>
        <v>3478082.9999703709</v>
      </c>
      <c r="J30" s="600">
        <f t="shared" si="16"/>
        <v>3478082.9999703709</v>
      </c>
      <c r="K30" s="600">
        <f t="shared" si="16"/>
        <v>3478082.9999703709</v>
      </c>
      <c r="L30" s="600">
        <f t="shared" si="16"/>
        <v>3478082.9999703709</v>
      </c>
      <c r="M30" s="600">
        <f t="shared" si="16"/>
        <v>3478082.9999703709</v>
      </c>
      <c r="N30" s="600">
        <f t="shared" si="16"/>
        <v>3478082.9999703709</v>
      </c>
      <c r="O30" s="600">
        <f t="shared" si="16"/>
        <v>3478082.9999703709</v>
      </c>
      <c r="P30" s="600">
        <f t="shared" si="16"/>
        <v>3478082.9999703709</v>
      </c>
      <c r="Q30" s="600">
        <f t="shared" si="16"/>
        <v>3538339.7449596431</v>
      </c>
      <c r="R30" s="600">
        <f t="shared" si="16"/>
        <v>3417826.2549810987</v>
      </c>
      <c r="S30" s="600">
        <f t="shared" si="16"/>
        <v>3478082.9999703709</v>
      </c>
      <c r="T30" s="600">
        <f t="shared" si="16"/>
        <v>3478082.9999703709</v>
      </c>
    </row>
    <row r="31" spans="1:20" ht="13.5" thickTop="1" x14ac:dyDescent="0.2">
      <c r="C31" s="602">
        <f>C30/B30-1</f>
        <v>-5.1659051544426449</v>
      </c>
      <c r="D31" s="602">
        <f>D30/B30-1</f>
        <v>5.1659051544426422</v>
      </c>
      <c r="E31" s="602">
        <f>E30/B30-1</f>
        <v>3.9380499906877207</v>
      </c>
      <c r="F31" s="602">
        <f>F30/B30-1</f>
        <v>-3.9380499906877051</v>
      </c>
      <c r="G31" s="602">
        <f>G30/B30-1</f>
        <v>0.82932395138723125</v>
      </c>
      <c r="H31" s="602">
        <f>H30/B30-1</f>
        <v>-0.82932395138722348</v>
      </c>
      <c r="I31" s="602">
        <f>I30/B30-1</f>
        <v>3.3306690738754696E-15</v>
      </c>
      <c r="J31" s="602">
        <f>J30/B30-1</f>
        <v>3.3306690738754696E-15</v>
      </c>
      <c r="K31" s="602">
        <f>K30/B30-1</f>
        <v>3.3306690738754696E-15</v>
      </c>
      <c r="L31" s="602">
        <f>L30/B30-1</f>
        <v>3.3306690738754696E-15</v>
      </c>
      <c r="M31" s="602">
        <f>M30/B30-1</f>
        <v>3.3306690738754696E-15</v>
      </c>
      <c r="N31" s="602">
        <f>N30/B30-1</f>
        <v>3.3306690738754696E-15</v>
      </c>
      <c r="O31" s="602">
        <f>O30/B30-1</f>
        <v>3.3306690738754696E-15</v>
      </c>
      <c r="P31" s="602">
        <f>P30/B30-1</f>
        <v>3.3306690738754696E-15</v>
      </c>
      <c r="Q31" s="602">
        <f>Q30/B30-1</f>
        <v>1.7324700126419401E-2</v>
      </c>
      <c r="R31" s="602">
        <f>R30/B30-1</f>
        <v>-1.732470012641274E-2</v>
      </c>
      <c r="S31" s="602">
        <f>S30/B30-1</f>
        <v>3.3306690738754696E-15</v>
      </c>
      <c r="T31" s="602">
        <f>T30/B30-1</f>
        <v>3.3306690738754696E-15</v>
      </c>
    </row>
    <row r="32" spans="1:20" x14ac:dyDescent="0.2">
      <c r="B32" s="617"/>
    </row>
    <row r="33" spans="1:20" x14ac:dyDescent="0.2">
      <c r="B33" s="617"/>
    </row>
    <row r="35" spans="1:20" x14ac:dyDescent="0.2">
      <c r="A35" s="590" t="s">
        <v>765</v>
      </c>
      <c r="L35" s="605" t="s">
        <v>742</v>
      </c>
      <c r="M35" s="605" t="s">
        <v>743</v>
      </c>
      <c r="N35" s="605" t="s">
        <v>766</v>
      </c>
      <c r="O35" s="605" t="s">
        <v>767</v>
      </c>
      <c r="P35" s="605" t="s">
        <v>768</v>
      </c>
      <c r="Q35" s="605" t="s">
        <v>769</v>
      </c>
      <c r="R35" s="605" t="s">
        <v>770</v>
      </c>
      <c r="S35" s="605" t="s">
        <v>771</v>
      </c>
      <c r="T35" s="605" t="s">
        <v>772</v>
      </c>
    </row>
    <row r="36" spans="1:20" x14ac:dyDescent="0.2">
      <c r="A36" s="593" t="s">
        <v>14</v>
      </c>
      <c r="B36" s="596">
        <f>B20+$B$30</f>
        <v>183152551.97123232</v>
      </c>
      <c r="C36" s="601">
        <f t="shared" ref="C36:C43" si="17">B36/B20-1</f>
        <v>1.9357691829475554E-2</v>
      </c>
      <c r="D36" s="591" t="s">
        <v>773</v>
      </c>
      <c r="L36" s="595">
        <f>B36</f>
        <v>183152551.97123232</v>
      </c>
      <c r="M36" s="596">
        <f>$B$20</f>
        <v>179674468.97126198</v>
      </c>
      <c r="N36" s="596">
        <f t="shared" ref="N36:T36" si="18">$B$20</f>
        <v>179674468.97126198</v>
      </c>
      <c r="O36" s="596">
        <f t="shared" si="18"/>
        <v>179674468.97126198</v>
      </c>
      <c r="P36" s="596">
        <f t="shared" si="18"/>
        <v>179674468.97126198</v>
      </c>
      <c r="Q36" s="596">
        <f t="shared" si="18"/>
        <v>179674468.97126198</v>
      </c>
      <c r="R36" s="596">
        <f t="shared" si="18"/>
        <v>179674468.97126198</v>
      </c>
      <c r="S36" s="596">
        <f t="shared" si="18"/>
        <v>179674468.97126198</v>
      </c>
      <c r="T36" s="596">
        <f t="shared" si="18"/>
        <v>179674468.97126198</v>
      </c>
    </row>
    <row r="37" spans="1:20" x14ac:dyDescent="0.2">
      <c r="A37" s="593" t="s">
        <v>12</v>
      </c>
      <c r="B37" s="596">
        <f>B21+$B$30</f>
        <v>-133490564.2564732</v>
      </c>
      <c r="C37" s="601">
        <f t="shared" si="17"/>
        <v>-2.5393278459255098E-2</v>
      </c>
      <c r="D37" s="591" t="s">
        <v>774</v>
      </c>
      <c r="L37" s="596">
        <f>$B$21</f>
        <v>-136968647.25644356</v>
      </c>
      <c r="M37" s="595">
        <f>B37</f>
        <v>-133490564.2564732</v>
      </c>
      <c r="N37" s="596">
        <f t="shared" ref="N37:T37" si="19">$B$21</f>
        <v>-136968647.25644356</v>
      </c>
      <c r="O37" s="596">
        <f t="shared" si="19"/>
        <v>-136968647.25644356</v>
      </c>
      <c r="P37" s="596">
        <f t="shared" si="19"/>
        <v>-136968647.25644356</v>
      </c>
      <c r="Q37" s="596">
        <f t="shared" si="19"/>
        <v>-136968647.25644356</v>
      </c>
      <c r="R37" s="596">
        <f t="shared" si="19"/>
        <v>-136968647.25644356</v>
      </c>
      <c r="S37" s="596">
        <f t="shared" si="19"/>
        <v>-136968647.25644356</v>
      </c>
      <c r="T37" s="596">
        <f t="shared" si="19"/>
        <v>-136968647.25644356</v>
      </c>
    </row>
    <row r="38" spans="1:20" x14ac:dyDescent="0.2">
      <c r="A38" s="593" t="s">
        <v>202</v>
      </c>
      <c r="B38" s="596">
        <f>B22-$B$30</f>
        <v>25366492.367911238</v>
      </c>
      <c r="C38" s="601">
        <f t="shared" si="17"/>
        <v>-0.12058014221430347</v>
      </c>
      <c r="D38" s="591" t="s">
        <v>775</v>
      </c>
      <c r="L38" s="596">
        <f>$B$22</f>
        <v>28844575.367881596</v>
      </c>
      <c r="M38" s="596">
        <f>$B$22</f>
        <v>28844575.367881596</v>
      </c>
      <c r="N38" s="595">
        <f>B38</f>
        <v>25366492.367911238</v>
      </c>
      <c r="O38" s="596">
        <f t="shared" ref="O38:T38" si="20">$B$22</f>
        <v>28844575.367881596</v>
      </c>
      <c r="P38" s="596">
        <f t="shared" si="20"/>
        <v>28844575.367881596</v>
      </c>
      <c r="Q38" s="596">
        <f t="shared" si="20"/>
        <v>28844575.367881596</v>
      </c>
      <c r="R38" s="596">
        <f t="shared" si="20"/>
        <v>28844575.367881596</v>
      </c>
      <c r="S38" s="596">
        <f t="shared" si="20"/>
        <v>28844575.367881596</v>
      </c>
      <c r="T38" s="596">
        <f t="shared" si="20"/>
        <v>28844575.367881596</v>
      </c>
    </row>
    <row r="39" spans="1:20" x14ac:dyDescent="0.2">
      <c r="A39" s="593" t="s">
        <v>762</v>
      </c>
      <c r="B39" s="596">
        <v>0</v>
      </c>
      <c r="C39" s="601"/>
      <c r="L39" s="596">
        <f>$B$23</f>
        <v>0</v>
      </c>
      <c r="M39" s="596">
        <f t="shared" ref="M39:T39" si="21">$B$23</f>
        <v>0</v>
      </c>
      <c r="N39" s="596">
        <f t="shared" si="21"/>
        <v>0</v>
      </c>
      <c r="O39" s="595">
        <f>B39</f>
        <v>0</v>
      </c>
      <c r="P39" s="596">
        <f t="shared" si="21"/>
        <v>0</v>
      </c>
      <c r="Q39" s="596">
        <f t="shared" si="21"/>
        <v>0</v>
      </c>
      <c r="R39" s="596">
        <f t="shared" si="21"/>
        <v>0</v>
      </c>
      <c r="S39" s="596">
        <f t="shared" si="21"/>
        <v>0</v>
      </c>
      <c r="T39" s="596">
        <f t="shared" si="21"/>
        <v>0</v>
      </c>
    </row>
    <row r="40" spans="1:20" x14ac:dyDescent="0.2">
      <c r="A40" s="593" t="s">
        <v>763</v>
      </c>
      <c r="B40" s="596">
        <v>0</v>
      </c>
      <c r="C40" s="601"/>
      <c r="L40" s="596">
        <f>$B$24</f>
        <v>0</v>
      </c>
      <c r="M40" s="596">
        <f t="shared" ref="M40:T40" si="22">$B$24</f>
        <v>0</v>
      </c>
      <c r="N40" s="596">
        <f t="shared" si="22"/>
        <v>0</v>
      </c>
      <c r="O40" s="596">
        <f t="shared" si="22"/>
        <v>0</v>
      </c>
      <c r="P40" s="595">
        <f>B40</f>
        <v>0</v>
      </c>
      <c r="Q40" s="596">
        <f t="shared" si="22"/>
        <v>0</v>
      </c>
      <c r="R40" s="596">
        <f t="shared" si="22"/>
        <v>0</v>
      </c>
      <c r="S40" s="596">
        <f t="shared" si="22"/>
        <v>0</v>
      </c>
      <c r="T40" s="596">
        <f t="shared" si="22"/>
        <v>0</v>
      </c>
    </row>
    <row r="41" spans="1:20" x14ac:dyDescent="0.2">
      <c r="A41" s="593" t="s">
        <v>764</v>
      </c>
      <c r="B41" s="596">
        <v>0</v>
      </c>
      <c r="C41" s="601"/>
      <c r="L41" s="596">
        <f>$B$25</f>
        <v>0</v>
      </c>
      <c r="M41" s="596">
        <f t="shared" ref="M41:T41" si="23">$B$25</f>
        <v>0</v>
      </c>
      <c r="N41" s="596">
        <f t="shared" si="23"/>
        <v>0</v>
      </c>
      <c r="O41" s="596">
        <f t="shared" si="23"/>
        <v>0</v>
      </c>
      <c r="P41" s="596">
        <f t="shared" si="23"/>
        <v>0</v>
      </c>
      <c r="Q41" s="595">
        <f>B41</f>
        <v>0</v>
      </c>
      <c r="R41" s="596">
        <f t="shared" si="23"/>
        <v>0</v>
      </c>
      <c r="S41" s="596">
        <f t="shared" si="23"/>
        <v>0</v>
      </c>
      <c r="T41" s="596">
        <f t="shared" si="23"/>
        <v>0</v>
      </c>
    </row>
    <row r="42" spans="1:20" x14ac:dyDescent="0.2">
      <c r="A42" s="593" t="s">
        <v>203</v>
      </c>
      <c r="B42" s="596">
        <v>0</v>
      </c>
      <c r="C42" s="601"/>
      <c r="L42" s="596">
        <f>$B$26</f>
        <v>0</v>
      </c>
      <c r="M42" s="596">
        <f t="shared" ref="M42:S42" si="24">$B$26</f>
        <v>0</v>
      </c>
      <c r="N42" s="596">
        <f t="shared" si="24"/>
        <v>0</v>
      </c>
      <c r="O42" s="596">
        <f t="shared" si="24"/>
        <v>0</v>
      </c>
      <c r="P42" s="596">
        <f t="shared" si="24"/>
        <v>0</v>
      </c>
      <c r="Q42" s="596">
        <f t="shared" si="24"/>
        <v>0</v>
      </c>
      <c r="R42" s="595">
        <f>B42</f>
        <v>0</v>
      </c>
      <c r="S42" s="596">
        <f t="shared" si="24"/>
        <v>0</v>
      </c>
      <c r="T42" s="596">
        <f>$B$26</f>
        <v>0</v>
      </c>
    </row>
    <row r="43" spans="1:20" x14ac:dyDescent="0.2">
      <c r="A43" s="593" t="s">
        <v>204</v>
      </c>
      <c r="B43" s="596">
        <f>B27-$B$30</f>
        <v>-2875515.5500776405</v>
      </c>
      <c r="C43" s="601">
        <f t="shared" si="17"/>
        <v>-5.7721056797701209</v>
      </c>
      <c r="L43" s="596">
        <f>$B$27</f>
        <v>602567.44989271869</v>
      </c>
      <c r="M43" s="596">
        <f t="shared" ref="M43:T43" si="25">$B$27</f>
        <v>602567.44989271869</v>
      </c>
      <c r="N43" s="596">
        <f t="shared" si="25"/>
        <v>602567.44989271869</v>
      </c>
      <c r="O43" s="596">
        <f t="shared" si="25"/>
        <v>602567.44989271869</v>
      </c>
      <c r="P43" s="596">
        <f t="shared" si="25"/>
        <v>602567.44989271869</v>
      </c>
      <c r="Q43" s="596">
        <f t="shared" si="25"/>
        <v>602567.44989271869</v>
      </c>
      <c r="R43" s="596">
        <f t="shared" si="25"/>
        <v>602567.44989271869</v>
      </c>
      <c r="S43" s="595">
        <f>B43</f>
        <v>-2875515.5500776405</v>
      </c>
      <c r="T43" s="596">
        <f t="shared" si="25"/>
        <v>602567.44989271869</v>
      </c>
    </row>
    <row r="44" spans="1:20" x14ac:dyDescent="0.2">
      <c r="A44" s="593" t="s">
        <v>205</v>
      </c>
      <c r="B44" s="596">
        <v>0</v>
      </c>
      <c r="C44" s="601"/>
      <c r="L44" s="596">
        <f>$B$28</f>
        <v>0</v>
      </c>
      <c r="M44" s="596">
        <f t="shared" ref="M44:S44" si="26">$B$28</f>
        <v>0</v>
      </c>
      <c r="N44" s="596">
        <f t="shared" si="26"/>
        <v>0</v>
      </c>
      <c r="O44" s="596">
        <f t="shared" si="26"/>
        <v>0</v>
      </c>
      <c r="P44" s="596">
        <f t="shared" si="26"/>
        <v>0</v>
      </c>
      <c r="Q44" s="596">
        <f t="shared" si="26"/>
        <v>0</v>
      </c>
      <c r="R44" s="596">
        <f t="shared" si="26"/>
        <v>0</v>
      </c>
      <c r="S44" s="596">
        <f t="shared" si="26"/>
        <v>0</v>
      </c>
      <c r="T44" s="595">
        <f>B44</f>
        <v>0</v>
      </c>
    </row>
    <row r="45" spans="1:20" ht="13.5" thickBot="1" x14ac:dyDescent="0.25">
      <c r="A45" s="591" t="s">
        <v>776</v>
      </c>
      <c r="L45" s="598">
        <f>$B$29</f>
        <v>16736761.897014474</v>
      </c>
      <c r="M45" s="598">
        <f t="shared" ref="M45:T45" si="27">$B$29</f>
        <v>16736761.897014474</v>
      </c>
      <c r="N45" s="598">
        <f t="shared" si="27"/>
        <v>16736761.897014474</v>
      </c>
      <c r="O45" s="598">
        <f t="shared" si="27"/>
        <v>16736761.897014474</v>
      </c>
      <c r="P45" s="598">
        <f t="shared" si="27"/>
        <v>16736761.897014474</v>
      </c>
      <c r="Q45" s="598">
        <f t="shared" si="27"/>
        <v>16736761.897014474</v>
      </c>
      <c r="R45" s="598">
        <f t="shared" si="27"/>
        <v>16736761.897014474</v>
      </c>
      <c r="S45" s="598">
        <f t="shared" si="27"/>
        <v>16736761.897014474</v>
      </c>
      <c r="T45" s="598">
        <f t="shared" si="27"/>
        <v>16736761.897014474</v>
      </c>
    </row>
    <row r="46" spans="1:20" ht="13.5" thickTop="1" x14ac:dyDescent="0.2">
      <c r="L46" s="600">
        <f>-L36-L37+L38+L39+L40+L41+L42+L43+L44+L45</f>
        <v>2.4214386940002441E-8</v>
      </c>
      <c r="M46" s="600">
        <f t="shared" ref="M46:T46" si="28">-M36-M37+M38+M39+M40+M41+M42+M43+M44+M45</f>
        <v>0</v>
      </c>
      <c r="N46" s="600">
        <f t="shared" si="28"/>
        <v>0</v>
      </c>
      <c r="O46" s="600">
        <f t="shared" si="28"/>
        <v>3478082.9999703709</v>
      </c>
      <c r="P46" s="600">
        <f t="shared" si="28"/>
        <v>3478082.9999703709</v>
      </c>
      <c r="Q46" s="600">
        <f t="shared" si="28"/>
        <v>3478082.9999703709</v>
      </c>
      <c r="R46" s="600">
        <f t="shared" si="28"/>
        <v>3478082.9999703709</v>
      </c>
      <c r="S46" s="600">
        <f t="shared" si="28"/>
        <v>0</v>
      </c>
      <c r="T46" s="600">
        <f t="shared" si="28"/>
        <v>3478082.9999703709</v>
      </c>
    </row>
    <row r="52" spans="1:3" x14ac:dyDescent="0.2">
      <c r="A52" s="618"/>
      <c r="B52" s="619"/>
      <c r="C52" s="619"/>
    </row>
    <row r="53" spans="1:3" x14ac:dyDescent="0.2">
      <c r="A53" s="618"/>
      <c r="B53" s="620"/>
      <c r="C53" s="621"/>
    </row>
    <row r="54" spans="1:3" x14ac:dyDescent="0.2">
      <c r="A54" s="618"/>
      <c r="B54" s="620"/>
      <c r="C54" s="621"/>
    </row>
    <row r="55" spans="1:3" x14ac:dyDescent="0.2">
      <c r="A55" s="618"/>
      <c r="B55" s="620"/>
      <c r="C55" s="621"/>
    </row>
    <row r="56" spans="1:3" x14ac:dyDescent="0.2">
      <c r="A56" s="618"/>
      <c r="B56" s="620"/>
      <c r="C56" s="621"/>
    </row>
    <row r="57" spans="1:3" x14ac:dyDescent="0.2">
      <c r="A57" s="618"/>
      <c r="B57" s="620"/>
      <c r="C57" s="6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57</vt:i4>
      </vt:variant>
    </vt:vector>
  </HeadingPairs>
  <TitlesOfParts>
    <vt:vector size="57" baseType="lpstr">
      <vt:lpstr>NOV 200</vt:lpstr>
      <vt:lpstr>Parametre</vt:lpstr>
      <vt:lpstr>Vstupy</vt:lpstr>
      <vt:lpstr>01 Investičné výdavky NOV200</vt:lpstr>
      <vt:lpstr>02 Zostatková hodnota NOV200</vt:lpstr>
      <vt:lpstr>03 Prevádzkové výdavky NOV200</vt:lpstr>
      <vt:lpstr>03A PV NOV200 bez proj.pomoc</vt:lpstr>
      <vt:lpstr>03B PV NOV200 s proj.pomoc</vt:lpstr>
      <vt:lpstr>04 Prevádzkové príjmy NOV200</vt:lpstr>
      <vt:lpstr>04A Prevádzkové príjmy NOV200</vt:lpstr>
      <vt:lpstr>05 Financovanie NOV200</vt:lpstr>
      <vt:lpstr>06 Finančná analýza NOV200</vt:lpstr>
      <vt:lpstr>07 Čas cestujúcich NOV200</vt:lpstr>
      <vt:lpstr>08 Spotreba PHM_E (cesty)NOV200</vt:lpstr>
      <vt:lpstr>08_A Spotr. PHM_E(cesty)NOV200</vt:lpstr>
      <vt:lpstr>09 Ostatné nákl. (cesty)NOV200</vt:lpstr>
      <vt:lpstr>09_A Ostat. nákl. (cesty)NOV200</vt:lpstr>
      <vt:lpstr>10 Bezpečnosť (cesty) NOV200</vt:lpstr>
      <vt:lpstr>10_A Bezpečnosť (cesty) NOV200</vt:lpstr>
      <vt:lpstr>11a Znečisťujúce l.(voz.)NOV200</vt:lpstr>
      <vt:lpstr>11a_A Znečisť. l.(voz.)NOV200</vt:lpstr>
      <vt:lpstr>11b Znečisť. l.(cesty)NOV200</vt:lpstr>
      <vt:lpstr>11b_A Znečisť. l. (cesty)NO200</vt:lpstr>
      <vt:lpstr>12a Skleníkové p. (voz.)NOV200</vt:lpstr>
      <vt:lpstr>12a_A Skleník. p. (voz.)NOV200 </vt:lpstr>
      <vt:lpstr>12b Skleník. p. (cesty)NOV200</vt:lpstr>
      <vt:lpstr>12b_A Skleník. p.(cesty)NOV200 </vt:lpstr>
      <vt:lpstr>13a Hluk (voz.)NOV200</vt:lpstr>
      <vt:lpstr>13a_A Hluk (voz.)NOV200</vt:lpstr>
      <vt:lpstr>13b Hluk (cesty)NOV200</vt:lpstr>
      <vt:lpstr>13b_A Hluk (cesty)NOV200</vt:lpstr>
      <vt:lpstr>14 Ekonomická analýza NOV200</vt:lpstr>
      <vt:lpstr>16 Analýza citlivosti</vt:lpstr>
      <vt:lpstr>EMU 550</vt:lpstr>
      <vt:lpstr>Parametre EMU550</vt:lpstr>
      <vt:lpstr>Vstupy EMU550</vt:lpstr>
      <vt:lpstr>01 Investičné výdavky EMU550</vt:lpstr>
      <vt:lpstr>02 Zostatková hodnota EMU550</vt:lpstr>
      <vt:lpstr>03 Prev. výdavky EMU550</vt:lpstr>
      <vt:lpstr>03A PV EMU550 bez proj. pomoc</vt:lpstr>
      <vt:lpstr>03B PV EMU550 s proj. pomoc.</vt:lpstr>
      <vt:lpstr>04 Prevádzkové príjmy EMU550</vt:lpstr>
      <vt:lpstr>05 Financovanie EMU550</vt:lpstr>
      <vt:lpstr>06 Finančná analýza EMU550</vt:lpstr>
      <vt:lpstr>07 Čas cestujúcich EMU550</vt:lpstr>
      <vt:lpstr>08 Spotreba PHM_E EMU550</vt:lpstr>
      <vt:lpstr>09 Ostatné nákl. (cesty) EMU550</vt:lpstr>
      <vt:lpstr>10 Bezpečnosť (cesty) EMU550</vt:lpstr>
      <vt:lpstr>11a Znečisťujúce l. (voz.) EMU</vt:lpstr>
      <vt:lpstr>11b Znečisť. l. (cesty)  EMU550</vt:lpstr>
      <vt:lpstr>12a Skleník. plyny (voz.)EMU550</vt:lpstr>
      <vt:lpstr>12a_A Skleník. p. (voz.)EMU550</vt:lpstr>
      <vt:lpstr>12b Skleník.plyny (cesty)EMU550</vt:lpstr>
      <vt:lpstr>13a Hluk (voz.) EMU550</vt:lpstr>
      <vt:lpstr>13b Hluk (cesty) EMU550</vt:lpstr>
      <vt:lpstr>14 Ekonomická analýza EMU550</vt:lpstr>
      <vt:lpstr>16 Analýza citlivosti EMU550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Bajs Rastislav</cp:lastModifiedBy>
  <cp:lastPrinted>2011-06-09T11:45:53Z</cp:lastPrinted>
  <dcterms:created xsi:type="dcterms:W3CDTF">2011-05-19T08:19:19Z</dcterms:created>
  <dcterms:modified xsi:type="dcterms:W3CDTF">2025-09-09T05:20:46Z</dcterms:modified>
</cp:coreProperties>
</file>