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js.Rastislav\Documents\ZSSK\2023\ŠU\Materiál lôžka\"/>
    </mc:Choice>
  </mc:AlternateContent>
  <xr:revisionPtr revIDLastSave="0" documentId="13_ncr:1_{F9FA660C-58A8-4783-BC5C-96C4B883B4A5}" xr6:coauthVersionLast="47" xr6:coauthVersionMax="47" xr10:uidLastSave="{00000000-0000-0000-0000-000000000000}"/>
  <bookViews>
    <workbookView xWindow="-120" yWindow="-120" windowWidth="29040" windowHeight="15840" tabRatio="931" firstSheet="2" activeTab="2" xr2:uid="{00000000-000D-0000-FFFF-FFFF00000000}"/>
  </bookViews>
  <sheets>
    <sheet name="Hrubý domáci produkt" sheetId="38" state="hidden" r:id="rId1"/>
    <sheet name="Cenová inflácia" sheetId="37" state="hidden" r:id="rId2"/>
    <sheet name="Parametre" sheetId="1" r:id="rId3"/>
    <sheet name="Nové vozne =&gt;" sheetId="39" r:id="rId4"/>
    <sheet name="01 Investičné výdavky - nové" sheetId="2" r:id="rId5"/>
    <sheet name="02 Zostatková hodnota - nové" sheetId="9" r:id="rId6"/>
    <sheet name="03 Prevádzkové výdavky - nové" sheetId="3" r:id="rId7"/>
    <sheet name="04 Prevádzkové príjmy - nové" sheetId="4" r:id="rId8"/>
    <sheet name="05 Financovanie - nové" sheetId="7" r:id="rId9"/>
    <sheet name="06 Finančná analýza - nové" sheetId="6" r:id="rId10"/>
    <sheet name="Úspora času cestujúci - nové" sheetId="44" r:id="rId11"/>
    <sheet name="07 Čas cestujúcich - nové" sheetId="10" r:id="rId12"/>
    <sheet name="08 Ekonomická analýza - nové" sheetId="19" r:id="rId13"/>
    <sheet name="Zánovné vozne =&gt;" sheetId="40" r:id="rId14"/>
    <sheet name="01 Investičné výdavky - zánovné" sheetId="31" r:id="rId15"/>
    <sheet name="02 Zostatková hodnota - zánovné" sheetId="34" r:id="rId16"/>
    <sheet name="03 Prevádzkové výdavky-zánovné" sheetId="32" r:id="rId17"/>
    <sheet name="04 Prevádzkové príjmy - zánovné" sheetId="33" r:id="rId18"/>
    <sheet name="05 Financovanie - zánovné" sheetId="35" r:id="rId19"/>
    <sheet name="06 Finančná analýza - zánovné" sheetId="36" r:id="rId20"/>
    <sheet name="Úspora času cestujúci - zánovné" sheetId="43" r:id="rId21"/>
    <sheet name="07 Čas cestujúcich - zánovné" sheetId="42" r:id="rId22"/>
    <sheet name="08 Ekonomická analýza - zánovné" sheetId="41" r:id="rId23"/>
    <sheet name="Pomocný výpočet PV bez projektu" sheetId="45" r:id="rId24"/>
    <sheet name="Pomocný výpočet PV nové" sheetId="46" r:id="rId25"/>
    <sheet name="Pomocný výpočet PV jazdené" sheetId="47" r:id="rId26"/>
  </sheets>
  <definedNames>
    <definedName name="_ftn1" localSheetId="4">'01 Investičné výdavky - nové'!#REF!</definedName>
    <definedName name="_ftn1" localSheetId="14">'01 Investičné výdavky - zánovné'!#REF!</definedName>
    <definedName name="_ftn1" localSheetId="5">'02 Zostatková hodnota - nové'!#REF!</definedName>
    <definedName name="_ftn1" localSheetId="15">'02 Zostatková hodnota - zánovné'!#REF!</definedName>
    <definedName name="_ftnref1" localSheetId="4">'01 Investičné výdavky - nové'!#REF!</definedName>
    <definedName name="_ftnref1" localSheetId="14">'01 Investičné výdavky - zánovné'!#REF!</definedName>
    <definedName name="_ftnref1" localSheetId="5">'02 Zostatková hodnota - nové'!#REF!</definedName>
    <definedName name="_ftnref1" localSheetId="15">'02 Zostatková hodnota - zánovné'!#REF!</definedName>
    <definedName name="RParticipants" localSheetId="10">#REF!:INDEX(#REF!,COUNTIF(#REF!,"?*"))</definedName>
    <definedName name="RParticipants" localSheetId="20">#REF!:INDEX(#REF!,COUNTIF(#REF!,"?*"))</definedName>
    <definedName name="RParticipants">#REF!:INDEX(#REF!,COUNTIF(#REF!,"?*"))</definedName>
    <definedName name="RWorkPackages" localSheetId="10">#REF!:INDEX(#REF!,COUNTIF(#REF!,"?*"))</definedName>
    <definedName name="RWorkPackages" localSheetId="20">#REF!:INDEX(#REF!,COUNTIF(#REF!,"?*"))</definedName>
    <definedName name="RWorkPackages">#REF!:INDEX(#REF!,COUNTIF(#REF!,"?*"))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6" i="47" l="1"/>
  <c r="AF36" i="47"/>
  <c r="AE36" i="47"/>
  <c r="AD36" i="47"/>
  <c r="AC36" i="47"/>
  <c r="AB36" i="47"/>
  <c r="AA36" i="47"/>
  <c r="Z36" i="47"/>
  <c r="Y36" i="47"/>
  <c r="X36" i="47"/>
  <c r="W36" i="47"/>
  <c r="V36" i="47"/>
  <c r="U36" i="47"/>
  <c r="T36" i="47"/>
  <c r="S36" i="47"/>
  <c r="R36" i="47"/>
  <c r="Q36" i="47"/>
  <c r="P36" i="47"/>
  <c r="O36" i="47"/>
  <c r="N36" i="47"/>
  <c r="M36" i="47"/>
  <c r="L36" i="47"/>
  <c r="K36" i="47"/>
  <c r="J36" i="47"/>
  <c r="I36" i="47"/>
  <c r="H36" i="47"/>
  <c r="G36" i="47"/>
  <c r="F36" i="47"/>
  <c r="E36" i="47"/>
  <c r="D36" i="47"/>
  <c r="C33" i="47"/>
  <c r="AG31" i="47"/>
  <c r="AF31" i="47"/>
  <c r="AE31" i="47"/>
  <c r="AD31" i="47"/>
  <c r="AC31" i="47"/>
  <c r="AB31" i="47"/>
  <c r="AA31" i="47"/>
  <c r="Z31" i="47"/>
  <c r="Y31" i="47"/>
  <c r="X31" i="47"/>
  <c r="W31" i="47"/>
  <c r="V31" i="47"/>
  <c r="U31" i="47"/>
  <c r="T31" i="47"/>
  <c r="S31" i="47"/>
  <c r="R31" i="47"/>
  <c r="Q31" i="47"/>
  <c r="P31" i="47"/>
  <c r="O31" i="47"/>
  <c r="N31" i="47"/>
  <c r="M31" i="47"/>
  <c r="L31" i="47"/>
  <c r="K31" i="47"/>
  <c r="J31" i="47"/>
  <c r="I31" i="47"/>
  <c r="H31" i="47"/>
  <c r="G31" i="47"/>
  <c r="F31" i="47"/>
  <c r="E31" i="47"/>
  <c r="J25" i="47"/>
  <c r="H25" i="47"/>
  <c r="G25" i="47"/>
  <c r="F25" i="47"/>
  <c r="Z24" i="47"/>
  <c r="R24" i="47"/>
  <c r="K24" i="47"/>
  <c r="J24" i="47"/>
  <c r="G24" i="47"/>
  <c r="L24" i="47" s="1"/>
  <c r="F24" i="47"/>
  <c r="H24" i="47" s="1"/>
  <c r="AH24" i="47" s="1"/>
  <c r="L22" i="47"/>
  <c r="K22" i="47"/>
  <c r="H22" i="47"/>
  <c r="G22" i="47"/>
  <c r="J22" i="47" s="1"/>
  <c r="F22" i="47"/>
  <c r="L19" i="47"/>
  <c r="J19" i="47"/>
  <c r="H19" i="47"/>
  <c r="G19" i="47"/>
  <c r="K19" i="47" s="1"/>
  <c r="F19" i="47"/>
  <c r="AL18" i="47"/>
  <c r="AK18" i="47"/>
  <c r="AD18" i="47"/>
  <c r="AC18" i="47"/>
  <c r="V18" i="47"/>
  <c r="U18" i="47"/>
  <c r="N18" i="47"/>
  <c r="M18" i="47"/>
  <c r="H18" i="47"/>
  <c r="AH18" i="47" s="1"/>
  <c r="F18" i="47"/>
  <c r="G17" i="47"/>
  <c r="L17" i="47" s="1"/>
  <c r="M16" i="47"/>
  <c r="M19" i="47" s="1"/>
  <c r="L16" i="47"/>
  <c r="K16" i="47"/>
  <c r="J16" i="47"/>
  <c r="U12" i="47"/>
  <c r="V12" i="47" s="1"/>
  <c r="W12" i="47" s="1"/>
  <c r="X12" i="47" s="1"/>
  <c r="Y12" i="47" s="1"/>
  <c r="Z12" i="47" s="1"/>
  <c r="AA12" i="47" s="1"/>
  <c r="AB12" i="47" s="1"/>
  <c r="AC12" i="47" s="1"/>
  <c r="AD12" i="47" s="1"/>
  <c r="AE12" i="47" s="1"/>
  <c r="AF12" i="47" s="1"/>
  <c r="AG12" i="47" s="1"/>
  <c r="AH12" i="47" s="1"/>
  <c r="AI12" i="47" s="1"/>
  <c r="AJ12" i="47" s="1"/>
  <c r="AK12" i="47" s="1"/>
  <c r="AL12" i="47" s="1"/>
  <c r="AM12" i="47" s="1"/>
  <c r="M12" i="47"/>
  <c r="N12" i="47" s="1"/>
  <c r="O12" i="47" s="1"/>
  <c r="P12" i="47" s="1"/>
  <c r="Q12" i="47" s="1"/>
  <c r="R12" i="47" s="1"/>
  <c r="S12" i="47" s="1"/>
  <c r="T12" i="47" s="1"/>
  <c r="K12" i="47"/>
  <c r="L12" i="47" s="1"/>
  <c r="AG36" i="46"/>
  <c r="AF36" i="46"/>
  <c r="AE36" i="46"/>
  <c r="AD36" i="46"/>
  <c r="AC36" i="46"/>
  <c r="AB36" i="46"/>
  <c r="AA36" i="46"/>
  <c r="Z36" i="46"/>
  <c r="Y36" i="46"/>
  <c r="X36" i="46"/>
  <c r="W36" i="46"/>
  <c r="V36" i="46"/>
  <c r="U36" i="46"/>
  <c r="T36" i="46"/>
  <c r="S36" i="46"/>
  <c r="R36" i="46"/>
  <c r="Q36" i="46"/>
  <c r="P36" i="46"/>
  <c r="O36" i="46"/>
  <c r="N36" i="46"/>
  <c r="M36" i="46"/>
  <c r="L36" i="46"/>
  <c r="K36" i="46"/>
  <c r="J36" i="46"/>
  <c r="I36" i="46"/>
  <c r="H36" i="46"/>
  <c r="G36" i="46"/>
  <c r="F36" i="46"/>
  <c r="E36" i="46"/>
  <c r="D36" i="46"/>
  <c r="C33" i="46"/>
  <c r="AG31" i="46"/>
  <c r="AF31" i="46"/>
  <c r="AE31" i="46"/>
  <c r="AD31" i="46"/>
  <c r="AC31" i="46"/>
  <c r="AB31" i="46"/>
  <c r="AA31" i="46"/>
  <c r="Z31" i="46"/>
  <c r="Y31" i="46"/>
  <c r="X31" i="46"/>
  <c r="W31" i="46"/>
  <c r="V31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J25" i="46"/>
  <c r="G25" i="46"/>
  <c r="F25" i="46"/>
  <c r="H25" i="46" s="1"/>
  <c r="G24" i="46"/>
  <c r="F24" i="46"/>
  <c r="H24" i="46" s="1"/>
  <c r="K22" i="46"/>
  <c r="H22" i="46"/>
  <c r="G22" i="46"/>
  <c r="F22" i="46"/>
  <c r="J19" i="46"/>
  <c r="H19" i="46"/>
  <c r="G19" i="46"/>
  <c r="K19" i="46" s="1"/>
  <c r="F19" i="46"/>
  <c r="AK18" i="46"/>
  <c r="AI18" i="46"/>
  <c r="AC18" i="46"/>
  <c r="AA18" i="46"/>
  <c r="V18" i="46"/>
  <c r="U18" i="46"/>
  <c r="N18" i="46"/>
  <c r="M18" i="46"/>
  <c r="F18" i="46"/>
  <c r="H18" i="46" s="1"/>
  <c r="G17" i="46"/>
  <c r="L16" i="46"/>
  <c r="K16" i="46"/>
  <c r="J16" i="46"/>
  <c r="K12" i="46"/>
  <c r="L12" i="46" s="1"/>
  <c r="M12" i="46" s="1"/>
  <c r="N12" i="46" s="1"/>
  <c r="O12" i="46" s="1"/>
  <c r="P12" i="46" s="1"/>
  <c r="Q12" i="46" s="1"/>
  <c r="R12" i="46" s="1"/>
  <c r="S12" i="46" s="1"/>
  <c r="T12" i="46" s="1"/>
  <c r="U12" i="46" s="1"/>
  <c r="V12" i="46" s="1"/>
  <c r="W12" i="46" s="1"/>
  <c r="X12" i="46" s="1"/>
  <c r="Y12" i="46" s="1"/>
  <c r="Z12" i="46" s="1"/>
  <c r="AA12" i="46" s="1"/>
  <c r="AB12" i="46" s="1"/>
  <c r="AC12" i="46" s="1"/>
  <c r="AD12" i="46" s="1"/>
  <c r="AE12" i="46" s="1"/>
  <c r="AF12" i="46" s="1"/>
  <c r="AG12" i="46" s="1"/>
  <c r="AH12" i="46" s="1"/>
  <c r="AI12" i="46" s="1"/>
  <c r="AJ12" i="46" s="1"/>
  <c r="AK12" i="46" s="1"/>
  <c r="AL12" i="46" s="1"/>
  <c r="AM12" i="46" s="1"/>
  <c r="AG36" i="45"/>
  <c r="AF36" i="45"/>
  <c r="AE36" i="45"/>
  <c r="AD36" i="45"/>
  <c r="AC36" i="45"/>
  <c r="AB36" i="45"/>
  <c r="AA36" i="45"/>
  <c r="Z36" i="45"/>
  <c r="Y36" i="45"/>
  <c r="X36" i="45"/>
  <c r="W36" i="45"/>
  <c r="V36" i="45"/>
  <c r="U36" i="45"/>
  <c r="T36" i="45"/>
  <c r="S36" i="45"/>
  <c r="R36" i="45"/>
  <c r="Q36" i="45"/>
  <c r="P36" i="45"/>
  <c r="O36" i="45"/>
  <c r="N36" i="45"/>
  <c r="M36" i="45"/>
  <c r="L36" i="45"/>
  <c r="K36" i="45"/>
  <c r="J36" i="45"/>
  <c r="I36" i="45"/>
  <c r="H36" i="45"/>
  <c r="G36" i="45"/>
  <c r="F36" i="45"/>
  <c r="E36" i="45"/>
  <c r="D36" i="45"/>
  <c r="C33" i="45"/>
  <c r="AG31" i="45"/>
  <c r="AF31" i="45"/>
  <c r="AE31" i="45"/>
  <c r="AD31" i="45"/>
  <c r="AC31" i="45"/>
  <c r="AB31" i="45"/>
  <c r="AA31" i="45"/>
  <c r="Z31" i="45"/>
  <c r="Y31" i="45"/>
  <c r="X31" i="45"/>
  <c r="W31" i="45"/>
  <c r="V31" i="45"/>
  <c r="U31" i="45"/>
  <c r="T31" i="45"/>
  <c r="S31" i="45"/>
  <c r="R31" i="45"/>
  <c r="Q31" i="45"/>
  <c r="P31" i="45"/>
  <c r="O31" i="45"/>
  <c r="N31" i="45"/>
  <c r="M31" i="45"/>
  <c r="L31" i="45"/>
  <c r="K31" i="45"/>
  <c r="J31" i="45"/>
  <c r="I31" i="45"/>
  <c r="H31" i="45"/>
  <c r="G31" i="45"/>
  <c r="F31" i="45"/>
  <c r="E31" i="45"/>
  <c r="F25" i="45"/>
  <c r="AE24" i="45"/>
  <c r="W24" i="45"/>
  <c r="O24" i="45"/>
  <c r="F24" i="45"/>
  <c r="AG24" i="45" s="1"/>
  <c r="AK23" i="45"/>
  <c r="AJ23" i="45"/>
  <c r="AI23" i="45"/>
  <c r="AH23" i="45"/>
  <c r="AG23" i="45"/>
  <c r="AF23" i="45"/>
  <c r="AE23" i="45"/>
  <c r="AD23" i="45"/>
  <c r="AC23" i="45"/>
  <c r="AB23" i="45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M23" i="45"/>
  <c r="L23" i="45"/>
  <c r="K23" i="45"/>
  <c r="J23" i="45"/>
  <c r="I23" i="45"/>
  <c r="F22" i="45"/>
  <c r="F19" i="45"/>
  <c r="F17" i="45"/>
  <c r="H16" i="45"/>
  <c r="I13" i="45"/>
  <c r="J13" i="45" s="1"/>
  <c r="K13" i="45" s="1"/>
  <c r="L13" i="45" s="1"/>
  <c r="M13" i="45" s="1"/>
  <c r="N13" i="45" s="1"/>
  <c r="O13" i="45" s="1"/>
  <c r="P13" i="45" s="1"/>
  <c r="Q13" i="45" s="1"/>
  <c r="R13" i="45" s="1"/>
  <c r="S13" i="45" s="1"/>
  <c r="T13" i="45" s="1"/>
  <c r="U13" i="45" s="1"/>
  <c r="V13" i="45" s="1"/>
  <c r="W13" i="45" s="1"/>
  <c r="X13" i="45" s="1"/>
  <c r="Y13" i="45" s="1"/>
  <c r="Z13" i="45" s="1"/>
  <c r="AA13" i="45" s="1"/>
  <c r="AB13" i="45" s="1"/>
  <c r="AC13" i="45" s="1"/>
  <c r="AD13" i="45" s="1"/>
  <c r="AE13" i="45" s="1"/>
  <c r="AF13" i="45" s="1"/>
  <c r="AG13" i="45" s="1"/>
  <c r="AH13" i="45" s="1"/>
  <c r="AI13" i="45" s="1"/>
  <c r="AJ13" i="45" s="1"/>
  <c r="AK13" i="45" s="1"/>
  <c r="E9" i="45"/>
  <c r="G8" i="45"/>
  <c r="G9" i="45" s="1"/>
  <c r="E8" i="45"/>
  <c r="D8" i="45"/>
  <c r="G7" i="45"/>
  <c r="G6" i="45"/>
  <c r="G5" i="45"/>
  <c r="F5" i="45"/>
  <c r="F8" i="45" s="1"/>
  <c r="G4" i="45"/>
  <c r="G3" i="45"/>
  <c r="G19" i="35"/>
  <c r="I19" i="35"/>
  <c r="J19" i="35"/>
  <c r="O19" i="35"/>
  <c r="R19" i="35"/>
  <c r="W19" i="35"/>
  <c r="Z19" i="35"/>
  <c r="AE19" i="35"/>
  <c r="D19" i="35"/>
  <c r="E20" i="36"/>
  <c r="E19" i="35" s="1"/>
  <c r="F20" i="36"/>
  <c r="F19" i="35" s="1"/>
  <c r="G20" i="36"/>
  <c r="H20" i="36"/>
  <c r="H19" i="35" s="1"/>
  <c r="I20" i="36"/>
  <c r="J20" i="36"/>
  <c r="K20" i="36"/>
  <c r="K19" i="35" s="1"/>
  <c r="L20" i="36"/>
  <c r="L19" i="35" s="1"/>
  <c r="M20" i="36"/>
  <c r="M19" i="35" s="1"/>
  <c r="N20" i="36"/>
  <c r="N19" i="35" s="1"/>
  <c r="O20" i="36"/>
  <c r="P20" i="36"/>
  <c r="P19" i="35" s="1"/>
  <c r="Q20" i="36"/>
  <c r="Q19" i="35" s="1"/>
  <c r="R20" i="36"/>
  <c r="S20" i="36"/>
  <c r="S19" i="35" s="1"/>
  <c r="T20" i="36"/>
  <c r="T19" i="35" s="1"/>
  <c r="U20" i="36"/>
  <c r="U19" i="35" s="1"/>
  <c r="V20" i="36"/>
  <c r="V19" i="35" s="1"/>
  <c r="W20" i="36"/>
  <c r="X20" i="36"/>
  <c r="X19" i="35" s="1"/>
  <c r="Y20" i="36"/>
  <c r="Y19" i="35" s="1"/>
  <c r="Z20" i="36"/>
  <c r="AA20" i="36"/>
  <c r="AA19" i="35" s="1"/>
  <c r="AB20" i="36"/>
  <c r="AB19" i="35" s="1"/>
  <c r="AC20" i="36"/>
  <c r="AC19" i="35" s="1"/>
  <c r="AD20" i="36"/>
  <c r="AD19" i="35" s="1"/>
  <c r="AE20" i="36"/>
  <c r="AF20" i="36"/>
  <c r="AF19" i="35" s="1"/>
  <c r="AG20" i="36"/>
  <c r="AG19" i="35" s="1"/>
  <c r="D20" i="36"/>
  <c r="F19" i="7"/>
  <c r="K19" i="7"/>
  <c r="N19" i="7"/>
  <c r="S19" i="7"/>
  <c r="V19" i="7"/>
  <c r="AA19" i="7"/>
  <c r="E20" i="6"/>
  <c r="E19" i="7" s="1"/>
  <c r="F20" i="6"/>
  <c r="G20" i="6"/>
  <c r="G19" i="7" s="1"/>
  <c r="H20" i="6"/>
  <c r="H19" i="7" s="1"/>
  <c r="I20" i="6"/>
  <c r="I19" i="7" s="1"/>
  <c r="J20" i="6"/>
  <c r="J19" i="7" s="1"/>
  <c r="K20" i="6"/>
  <c r="L20" i="6"/>
  <c r="L19" i="7" s="1"/>
  <c r="M20" i="6"/>
  <c r="M19" i="7" s="1"/>
  <c r="N20" i="6"/>
  <c r="O20" i="6"/>
  <c r="O19" i="7" s="1"/>
  <c r="P20" i="6"/>
  <c r="P19" i="7" s="1"/>
  <c r="Q20" i="6"/>
  <c r="Q19" i="7" s="1"/>
  <c r="R20" i="6"/>
  <c r="R19" i="7" s="1"/>
  <c r="S20" i="6"/>
  <c r="T20" i="6"/>
  <c r="T19" i="7" s="1"/>
  <c r="U20" i="6"/>
  <c r="U19" i="7" s="1"/>
  <c r="V20" i="6"/>
  <c r="W20" i="6"/>
  <c r="W19" i="7" s="1"/>
  <c r="X20" i="6"/>
  <c r="X19" i="7" s="1"/>
  <c r="Y20" i="6"/>
  <c r="Y19" i="7" s="1"/>
  <c r="Z20" i="6"/>
  <c r="Z19" i="7" s="1"/>
  <c r="AA20" i="6"/>
  <c r="AB20" i="6"/>
  <c r="AB19" i="7" s="1"/>
  <c r="AC20" i="6"/>
  <c r="AC19" i="7" s="1"/>
  <c r="AD20" i="6"/>
  <c r="AD19" i="7" s="1"/>
  <c r="AE20" i="6"/>
  <c r="AE19" i="7" s="1"/>
  <c r="AF20" i="6"/>
  <c r="AF19" i="7" s="1"/>
  <c r="AG20" i="6"/>
  <c r="AG19" i="7" s="1"/>
  <c r="D20" i="6"/>
  <c r="D19" i="7" s="1"/>
  <c r="C41" i="31"/>
  <c r="C42" i="2"/>
  <c r="Q24" i="45" l="1"/>
  <c r="Y24" i="45"/>
  <c r="AM24" i="46"/>
  <c r="AE24" i="46"/>
  <c r="W24" i="46"/>
  <c r="O24" i="46"/>
  <c r="AL24" i="46"/>
  <c r="AD24" i="46"/>
  <c r="V24" i="46"/>
  <c r="N24" i="46"/>
  <c r="AK24" i="46"/>
  <c r="AC24" i="46"/>
  <c r="U24" i="46"/>
  <c r="AJ24" i="46"/>
  <c r="AB24" i="46"/>
  <c r="T24" i="46"/>
  <c r="AG24" i="46"/>
  <c r="Y24" i="46"/>
  <c r="Q24" i="46"/>
  <c r="R24" i="46"/>
  <c r="AA24" i="46"/>
  <c r="AI24" i="46"/>
  <c r="P24" i="46"/>
  <c r="AH24" i="46"/>
  <c r="AF24" i="46"/>
  <c r="X24" i="46"/>
  <c r="S24" i="46"/>
  <c r="M16" i="46"/>
  <c r="M17" i="46" s="1"/>
  <c r="L19" i="46"/>
  <c r="L22" i="46"/>
  <c r="Z24" i="46"/>
  <c r="AD24" i="45"/>
  <c r="V24" i="45"/>
  <c r="N24" i="45"/>
  <c r="Z24" i="45"/>
  <c r="AK24" i="45"/>
  <c r="AC24" i="45"/>
  <c r="U24" i="45"/>
  <c r="M24" i="45"/>
  <c r="AJ24" i="45"/>
  <c r="AB24" i="45"/>
  <c r="T24" i="45"/>
  <c r="L24" i="45"/>
  <c r="AH24" i="45"/>
  <c r="R24" i="45"/>
  <c r="AI24" i="45"/>
  <c r="AA24" i="45"/>
  <c r="S24" i="45"/>
  <c r="K24" i="45"/>
  <c r="J24" i="45"/>
  <c r="AF24" i="45"/>
  <c r="X24" i="45"/>
  <c r="P24" i="45"/>
  <c r="H24" i="45"/>
  <c r="H22" i="45"/>
  <c r="I16" i="45"/>
  <c r="I24" i="45"/>
  <c r="H25" i="45"/>
  <c r="L17" i="46"/>
  <c r="K17" i="46"/>
  <c r="J17" i="46"/>
  <c r="J26" i="46" s="1"/>
  <c r="D32" i="46" s="1"/>
  <c r="L25" i="46"/>
  <c r="I25" i="45"/>
  <c r="AH18" i="46"/>
  <c r="Z18" i="46"/>
  <c r="R18" i="46"/>
  <c r="AG18" i="46"/>
  <c r="Y18" i="46"/>
  <c r="Q18" i="46"/>
  <c r="AF18" i="46"/>
  <c r="X18" i="46"/>
  <c r="P18" i="46"/>
  <c r="AM18" i="46"/>
  <c r="AE18" i="46"/>
  <c r="W18" i="46"/>
  <c r="O18" i="46"/>
  <c r="AJ18" i="46"/>
  <c r="AB18" i="46"/>
  <c r="T18" i="46"/>
  <c r="AD18" i="46"/>
  <c r="M24" i="46"/>
  <c r="L24" i="46"/>
  <c r="S18" i="46"/>
  <c r="AL18" i="46"/>
  <c r="J24" i="46"/>
  <c r="L26" i="47"/>
  <c r="F32" i="47" s="1"/>
  <c r="F34" i="47" s="1"/>
  <c r="F37" i="47" s="1"/>
  <c r="K24" i="46"/>
  <c r="H19" i="45"/>
  <c r="AM24" i="47"/>
  <c r="AE24" i="47"/>
  <c r="W24" i="47"/>
  <c r="O24" i="47"/>
  <c r="AL24" i="47"/>
  <c r="AD24" i="47"/>
  <c r="V24" i="47"/>
  <c r="N24" i="47"/>
  <c r="AK24" i="47"/>
  <c r="AC24" i="47"/>
  <c r="U24" i="47"/>
  <c r="M24" i="47"/>
  <c r="AJ24" i="47"/>
  <c r="AB24" i="47"/>
  <c r="T24" i="47"/>
  <c r="AI24" i="47"/>
  <c r="AA24" i="47"/>
  <c r="S24" i="47"/>
  <c r="AG24" i="47"/>
  <c r="Y24" i="47"/>
  <c r="Q24" i="47"/>
  <c r="AF24" i="47"/>
  <c r="X24" i="47"/>
  <c r="P24" i="47"/>
  <c r="L25" i="47"/>
  <c r="H17" i="45"/>
  <c r="I19" i="45"/>
  <c r="N25" i="47"/>
  <c r="M25" i="47"/>
  <c r="P25" i="47"/>
  <c r="O25" i="47"/>
  <c r="S18" i="47"/>
  <c r="AA18" i="47"/>
  <c r="AI18" i="47"/>
  <c r="Q22" i="47"/>
  <c r="J22" i="46"/>
  <c r="N16" i="47"/>
  <c r="O16" i="47" s="1"/>
  <c r="P16" i="47" s="1"/>
  <c r="Q16" i="47" s="1"/>
  <c r="R16" i="47" s="1"/>
  <c r="L18" i="47"/>
  <c r="T18" i="47"/>
  <c r="AB18" i="47"/>
  <c r="AJ18" i="47"/>
  <c r="R22" i="47"/>
  <c r="K25" i="46"/>
  <c r="J17" i="47"/>
  <c r="J26" i="47" s="1"/>
  <c r="D32" i="47" s="1"/>
  <c r="O18" i="47"/>
  <c r="O26" i="47" s="1"/>
  <c r="I32" i="47" s="1"/>
  <c r="I34" i="47" s="1"/>
  <c r="I37" i="47" s="1"/>
  <c r="W18" i="47"/>
  <c r="AE18" i="47"/>
  <c r="AM18" i="47"/>
  <c r="N19" i="47"/>
  <c r="N26" i="47" s="1"/>
  <c r="H32" i="47" s="1"/>
  <c r="H34" i="47" s="1"/>
  <c r="H37" i="47" s="1"/>
  <c r="M22" i="47"/>
  <c r="M26" i="47" s="1"/>
  <c r="G32" i="47" s="1"/>
  <c r="G34" i="47" s="1"/>
  <c r="G37" i="47" s="1"/>
  <c r="K25" i="47"/>
  <c r="K17" i="47"/>
  <c r="K26" i="47" s="1"/>
  <c r="E32" i="47" s="1"/>
  <c r="E34" i="47" s="1"/>
  <c r="E37" i="47" s="1"/>
  <c r="P18" i="47"/>
  <c r="X18" i="47"/>
  <c r="AF18" i="47"/>
  <c r="O19" i="47"/>
  <c r="N22" i="47"/>
  <c r="Q18" i="47"/>
  <c r="Y18" i="47"/>
  <c r="AG18" i="47"/>
  <c r="P19" i="47"/>
  <c r="O22" i="47"/>
  <c r="R18" i="47"/>
  <c r="Z18" i="47"/>
  <c r="Q19" i="47"/>
  <c r="P22" i="47"/>
  <c r="C56" i="44"/>
  <c r="H38" i="44"/>
  <c r="I38" i="44" s="1"/>
  <c r="J38" i="44" s="1"/>
  <c r="K38" i="44" s="1"/>
  <c r="B28" i="44"/>
  <c r="B27" i="44"/>
  <c r="B26" i="44"/>
  <c r="C19" i="44"/>
  <c r="B19" i="44"/>
  <c r="C18" i="44"/>
  <c r="B18" i="44"/>
  <c r="C17" i="44"/>
  <c r="B17" i="44"/>
  <c r="D13" i="44"/>
  <c r="C13" i="44"/>
  <c r="D9" i="44"/>
  <c r="H37" i="44"/>
  <c r="I37" i="44" s="1"/>
  <c r="J37" i="44" s="1"/>
  <c r="D8" i="44"/>
  <c r="D7" i="44"/>
  <c r="H2" i="44"/>
  <c r="I2" i="44" s="1"/>
  <c r="J2" i="44" s="1"/>
  <c r="K2" i="44" s="1"/>
  <c r="L2" i="44" s="1"/>
  <c r="M2" i="44" s="1"/>
  <c r="N2" i="44" s="1"/>
  <c r="O2" i="44" s="1"/>
  <c r="P2" i="44" s="1"/>
  <c r="Q2" i="44" s="1"/>
  <c r="R2" i="44" s="1"/>
  <c r="S2" i="44" s="1"/>
  <c r="T2" i="44" s="1"/>
  <c r="U2" i="44" s="1"/>
  <c r="V2" i="44" s="1"/>
  <c r="W2" i="44" s="1"/>
  <c r="X2" i="44" s="1"/>
  <c r="Y2" i="44" s="1"/>
  <c r="Z2" i="44" s="1"/>
  <c r="AA2" i="44" s="1"/>
  <c r="AB2" i="44" s="1"/>
  <c r="AC2" i="44" s="1"/>
  <c r="AD2" i="44" s="1"/>
  <c r="AE2" i="44" s="1"/>
  <c r="AF2" i="44" s="1"/>
  <c r="AG2" i="44" s="1"/>
  <c r="AH2" i="44" s="1"/>
  <c r="AI2" i="44" s="1"/>
  <c r="AJ2" i="44" s="1"/>
  <c r="AK2" i="44" s="1"/>
  <c r="AL2" i="44" s="1"/>
  <c r="AM2" i="44" s="1"/>
  <c r="AN2" i="44" s="1"/>
  <c r="AO2" i="44" s="1"/>
  <c r="AP2" i="44" s="1"/>
  <c r="AQ2" i="44" s="1"/>
  <c r="AR2" i="44" s="1"/>
  <c r="AS2" i="44" s="1"/>
  <c r="AT2" i="44" s="1"/>
  <c r="C56" i="43"/>
  <c r="D56" i="43"/>
  <c r="D36" i="43" s="1"/>
  <c r="D17" i="43" s="1"/>
  <c r="B28" i="43"/>
  <c r="B27" i="43"/>
  <c r="B26" i="43"/>
  <c r="C19" i="43"/>
  <c r="B19" i="43"/>
  <c r="C18" i="43"/>
  <c r="B18" i="43"/>
  <c r="C17" i="43"/>
  <c r="B17" i="43"/>
  <c r="D13" i="43"/>
  <c r="C13" i="43"/>
  <c r="D9" i="43"/>
  <c r="D8" i="43"/>
  <c r="D7" i="43"/>
  <c r="H2" i="43"/>
  <c r="I2" i="43" s="1"/>
  <c r="J2" i="43" s="1"/>
  <c r="K2" i="43" s="1"/>
  <c r="L2" i="43" s="1"/>
  <c r="M2" i="43" s="1"/>
  <c r="N2" i="43" s="1"/>
  <c r="O2" i="43" s="1"/>
  <c r="P2" i="43" s="1"/>
  <c r="Q2" i="43" s="1"/>
  <c r="R2" i="43" s="1"/>
  <c r="S2" i="43" s="1"/>
  <c r="T2" i="43" s="1"/>
  <c r="U2" i="43" s="1"/>
  <c r="V2" i="43" s="1"/>
  <c r="W2" i="43" s="1"/>
  <c r="X2" i="43" s="1"/>
  <c r="Y2" i="43" s="1"/>
  <c r="Z2" i="43" s="1"/>
  <c r="AA2" i="43" s="1"/>
  <c r="AB2" i="43" s="1"/>
  <c r="AC2" i="43" s="1"/>
  <c r="AD2" i="43" s="1"/>
  <c r="AE2" i="43" s="1"/>
  <c r="AF2" i="43" s="1"/>
  <c r="AG2" i="43" s="1"/>
  <c r="AH2" i="43" s="1"/>
  <c r="AI2" i="43" s="1"/>
  <c r="AJ2" i="43" s="1"/>
  <c r="AK2" i="43" s="1"/>
  <c r="AL2" i="43" s="1"/>
  <c r="AM2" i="43" s="1"/>
  <c r="AN2" i="43" s="1"/>
  <c r="AO2" i="43" s="1"/>
  <c r="AP2" i="43" s="1"/>
  <c r="AQ2" i="43" s="1"/>
  <c r="AR2" i="43" s="1"/>
  <c r="AS2" i="43" s="1"/>
  <c r="AT2" i="43" s="1"/>
  <c r="D34" i="46" l="1"/>
  <c r="H26" i="45"/>
  <c r="D32" i="45" s="1"/>
  <c r="K26" i="46"/>
  <c r="E32" i="46" s="1"/>
  <c r="E34" i="46" s="1"/>
  <c r="E37" i="46" s="1"/>
  <c r="M22" i="46"/>
  <c r="D34" i="47"/>
  <c r="S16" i="47"/>
  <c r="R19" i="47"/>
  <c r="R26" i="47" s="1"/>
  <c r="L32" i="47" s="1"/>
  <c r="L34" i="47" s="1"/>
  <c r="L37" i="47" s="1"/>
  <c r="L26" i="46"/>
  <c r="F32" i="46" s="1"/>
  <c r="F34" i="46" s="1"/>
  <c r="F37" i="46" s="1"/>
  <c r="R25" i="47"/>
  <c r="M25" i="46"/>
  <c r="N16" i="46"/>
  <c r="M19" i="46"/>
  <c r="M26" i="46" s="1"/>
  <c r="G32" i="46" s="1"/>
  <c r="G34" i="46" s="1"/>
  <c r="G37" i="46" s="1"/>
  <c r="Q25" i="47"/>
  <c r="Q26" i="47" s="1"/>
  <c r="K32" i="47" s="1"/>
  <c r="K34" i="47" s="1"/>
  <c r="K37" i="47" s="1"/>
  <c r="P26" i="47"/>
  <c r="J32" i="47" s="1"/>
  <c r="J34" i="47" s="1"/>
  <c r="J37" i="47" s="1"/>
  <c r="I22" i="45"/>
  <c r="J16" i="45"/>
  <c r="I17" i="45"/>
  <c r="I26" i="45" s="1"/>
  <c r="E32" i="45" s="1"/>
  <c r="E34" i="45" s="1"/>
  <c r="E37" i="45" s="1"/>
  <c r="H38" i="43"/>
  <c r="I38" i="43" s="1"/>
  <c r="J38" i="43" s="1"/>
  <c r="K38" i="43" s="1"/>
  <c r="L38" i="43" s="1"/>
  <c r="M38" i="43" s="1"/>
  <c r="N38" i="43" s="1"/>
  <c r="O38" i="43" s="1"/>
  <c r="P38" i="43" s="1"/>
  <c r="Q38" i="43" s="1"/>
  <c r="R38" i="43" s="1"/>
  <c r="S38" i="43" s="1"/>
  <c r="T38" i="43" s="1"/>
  <c r="U38" i="43" s="1"/>
  <c r="V38" i="43" s="1"/>
  <c r="W38" i="43" s="1"/>
  <c r="X38" i="43" s="1"/>
  <c r="Y38" i="43" s="1"/>
  <c r="Z38" i="43" s="1"/>
  <c r="AA38" i="43" s="1"/>
  <c r="AB38" i="43" s="1"/>
  <c r="AC38" i="43" s="1"/>
  <c r="AD38" i="43" s="1"/>
  <c r="AE38" i="43" s="1"/>
  <c r="AF38" i="43" s="1"/>
  <c r="AG38" i="43" s="1"/>
  <c r="AH38" i="43" s="1"/>
  <c r="AI38" i="43" s="1"/>
  <c r="AJ38" i="43" s="1"/>
  <c r="AK38" i="43" s="1"/>
  <c r="AL38" i="43" s="1"/>
  <c r="AM38" i="43" s="1"/>
  <c r="AN38" i="43" s="1"/>
  <c r="AO38" i="43" s="1"/>
  <c r="AP38" i="43" s="1"/>
  <c r="AQ38" i="43" s="1"/>
  <c r="AR38" i="43" s="1"/>
  <c r="AS38" i="43" s="1"/>
  <c r="AT38" i="43" s="1"/>
  <c r="K37" i="44"/>
  <c r="L37" i="44" s="1"/>
  <c r="M37" i="44" s="1"/>
  <c r="N37" i="44" s="1"/>
  <c r="O37" i="44" s="1"/>
  <c r="P37" i="44" s="1"/>
  <c r="Q37" i="44" s="1"/>
  <c r="R37" i="44" s="1"/>
  <c r="S37" i="44" s="1"/>
  <c r="T37" i="44" s="1"/>
  <c r="U37" i="44" s="1"/>
  <c r="V37" i="44" s="1"/>
  <c r="W37" i="44" s="1"/>
  <c r="X37" i="44" s="1"/>
  <c r="Y37" i="44" s="1"/>
  <c r="Z37" i="44" s="1"/>
  <c r="AA37" i="44" s="1"/>
  <c r="AB37" i="44" s="1"/>
  <c r="AC37" i="44" s="1"/>
  <c r="AD37" i="44" s="1"/>
  <c r="AE37" i="44" s="1"/>
  <c r="AF37" i="44" s="1"/>
  <c r="AG37" i="44" s="1"/>
  <c r="AH37" i="44" s="1"/>
  <c r="AI37" i="44" s="1"/>
  <c r="AJ37" i="44" s="1"/>
  <c r="AK37" i="44" s="1"/>
  <c r="AL37" i="44" s="1"/>
  <c r="AM37" i="44" s="1"/>
  <c r="AN37" i="44" s="1"/>
  <c r="AO37" i="44" s="1"/>
  <c r="AP37" i="44" s="1"/>
  <c r="AQ37" i="44" s="1"/>
  <c r="AR37" i="44" s="1"/>
  <c r="AS37" i="44" s="1"/>
  <c r="AT37" i="44" s="1"/>
  <c r="D56" i="44"/>
  <c r="D36" i="44" s="1"/>
  <c r="D17" i="44" s="1"/>
  <c r="G17" i="44" s="1"/>
  <c r="F56" i="44"/>
  <c r="D38" i="44" s="1"/>
  <c r="D19" i="44" s="1"/>
  <c r="L38" i="44"/>
  <c r="M38" i="44" s="1"/>
  <c r="N38" i="44" s="1"/>
  <c r="O38" i="44" s="1"/>
  <c r="P38" i="44" s="1"/>
  <c r="Q38" i="44" s="1"/>
  <c r="R38" i="44" s="1"/>
  <c r="S38" i="44" s="1"/>
  <c r="T38" i="44" s="1"/>
  <c r="U38" i="44" s="1"/>
  <c r="V38" i="44" s="1"/>
  <c r="W38" i="44" s="1"/>
  <c r="X38" i="44" s="1"/>
  <c r="Y38" i="44" s="1"/>
  <c r="Z38" i="44" s="1"/>
  <c r="AA38" i="44" s="1"/>
  <c r="AB38" i="44" s="1"/>
  <c r="AC38" i="44" s="1"/>
  <c r="AD38" i="44" s="1"/>
  <c r="AE38" i="44" s="1"/>
  <c r="AF38" i="44" s="1"/>
  <c r="AG38" i="44" s="1"/>
  <c r="AH38" i="44" s="1"/>
  <c r="AI38" i="44" s="1"/>
  <c r="AJ38" i="44" s="1"/>
  <c r="AK38" i="44" s="1"/>
  <c r="AL38" i="44" s="1"/>
  <c r="AM38" i="44" s="1"/>
  <c r="AN38" i="44" s="1"/>
  <c r="AO38" i="44" s="1"/>
  <c r="AP38" i="44" s="1"/>
  <c r="AQ38" i="44" s="1"/>
  <c r="AR38" i="44" s="1"/>
  <c r="AS38" i="44" s="1"/>
  <c r="AT38" i="44" s="1"/>
  <c r="AT19" i="44" s="1"/>
  <c r="E56" i="44"/>
  <c r="D37" i="44" s="1"/>
  <c r="D18" i="44" s="1"/>
  <c r="AO18" i="44" s="1"/>
  <c r="I19" i="44"/>
  <c r="H19" i="44"/>
  <c r="G33" i="44"/>
  <c r="G6" i="44" s="1"/>
  <c r="H36" i="44"/>
  <c r="H37" i="43"/>
  <c r="I37" i="43" s="1"/>
  <c r="J37" i="43" s="1"/>
  <c r="K37" i="43" s="1"/>
  <c r="L37" i="43" s="1"/>
  <c r="M37" i="43" s="1"/>
  <c r="N37" i="43" s="1"/>
  <c r="O37" i="43" s="1"/>
  <c r="P37" i="43" s="1"/>
  <c r="Q37" i="43" s="1"/>
  <c r="R37" i="43" s="1"/>
  <c r="S37" i="43" s="1"/>
  <c r="T37" i="43" s="1"/>
  <c r="U37" i="43" s="1"/>
  <c r="V37" i="43" s="1"/>
  <c r="W37" i="43" s="1"/>
  <c r="X37" i="43" s="1"/>
  <c r="Y37" i="43" s="1"/>
  <c r="Z37" i="43" s="1"/>
  <c r="AA37" i="43" s="1"/>
  <c r="AB37" i="43" s="1"/>
  <c r="AC37" i="43" s="1"/>
  <c r="AD37" i="43" s="1"/>
  <c r="AE37" i="43" s="1"/>
  <c r="AF37" i="43" s="1"/>
  <c r="AG37" i="43" s="1"/>
  <c r="AH37" i="43" s="1"/>
  <c r="AI37" i="43" s="1"/>
  <c r="AJ37" i="43" s="1"/>
  <c r="AK37" i="43" s="1"/>
  <c r="AL37" i="43" s="1"/>
  <c r="AM37" i="43" s="1"/>
  <c r="AN37" i="43" s="1"/>
  <c r="AO37" i="43" s="1"/>
  <c r="AP37" i="43" s="1"/>
  <c r="AQ37" i="43" s="1"/>
  <c r="AR37" i="43" s="1"/>
  <c r="AS37" i="43" s="1"/>
  <c r="AT37" i="43" s="1"/>
  <c r="G33" i="43"/>
  <c r="G6" i="43" s="1"/>
  <c r="H36" i="43"/>
  <c r="G17" i="43"/>
  <c r="F56" i="43"/>
  <c r="D38" i="43" s="1"/>
  <c r="D19" i="43" s="1"/>
  <c r="E56" i="43"/>
  <c r="D37" i="43" s="1"/>
  <c r="D18" i="43" s="1"/>
  <c r="T16" i="47" l="1"/>
  <c r="S22" i="47"/>
  <c r="S19" i="47"/>
  <c r="S25" i="47"/>
  <c r="D34" i="45"/>
  <c r="O16" i="46"/>
  <c r="N19" i="46"/>
  <c r="N25" i="46"/>
  <c r="N22" i="46"/>
  <c r="D37" i="46"/>
  <c r="J22" i="45"/>
  <c r="J25" i="45"/>
  <c r="J19" i="45"/>
  <c r="K16" i="45"/>
  <c r="J17" i="45"/>
  <c r="D37" i="47"/>
  <c r="AR19" i="44"/>
  <c r="AJ18" i="44"/>
  <c r="AR18" i="44"/>
  <c r="Q19" i="44"/>
  <c r="O18" i="44"/>
  <c r="Y19" i="44"/>
  <c r="AE19" i="44"/>
  <c r="AP18" i="44"/>
  <c r="M19" i="44"/>
  <c r="AM19" i="44"/>
  <c r="AS18" i="44"/>
  <c r="AB18" i="44"/>
  <c r="AD18" i="44"/>
  <c r="G18" i="44"/>
  <c r="G14" i="44" s="1"/>
  <c r="G4" i="44" s="1"/>
  <c r="D5" i="10" s="1"/>
  <c r="N18" i="44"/>
  <c r="V18" i="44"/>
  <c r="AM18" i="44"/>
  <c r="AE18" i="44"/>
  <c r="S18" i="44"/>
  <c r="AL18" i="44"/>
  <c r="AT18" i="44"/>
  <c r="H17" i="44"/>
  <c r="L19" i="44"/>
  <c r="T18" i="44"/>
  <c r="AF18" i="44"/>
  <c r="AN19" i="44"/>
  <c r="W19" i="44"/>
  <c r="U19" i="44"/>
  <c r="Z19" i="44"/>
  <c r="N19" i="44"/>
  <c r="O19" i="44"/>
  <c r="AN18" i="44"/>
  <c r="AH19" i="44"/>
  <c r="V19" i="44"/>
  <c r="AP19" i="44"/>
  <c r="AD19" i="44"/>
  <c r="AJ19" i="44"/>
  <c r="AL19" i="44"/>
  <c r="M18" i="44"/>
  <c r="I18" i="44"/>
  <c r="AG19" i="44"/>
  <c r="S19" i="44"/>
  <c r="AC19" i="44"/>
  <c r="Q18" i="44"/>
  <c r="P19" i="44"/>
  <c r="AO19" i="44"/>
  <c r="AA19" i="44"/>
  <c r="AK19" i="44"/>
  <c r="T19" i="44"/>
  <c r="AI18" i="44"/>
  <c r="U18" i="44"/>
  <c r="H18" i="44"/>
  <c r="AQ18" i="44"/>
  <c r="P18" i="44"/>
  <c r="AH18" i="44"/>
  <c r="AI19" i="44"/>
  <c r="AS19" i="44"/>
  <c r="G19" i="44"/>
  <c r="AA18" i="44"/>
  <c r="W18" i="44"/>
  <c r="R18" i="44"/>
  <c r="Z18" i="44"/>
  <c r="AC18" i="44"/>
  <c r="Y18" i="44"/>
  <c r="X19" i="44"/>
  <c r="L18" i="44"/>
  <c r="AK18" i="44"/>
  <c r="X18" i="44"/>
  <c r="AG18" i="44"/>
  <c r="AF19" i="44"/>
  <c r="R19" i="44"/>
  <c r="AQ19" i="44"/>
  <c r="AB19" i="44"/>
  <c r="H33" i="44"/>
  <c r="H6" i="44" s="1"/>
  <c r="I36" i="44"/>
  <c r="H33" i="43"/>
  <c r="H6" i="43" s="1"/>
  <c r="I36" i="43"/>
  <c r="AO18" i="43"/>
  <c r="AG18" i="43"/>
  <c r="Y18" i="43"/>
  <c r="Q18" i="43"/>
  <c r="AS18" i="43"/>
  <c r="AK18" i="43"/>
  <c r="AC18" i="43"/>
  <c r="U18" i="43"/>
  <c r="M18" i="43"/>
  <c r="AQ18" i="43"/>
  <c r="AI18" i="43"/>
  <c r="AA18" i="43"/>
  <c r="S18" i="43"/>
  <c r="K18" i="43"/>
  <c r="AP18" i="43"/>
  <c r="AH18" i="43"/>
  <c r="Z18" i="43"/>
  <c r="R18" i="43"/>
  <c r="AF18" i="43"/>
  <c r="P18" i="43"/>
  <c r="AR18" i="43"/>
  <c r="L18" i="43"/>
  <c r="AE18" i="43"/>
  <c r="O18" i="43"/>
  <c r="AD18" i="43"/>
  <c r="N18" i="43"/>
  <c r="AN18" i="43"/>
  <c r="W18" i="43"/>
  <c r="AT18" i="43"/>
  <c r="AB18" i="43"/>
  <c r="X18" i="43"/>
  <c r="AM18" i="43"/>
  <c r="AL18" i="43"/>
  <c r="AJ18" i="43"/>
  <c r="T18" i="43"/>
  <c r="H18" i="43"/>
  <c r="G18" i="43"/>
  <c r="V18" i="43"/>
  <c r="AT19" i="43"/>
  <c r="AL19" i="43"/>
  <c r="AD19" i="43"/>
  <c r="V19" i="43"/>
  <c r="N19" i="43"/>
  <c r="AP19" i="43"/>
  <c r="AH19" i="43"/>
  <c r="Z19" i="43"/>
  <c r="R19" i="43"/>
  <c r="AN19" i="43"/>
  <c r="AF19" i="43"/>
  <c r="X19" i="43"/>
  <c r="P19" i="43"/>
  <c r="H19" i="43"/>
  <c r="AM19" i="43"/>
  <c r="AE19" i="43"/>
  <c r="W19" i="43"/>
  <c r="O19" i="43"/>
  <c r="G19" i="43"/>
  <c r="AK19" i="43"/>
  <c r="U19" i="43"/>
  <c r="AG19" i="43"/>
  <c r="M19" i="43"/>
  <c r="AJ19" i="43"/>
  <c r="T19" i="43"/>
  <c r="S19" i="43"/>
  <c r="Q19" i="43"/>
  <c r="AS19" i="43"/>
  <c r="AC19" i="43"/>
  <c r="AR19" i="43"/>
  <c r="K19" i="43"/>
  <c r="AI19" i="43"/>
  <c r="AA19" i="43"/>
  <c r="AO19" i="43"/>
  <c r="Y19" i="43"/>
  <c r="AB19" i="43"/>
  <c r="L19" i="43"/>
  <c r="AQ19" i="43"/>
  <c r="H17" i="43"/>
  <c r="D37" i="45" l="1"/>
  <c r="J26" i="45"/>
  <c r="F32" i="45" s="1"/>
  <c r="S26" i="47"/>
  <c r="M32" i="47" s="1"/>
  <c r="L16" i="45"/>
  <c r="K25" i="45"/>
  <c r="K22" i="45"/>
  <c r="K17" i="45"/>
  <c r="K19" i="45"/>
  <c r="N26" i="46"/>
  <c r="H32" i="46" s="1"/>
  <c r="P16" i="46"/>
  <c r="O19" i="46"/>
  <c r="O25" i="46"/>
  <c r="O22" i="46"/>
  <c r="T22" i="47"/>
  <c r="U16" i="47"/>
  <c r="T19" i="47"/>
  <c r="T25" i="47"/>
  <c r="H14" i="43"/>
  <c r="H4" i="43" s="1"/>
  <c r="E5" i="42" s="1"/>
  <c r="G14" i="43"/>
  <c r="G4" i="43" s="1"/>
  <c r="D5" i="42" s="1"/>
  <c r="H14" i="44"/>
  <c r="H4" i="44" s="1"/>
  <c r="E5" i="10" s="1"/>
  <c r="I33" i="44"/>
  <c r="I6" i="44" s="1"/>
  <c r="J36" i="44"/>
  <c r="I17" i="44"/>
  <c r="I14" i="44" s="1"/>
  <c r="I4" i="44" s="1"/>
  <c r="F5" i="10" s="1"/>
  <c r="I33" i="43"/>
  <c r="I6" i="43" s="1"/>
  <c r="J36" i="43"/>
  <c r="O26" i="46" l="1"/>
  <c r="I32" i="46" s="1"/>
  <c r="I34" i="46" s="1"/>
  <c r="I37" i="46" s="1"/>
  <c r="M34" i="47"/>
  <c r="Q16" i="46"/>
  <c r="P19" i="46"/>
  <c r="P22" i="46"/>
  <c r="P25" i="46"/>
  <c r="F34" i="45"/>
  <c r="T26" i="47"/>
  <c r="N32" i="47" s="1"/>
  <c r="N34" i="47" s="1"/>
  <c r="N37" i="47" s="1"/>
  <c r="H34" i="46"/>
  <c r="K26" i="45"/>
  <c r="G32" i="45" s="1"/>
  <c r="G34" i="45" s="1"/>
  <c r="G37" i="45" s="1"/>
  <c r="M16" i="45"/>
  <c r="L17" i="45"/>
  <c r="L19" i="45"/>
  <c r="L22" i="45"/>
  <c r="L25" i="45"/>
  <c r="U19" i="47"/>
  <c r="V16" i="47"/>
  <c r="U25" i="47"/>
  <c r="U22" i="47"/>
  <c r="K36" i="44"/>
  <c r="J33" i="44"/>
  <c r="J6" i="44" s="1"/>
  <c r="K36" i="43"/>
  <c r="J33" i="43"/>
  <c r="J6" i="43" s="1"/>
  <c r="L26" i="45" l="1"/>
  <c r="H32" i="45" s="1"/>
  <c r="H34" i="45" s="1"/>
  <c r="H37" i="45" s="1"/>
  <c r="N16" i="45"/>
  <c r="M22" i="45"/>
  <c r="M19" i="45"/>
  <c r="M25" i="45"/>
  <c r="M17" i="45"/>
  <c r="P26" i="46"/>
  <c r="J32" i="46" s="1"/>
  <c r="U26" i="47"/>
  <c r="O32" i="47" s="1"/>
  <c r="H37" i="46"/>
  <c r="F37" i="45"/>
  <c r="W16" i="47"/>
  <c r="V22" i="47"/>
  <c r="V19" i="47"/>
  <c r="V25" i="47"/>
  <c r="R16" i="46"/>
  <c r="Q19" i="46"/>
  <c r="Q25" i="46"/>
  <c r="Q22" i="46"/>
  <c r="M37" i="47"/>
  <c r="L36" i="44"/>
  <c r="K33" i="44"/>
  <c r="K6" i="44" s="1"/>
  <c r="L36" i="43"/>
  <c r="K33" i="43"/>
  <c r="K6" i="43" s="1"/>
  <c r="K17" i="43"/>
  <c r="K14" i="43" s="1"/>
  <c r="K4" i="43" s="1"/>
  <c r="H5" i="42" s="1"/>
  <c r="J34" i="46" l="1"/>
  <c r="M26" i="45"/>
  <c r="I32" i="45" s="1"/>
  <c r="V26" i="47"/>
  <c r="P32" i="47" s="1"/>
  <c r="P34" i="47" s="1"/>
  <c r="P37" i="47" s="1"/>
  <c r="X16" i="47"/>
  <c r="W25" i="47"/>
  <c r="W19" i="47"/>
  <c r="W26" i="47" s="1"/>
  <c r="Q32" i="47" s="1"/>
  <c r="Q34" i="47" s="1"/>
  <c r="Q37" i="47" s="1"/>
  <c r="W22" i="47"/>
  <c r="O34" i="47"/>
  <c r="Q26" i="46"/>
  <c r="K32" i="46" s="1"/>
  <c r="K34" i="46" s="1"/>
  <c r="K37" i="46" s="1"/>
  <c r="O16" i="45"/>
  <c r="N22" i="45"/>
  <c r="N19" i="45"/>
  <c r="N17" i="45"/>
  <c r="N26" i="45" s="1"/>
  <c r="J32" i="45" s="1"/>
  <c r="J34" i="45" s="1"/>
  <c r="J37" i="45" s="1"/>
  <c r="N25" i="45"/>
  <c r="S16" i="46"/>
  <c r="R19" i="46"/>
  <c r="R25" i="46"/>
  <c r="R22" i="46"/>
  <c r="M36" i="44"/>
  <c r="L33" i="44"/>
  <c r="L6" i="44" s="1"/>
  <c r="L17" i="44"/>
  <c r="L14" i="44" s="1"/>
  <c r="L4" i="44" s="1"/>
  <c r="I5" i="10" s="1"/>
  <c r="L33" i="43"/>
  <c r="L6" i="43" s="1"/>
  <c r="M36" i="43"/>
  <c r="L17" i="43"/>
  <c r="L14" i="43" s="1"/>
  <c r="L4" i="43" s="1"/>
  <c r="I5" i="42" s="1"/>
  <c r="P16" i="45" l="1"/>
  <c r="O17" i="45"/>
  <c r="O19" i="45"/>
  <c r="O22" i="45"/>
  <c r="O25" i="45"/>
  <c r="R26" i="46"/>
  <c r="L32" i="46" s="1"/>
  <c r="L34" i="46" s="1"/>
  <c r="L37" i="46" s="1"/>
  <c r="I34" i="45"/>
  <c r="Y16" i="47"/>
  <c r="X19" i="47"/>
  <c r="X25" i="47"/>
  <c r="X22" i="47"/>
  <c r="O37" i="47"/>
  <c r="T16" i="46"/>
  <c r="S22" i="46"/>
  <c r="S19" i="46"/>
  <c r="S25" i="46"/>
  <c r="J37" i="46"/>
  <c r="N36" i="44"/>
  <c r="M33" i="44"/>
  <c r="M6" i="44" s="1"/>
  <c r="M17" i="44"/>
  <c r="M14" i="44" s="1"/>
  <c r="M4" i="44" s="1"/>
  <c r="J5" i="10" s="1"/>
  <c r="N36" i="43"/>
  <c r="M33" i="43"/>
  <c r="M6" i="43" s="1"/>
  <c r="M17" i="43"/>
  <c r="M14" i="43" s="1"/>
  <c r="M4" i="43" s="1"/>
  <c r="J5" i="42" s="1"/>
  <c r="X26" i="47" l="1"/>
  <c r="R32" i="47" s="1"/>
  <c r="R34" i="47" s="1"/>
  <c r="I37" i="45"/>
  <c r="Z16" i="47"/>
  <c r="Y25" i="47"/>
  <c r="Y19" i="47"/>
  <c r="Y26" i="47" s="1"/>
  <c r="S32" i="47" s="1"/>
  <c r="S34" i="47" s="1"/>
  <c r="S37" i="47" s="1"/>
  <c r="Y22" i="47"/>
  <c r="O26" i="45"/>
  <c r="K32" i="45" s="1"/>
  <c r="S26" i="46"/>
  <c r="M32" i="46" s="1"/>
  <c r="M34" i="46" s="1"/>
  <c r="U16" i="46"/>
  <c r="T22" i="46"/>
  <c r="T19" i="46"/>
  <c r="T25" i="46"/>
  <c r="Q16" i="45"/>
  <c r="P25" i="45"/>
  <c r="P22" i="45"/>
  <c r="P17" i="45"/>
  <c r="P19" i="45"/>
  <c r="O36" i="44"/>
  <c r="N33" i="44"/>
  <c r="N6" i="44" s="1"/>
  <c r="N17" i="44"/>
  <c r="N14" i="44" s="1"/>
  <c r="N4" i="44" s="1"/>
  <c r="K5" i="10" s="1"/>
  <c r="O36" i="43"/>
  <c r="N33" i="43"/>
  <c r="N6" i="43" s="1"/>
  <c r="N17" i="43"/>
  <c r="N14" i="43" s="1"/>
  <c r="N4" i="43" s="1"/>
  <c r="K5" i="42" s="1"/>
  <c r="Q17" i="45" l="1"/>
  <c r="R16" i="45"/>
  <c r="Q25" i="45"/>
  <c r="Q22" i="45"/>
  <c r="Q19" i="45"/>
  <c r="T26" i="46"/>
  <c r="N32" i="46" s="1"/>
  <c r="N34" i="46" s="1"/>
  <c r="N37" i="46" s="1"/>
  <c r="AA16" i="47"/>
  <c r="Z19" i="47"/>
  <c r="Z26" i="47" s="1"/>
  <c r="T32" i="47" s="1"/>
  <c r="T34" i="47" s="1"/>
  <c r="T37" i="47" s="1"/>
  <c r="Z25" i="47"/>
  <c r="Z22" i="47"/>
  <c r="M37" i="46"/>
  <c r="K34" i="45"/>
  <c r="R37" i="47"/>
  <c r="V16" i="46"/>
  <c r="U19" i="46"/>
  <c r="U25" i="46"/>
  <c r="U22" i="46"/>
  <c r="P26" i="45"/>
  <c r="L32" i="45" s="1"/>
  <c r="L34" i="45" s="1"/>
  <c r="L37" i="45" s="1"/>
  <c r="O33" i="44"/>
  <c r="O6" i="44" s="1"/>
  <c r="P36" i="44"/>
  <c r="O17" i="44"/>
  <c r="O14" i="44" s="1"/>
  <c r="O4" i="44" s="1"/>
  <c r="L5" i="10" s="1"/>
  <c r="P36" i="43"/>
  <c r="O33" i="43"/>
  <c r="O6" i="43" s="1"/>
  <c r="O17" i="43"/>
  <c r="O14" i="43" s="1"/>
  <c r="O4" i="43" s="1"/>
  <c r="L5" i="42" s="1"/>
  <c r="AB16" i="47" l="1"/>
  <c r="AA22" i="47"/>
  <c r="AA19" i="47"/>
  <c r="AA26" i="47" s="1"/>
  <c r="U32" i="47" s="1"/>
  <c r="U34" i="47" s="1"/>
  <c r="U37" i="47" s="1"/>
  <c r="AA25" i="47"/>
  <c r="U26" i="46"/>
  <c r="O32" i="46" s="1"/>
  <c r="O34" i="46" s="1"/>
  <c r="O37" i="46" s="1"/>
  <c r="R19" i="45"/>
  <c r="S16" i="45"/>
  <c r="R25" i="45"/>
  <c r="R22" i="45"/>
  <c r="R17" i="45"/>
  <c r="K37" i="45"/>
  <c r="W16" i="46"/>
  <c r="V25" i="46"/>
  <c r="V22" i="46"/>
  <c r="V19" i="46"/>
  <c r="Q26" i="45"/>
  <c r="M32" i="45" s="1"/>
  <c r="M34" i="45" s="1"/>
  <c r="M37" i="45" s="1"/>
  <c r="P33" i="44"/>
  <c r="P6" i="44" s="1"/>
  <c r="Q36" i="44"/>
  <c r="P17" i="44"/>
  <c r="P14" i="44" s="1"/>
  <c r="P4" i="44" s="1"/>
  <c r="M5" i="10" s="1"/>
  <c r="P33" i="43"/>
  <c r="P6" i="43" s="1"/>
  <c r="Q36" i="43"/>
  <c r="P17" i="43"/>
  <c r="P14" i="43" s="1"/>
  <c r="P4" i="43" s="1"/>
  <c r="M5" i="42" s="1"/>
  <c r="X16" i="46" l="1"/>
  <c r="W25" i="46"/>
  <c r="W19" i="46"/>
  <c r="W22" i="46"/>
  <c r="S25" i="45"/>
  <c r="T16" i="45"/>
  <c r="S17" i="45"/>
  <c r="S26" i="45" s="1"/>
  <c r="O32" i="45" s="1"/>
  <c r="O34" i="45" s="1"/>
  <c r="O37" i="45" s="1"/>
  <c r="S22" i="45"/>
  <c r="S19" i="45"/>
  <c r="R26" i="45"/>
  <c r="N32" i="45" s="1"/>
  <c r="N34" i="45" s="1"/>
  <c r="V26" i="46"/>
  <c r="P32" i="46" s="1"/>
  <c r="P34" i="46" s="1"/>
  <c r="P37" i="46" s="1"/>
  <c r="AB22" i="47"/>
  <c r="AC16" i="47"/>
  <c r="AB19" i="47"/>
  <c r="AB25" i="47"/>
  <c r="Q33" i="44"/>
  <c r="Q6" i="44" s="1"/>
  <c r="R36" i="44"/>
  <c r="Q17" i="44"/>
  <c r="Q14" i="44" s="1"/>
  <c r="Q4" i="44" s="1"/>
  <c r="N5" i="10" s="1"/>
  <c r="Q33" i="43"/>
  <c r="Q6" i="43" s="1"/>
  <c r="R36" i="43"/>
  <c r="Q17" i="43"/>
  <c r="Q14" i="43" s="1"/>
  <c r="Q4" i="43" s="1"/>
  <c r="N5" i="42" s="1"/>
  <c r="AB26" i="47" l="1"/>
  <c r="V32" i="47" s="1"/>
  <c r="V34" i="47" s="1"/>
  <c r="V37" i="47" s="1"/>
  <c r="U16" i="45"/>
  <c r="T19" i="45"/>
  <c r="T17" i="45"/>
  <c r="T26" i="45" s="1"/>
  <c r="P32" i="45" s="1"/>
  <c r="P34" i="45" s="1"/>
  <c r="P37" i="45" s="1"/>
  <c r="T25" i="45"/>
  <c r="T22" i="45"/>
  <c r="AC19" i="47"/>
  <c r="AC26" i="47" s="1"/>
  <c r="W32" i="47" s="1"/>
  <c r="W34" i="47" s="1"/>
  <c r="W37" i="47" s="1"/>
  <c r="AD16" i="47"/>
  <c r="AC22" i="47"/>
  <c r="AC25" i="47"/>
  <c r="N37" i="45"/>
  <c r="W26" i="46"/>
  <c r="Q32" i="46" s="1"/>
  <c r="Q34" i="46" s="1"/>
  <c r="Q37" i="46" s="1"/>
  <c r="Y16" i="46"/>
  <c r="X22" i="46"/>
  <c r="X25" i="46"/>
  <c r="X19" i="46"/>
  <c r="S36" i="44"/>
  <c r="R33" i="44"/>
  <c r="R6" i="44" s="1"/>
  <c r="R17" i="44"/>
  <c r="R14" i="44" s="1"/>
  <c r="R4" i="44" s="1"/>
  <c r="O5" i="10" s="1"/>
  <c r="S36" i="43"/>
  <c r="R33" i="43"/>
  <c r="R6" i="43" s="1"/>
  <c r="R17" i="43"/>
  <c r="R14" i="43" s="1"/>
  <c r="R4" i="43" s="1"/>
  <c r="O5" i="42" s="1"/>
  <c r="AE16" i="47" l="1"/>
  <c r="AD22" i="47"/>
  <c r="AD25" i="47"/>
  <c r="AD19" i="47"/>
  <c r="AD26" i="47" s="1"/>
  <c r="X32" i="47" s="1"/>
  <c r="X34" i="47" s="1"/>
  <c r="X37" i="47" s="1"/>
  <c r="Z16" i="46"/>
  <c r="Y19" i="46"/>
  <c r="Y22" i="46"/>
  <c r="Y25" i="46"/>
  <c r="V16" i="45"/>
  <c r="U19" i="45"/>
  <c r="U22" i="45"/>
  <c r="U25" i="45"/>
  <c r="U17" i="45"/>
  <c r="U26" i="45" s="1"/>
  <c r="Q32" i="45" s="1"/>
  <c r="Q34" i="45" s="1"/>
  <c r="Q37" i="45" s="1"/>
  <c r="X26" i="46"/>
  <c r="R32" i="46" s="1"/>
  <c r="R34" i="46" s="1"/>
  <c r="R37" i="46" s="1"/>
  <c r="T36" i="44"/>
  <c r="S33" i="44"/>
  <c r="S6" i="44" s="1"/>
  <c r="S17" i="44"/>
  <c r="S14" i="44" s="1"/>
  <c r="S4" i="44" s="1"/>
  <c r="P5" i="10" s="1"/>
  <c r="T36" i="43"/>
  <c r="S33" i="43"/>
  <c r="S6" i="43" s="1"/>
  <c r="S17" i="43"/>
  <c r="S14" i="43" s="1"/>
  <c r="S4" i="43" s="1"/>
  <c r="P5" i="42" s="1"/>
  <c r="Y26" i="46" l="1"/>
  <c r="S32" i="46" s="1"/>
  <c r="S34" i="46" s="1"/>
  <c r="S37" i="46" s="1"/>
  <c r="AA16" i="46"/>
  <c r="Z19" i="46"/>
  <c r="Z25" i="46"/>
  <c r="Z22" i="46"/>
  <c r="W16" i="45"/>
  <c r="V22" i="45"/>
  <c r="V19" i="45"/>
  <c r="V17" i="45"/>
  <c r="V25" i="45"/>
  <c r="AF16" i="47"/>
  <c r="AE25" i="47"/>
  <c r="AE22" i="47"/>
  <c r="AE19" i="47"/>
  <c r="AE26" i="47" s="1"/>
  <c r="Y32" i="47" s="1"/>
  <c r="Y34" i="47" s="1"/>
  <c r="Y37" i="47" s="1"/>
  <c r="U36" i="44"/>
  <c r="T33" i="44"/>
  <c r="T6" i="44" s="1"/>
  <c r="T17" i="44"/>
  <c r="T14" i="44" s="1"/>
  <c r="T4" i="44" s="1"/>
  <c r="Q5" i="10" s="1"/>
  <c r="T33" i="43"/>
  <c r="T6" i="43" s="1"/>
  <c r="U36" i="43"/>
  <c r="T17" i="43"/>
  <c r="T14" i="43" s="1"/>
  <c r="T4" i="43" s="1"/>
  <c r="Q5" i="42" s="1"/>
  <c r="X16" i="45" l="1"/>
  <c r="W25" i="45"/>
  <c r="W17" i="45"/>
  <c r="W22" i="45"/>
  <c r="W19" i="45"/>
  <c r="Z26" i="46"/>
  <c r="T32" i="46" s="1"/>
  <c r="T34" i="46" s="1"/>
  <c r="T37" i="46" s="1"/>
  <c r="AG16" i="47"/>
  <c r="AF22" i="47"/>
  <c r="AF25" i="47"/>
  <c r="AF19" i="47"/>
  <c r="AB16" i="46"/>
  <c r="AA22" i="46"/>
  <c r="AA25" i="46"/>
  <c r="AA19" i="46"/>
  <c r="AA26" i="46" s="1"/>
  <c r="U32" i="46" s="1"/>
  <c r="U34" i="46" s="1"/>
  <c r="U37" i="46" s="1"/>
  <c r="V26" i="45"/>
  <c r="R32" i="45" s="1"/>
  <c r="R34" i="45" s="1"/>
  <c r="R37" i="45" s="1"/>
  <c r="V36" i="44"/>
  <c r="U33" i="44"/>
  <c r="U6" i="44" s="1"/>
  <c r="U17" i="44"/>
  <c r="U14" i="44" s="1"/>
  <c r="U4" i="44" s="1"/>
  <c r="R5" i="10" s="1"/>
  <c r="V36" i="43"/>
  <c r="U33" i="43"/>
  <c r="U6" i="43" s="1"/>
  <c r="U17" i="43"/>
  <c r="U14" i="43" s="1"/>
  <c r="U4" i="43" s="1"/>
  <c r="R5" i="42" s="1"/>
  <c r="AH16" i="47" l="1"/>
  <c r="AG25" i="47"/>
  <c r="AG19" i="47"/>
  <c r="AG22" i="47"/>
  <c r="AF26" i="47"/>
  <c r="Z32" i="47" s="1"/>
  <c r="Z34" i="47" s="1"/>
  <c r="Z37" i="47" s="1"/>
  <c r="AB19" i="46"/>
  <c r="AC16" i="46"/>
  <c r="AB22" i="46"/>
  <c r="AB25" i="46"/>
  <c r="W26" i="45"/>
  <c r="S32" i="45" s="1"/>
  <c r="S34" i="45" s="1"/>
  <c r="S37" i="45" s="1"/>
  <c r="Y16" i="45"/>
  <c r="X25" i="45"/>
  <c r="X17" i="45"/>
  <c r="X22" i="45"/>
  <c r="X19" i="45"/>
  <c r="W36" i="44"/>
  <c r="V33" i="44"/>
  <c r="V6" i="44" s="1"/>
  <c r="V17" i="44"/>
  <c r="V14" i="44" s="1"/>
  <c r="V4" i="44" s="1"/>
  <c r="S5" i="10" s="1"/>
  <c r="W36" i="43"/>
  <c r="V33" i="43"/>
  <c r="V6" i="43" s="1"/>
  <c r="V17" i="43"/>
  <c r="V14" i="43" s="1"/>
  <c r="V4" i="43" s="1"/>
  <c r="S5" i="42" s="1"/>
  <c r="AD16" i="46" l="1"/>
  <c r="AC19" i="46"/>
  <c r="AC26" i="46" s="1"/>
  <c r="W32" i="46" s="1"/>
  <c r="W34" i="46" s="1"/>
  <c r="W37" i="46" s="1"/>
  <c r="AC25" i="46"/>
  <c r="AC22" i="46"/>
  <c r="AB26" i="46"/>
  <c r="V32" i="46" s="1"/>
  <c r="V34" i="46" s="1"/>
  <c r="V37" i="46" s="1"/>
  <c r="X26" i="45"/>
  <c r="T32" i="45" s="1"/>
  <c r="T34" i="45" s="1"/>
  <c r="T37" i="45" s="1"/>
  <c r="Z16" i="45"/>
  <c r="Y17" i="45"/>
  <c r="Y25" i="45"/>
  <c r="Y22" i="45"/>
  <c r="Y19" i="45"/>
  <c r="AG26" i="47"/>
  <c r="AA32" i="47" s="1"/>
  <c r="AA34" i="47" s="1"/>
  <c r="AA37" i="47" s="1"/>
  <c r="AI16" i="47"/>
  <c r="AH19" i="47"/>
  <c r="AH25" i="47"/>
  <c r="AH22" i="47"/>
  <c r="W33" i="44"/>
  <c r="W6" i="44" s="1"/>
  <c r="X36" i="44"/>
  <c r="W17" i="44"/>
  <c r="W14" i="44" s="1"/>
  <c r="W4" i="44" s="1"/>
  <c r="T5" i="10" s="1"/>
  <c r="X36" i="43"/>
  <c r="W33" i="43"/>
  <c r="W6" i="43" s="1"/>
  <c r="W17" i="43"/>
  <c r="W14" i="43" s="1"/>
  <c r="W4" i="43" s="1"/>
  <c r="T5" i="42" s="1"/>
  <c r="AH26" i="47" l="1"/>
  <c r="AB32" i="47" s="1"/>
  <c r="AB34" i="47" s="1"/>
  <c r="AB37" i="47" s="1"/>
  <c r="Y26" i="45"/>
  <c r="U32" i="45" s="1"/>
  <c r="U34" i="45" s="1"/>
  <c r="U37" i="45" s="1"/>
  <c r="Z19" i="45"/>
  <c r="AA16" i="45"/>
  <c r="Z25" i="45"/>
  <c r="Z22" i="45"/>
  <c r="Z17" i="45"/>
  <c r="Z26" i="45" s="1"/>
  <c r="V32" i="45" s="1"/>
  <c r="V34" i="45" s="1"/>
  <c r="V37" i="45" s="1"/>
  <c r="AJ16" i="47"/>
  <c r="AI22" i="47"/>
  <c r="AI19" i="47"/>
  <c r="AI26" i="47" s="1"/>
  <c r="AC32" i="47" s="1"/>
  <c r="AC34" i="47" s="1"/>
  <c r="AC37" i="47" s="1"/>
  <c r="AI25" i="47"/>
  <c r="AE16" i="46"/>
  <c r="AD22" i="46"/>
  <c r="AD19" i="46"/>
  <c r="AD25" i="46"/>
  <c r="X33" i="44"/>
  <c r="X6" i="44" s="1"/>
  <c r="Y36" i="44"/>
  <c r="X17" i="44"/>
  <c r="X14" i="44" s="1"/>
  <c r="X4" i="44" s="1"/>
  <c r="U5" i="10" s="1"/>
  <c r="X33" i="43"/>
  <c r="X6" i="43" s="1"/>
  <c r="Y36" i="43"/>
  <c r="X17" i="43"/>
  <c r="X14" i="43" s="1"/>
  <c r="X4" i="43" s="1"/>
  <c r="U5" i="42" s="1"/>
  <c r="AD26" i="46" l="1"/>
  <c r="X32" i="46" s="1"/>
  <c r="X34" i="46" s="1"/>
  <c r="X37" i="46" s="1"/>
  <c r="AF16" i="46"/>
  <c r="AE22" i="46"/>
  <c r="AE25" i="46"/>
  <c r="AE19" i="46"/>
  <c r="AE26" i="46" s="1"/>
  <c r="Y32" i="46" s="1"/>
  <c r="Y34" i="46" s="1"/>
  <c r="Y37" i="46" s="1"/>
  <c r="AA25" i="45"/>
  <c r="AB16" i="45"/>
  <c r="AA22" i="45"/>
  <c r="AA17" i="45"/>
  <c r="AA19" i="45"/>
  <c r="AK16" i="47"/>
  <c r="AJ19" i="47"/>
  <c r="AJ25" i="47"/>
  <c r="AJ22" i="47"/>
  <c r="Y33" i="44"/>
  <c r="Y6" i="44" s="1"/>
  <c r="Z36" i="44"/>
  <c r="Y17" i="44"/>
  <c r="Y14" i="44" s="1"/>
  <c r="Y4" i="44" s="1"/>
  <c r="V5" i="10" s="1"/>
  <c r="Y33" i="43"/>
  <c r="Y6" i="43" s="1"/>
  <c r="Z36" i="43"/>
  <c r="Y17" i="43"/>
  <c r="Y14" i="43" s="1"/>
  <c r="Y4" i="43" s="1"/>
  <c r="V5" i="42" s="1"/>
  <c r="AJ26" i="47" l="1"/>
  <c r="AD32" i="47" s="1"/>
  <c r="AD34" i="47" s="1"/>
  <c r="AD37" i="47" s="1"/>
  <c r="AK19" i="47"/>
  <c r="AL16" i="47"/>
  <c r="AK22" i="47"/>
  <c r="AK25" i="47"/>
  <c r="AG16" i="46"/>
  <c r="AF22" i="46"/>
  <c r="AF25" i="46"/>
  <c r="AF19" i="46"/>
  <c r="AC16" i="45"/>
  <c r="AB17" i="45"/>
  <c r="AB19" i="45"/>
  <c r="AB25" i="45"/>
  <c r="AB22" i="45"/>
  <c r="AA26" i="45"/>
  <c r="W32" i="45" s="1"/>
  <c r="W34" i="45" s="1"/>
  <c r="W37" i="45" s="1"/>
  <c r="AA36" i="44"/>
  <c r="Z33" i="44"/>
  <c r="Z6" i="44" s="1"/>
  <c r="Z17" i="44"/>
  <c r="Z14" i="44" s="1"/>
  <c r="Z4" i="44" s="1"/>
  <c r="W5" i="10" s="1"/>
  <c r="AA36" i="43"/>
  <c r="Z33" i="43"/>
  <c r="Z6" i="43" s="1"/>
  <c r="Z17" i="43"/>
  <c r="Z14" i="43" s="1"/>
  <c r="Z4" i="43" s="1"/>
  <c r="W5" i="42" s="1"/>
  <c r="AH16" i="46" l="1"/>
  <c r="AG25" i="46"/>
  <c r="AG22" i="46"/>
  <c r="AG19" i="46"/>
  <c r="AG26" i="46" s="1"/>
  <c r="AA32" i="46" s="1"/>
  <c r="AA34" i="46" s="1"/>
  <c r="AA37" i="46" s="1"/>
  <c r="AB26" i="45"/>
  <c r="X32" i="45" s="1"/>
  <c r="X34" i="45" s="1"/>
  <c r="X37" i="45" s="1"/>
  <c r="AM16" i="47"/>
  <c r="AL25" i="47"/>
  <c r="AL22" i="47"/>
  <c r="AL19" i="47"/>
  <c r="AD16" i="45"/>
  <c r="AC22" i="45"/>
  <c r="AC19" i="45"/>
  <c r="AC25" i="45"/>
  <c r="AC17" i="45"/>
  <c r="AC26" i="45" s="1"/>
  <c r="Y32" i="45" s="1"/>
  <c r="Y34" i="45" s="1"/>
  <c r="Y37" i="45" s="1"/>
  <c r="AK26" i="47"/>
  <c r="AE32" i="47" s="1"/>
  <c r="AE34" i="47" s="1"/>
  <c r="AE37" i="47" s="1"/>
  <c r="AF26" i="46"/>
  <c r="Z32" i="46" s="1"/>
  <c r="Z34" i="46" s="1"/>
  <c r="Z37" i="46" s="1"/>
  <c r="AB36" i="44"/>
  <c r="AA33" i="44"/>
  <c r="AA6" i="44" s="1"/>
  <c r="AA17" i="44"/>
  <c r="AA14" i="44" s="1"/>
  <c r="AA4" i="44" s="1"/>
  <c r="X5" i="10" s="1"/>
  <c r="AA33" i="43"/>
  <c r="AA6" i="43" s="1"/>
  <c r="AB36" i="43"/>
  <c r="AA17" i="43"/>
  <c r="AA14" i="43" s="1"/>
  <c r="AA4" i="43" s="1"/>
  <c r="X5" i="42" s="1"/>
  <c r="AM25" i="47" l="1"/>
  <c r="AM22" i="47"/>
  <c r="AM19" i="47"/>
  <c r="AM26" i="47" s="1"/>
  <c r="AG32" i="47" s="1"/>
  <c r="AE16" i="45"/>
  <c r="AD22" i="45"/>
  <c r="AD19" i="45"/>
  <c r="AD17" i="45"/>
  <c r="AD25" i="45"/>
  <c r="AL26" i="47"/>
  <c r="AF32" i="47" s="1"/>
  <c r="AF34" i="47" s="1"/>
  <c r="AF37" i="47" s="1"/>
  <c r="AI16" i="46"/>
  <c r="AH19" i="46"/>
  <c r="AH25" i="46"/>
  <c r="AH22" i="46"/>
  <c r="AC36" i="44"/>
  <c r="AB33" i="44"/>
  <c r="AB6" i="44" s="1"/>
  <c r="AB17" i="44"/>
  <c r="AB14" i="44" s="1"/>
  <c r="AB4" i="44" s="1"/>
  <c r="Y5" i="10" s="1"/>
  <c r="AB33" i="43"/>
  <c r="AB6" i="43" s="1"/>
  <c r="AC36" i="43"/>
  <c r="AB17" i="43"/>
  <c r="AB14" i="43" s="1"/>
  <c r="AB4" i="43" s="1"/>
  <c r="Y5" i="42" s="1"/>
  <c r="AH26" i="46" l="1"/>
  <c r="AB32" i="46" s="1"/>
  <c r="AB34" i="46" s="1"/>
  <c r="AB37" i="46" s="1"/>
  <c r="AD26" i="45"/>
  <c r="Z32" i="45" s="1"/>
  <c r="Z34" i="45" s="1"/>
  <c r="Z37" i="45" s="1"/>
  <c r="AF16" i="45"/>
  <c r="AE25" i="45"/>
  <c r="AE17" i="45"/>
  <c r="AE22" i="45"/>
  <c r="AE19" i="45"/>
  <c r="AG34" i="47"/>
  <c r="C32" i="47"/>
  <c r="AJ16" i="46"/>
  <c r="AI22" i="46"/>
  <c r="AI25" i="46"/>
  <c r="AI19" i="46"/>
  <c r="AI26" i="46" s="1"/>
  <c r="AC32" i="46" s="1"/>
  <c r="AC34" i="46" s="1"/>
  <c r="AC37" i="46" s="1"/>
  <c r="AD36" i="44"/>
  <c r="AC33" i="44"/>
  <c r="AC6" i="44" s="1"/>
  <c r="AC17" i="44"/>
  <c r="AC14" i="44" s="1"/>
  <c r="AC4" i="44" s="1"/>
  <c r="Z5" i="10" s="1"/>
  <c r="AD36" i="43"/>
  <c r="AC33" i="43"/>
  <c r="AC6" i="43" s="1"/>
  <c r="AC17" i="43"/>
  <c r="AC14" i="43" s="1"/>
  <c r="AC4" i="43" s="1"/>
  <c r="Z5" i="42" s="1"/>
  <c r="AG37" i="47" l="1"/>
  <c r="C37" i="47" s="1"/>
  <c r="C36" i="47"/>
  <c r="AE26" i="45"/>
  <c r="AA32" i="45" s="1"/>
  <c r="AA34" i="45" s="1"/>
  <c r="AA37" i="45" s="1"/>
  <c r="AG16" i="45"/>
  <c r="AF25" i="45"/>
  <c r="AF22" i="45"/>
  <c r="AF19" i="45"/>
  <c r="AF17" i="45"/>
  <c r="AF26" i="45" s="1"/>
  <c r="AB32" i="45" s="1"/>
  <c r="AB34" i="45" s="1"/>
  <c r="AB37" i="45" s="1"/>
  <c r="AK16" i="46"/>
  <c r="AJ19" i="46"/>
  <c r="AJ22" i="46"/>
  <c r="AJ25" i="46"/>
  <c r="AE36" i="44"/>
  <c r="AD33" i="44"/>
  <c r="AD6" i="44" s="1"/>
  <c r="AD17" i="44"/>
  <c r="AD14" i="44" s="1"/>
  <c r="AD4" i="44" s="1"/>
  <c r="AA5" i="10" s="1"/>
  <c r="AE36" i="43"/>
  <c r="AD33" i="43"/>
  <c r="AD6" i="43" s="1"/>
  <c r="AD17" i="43"/>
  <c r="AD14" i="43" s="1"/>
  <c r="AD4" i="43" s="1"/>
  <c r="AA5" i="42" s="1"/>
  <c r="AJ26" i="46" l="1"/>
  <c r="AD32" i="46" s="1"/>
  <c r="AD34" i="46" s="1"/>
  <c r="AD37" i="46" s="1"/>
  <c r="AG17" i="45"/>
  <c r="AH16" i="45"/>
  <c r="AG22" i="45"/>
  <c r="AG25" i="45"/>
  <c r="AG19" i="45"/>
  <c r="AL16" i="46"/>
  <c r="AK19" i="46"/>
  <c r="AK26" i="46" s="1"/>
  <c r="AE32" i="46" s="1"/>
  <c r="AE34" i="46" s="1"/>
  <c r="AE37" i="46" s="1"/>
  <c r="AK25" i="46"/>
  <c r="AK22" i="46"/>
  <c r="AE33" i="44"/>
  <c r="AE6" i="44" s="1"/>
  <c r="AF36" i="44"/>
  <c r="AE17" i="44"/>
  <c r="AE14" i="44" s="1"/>
  <c r="AE4" i="44" s="1"/>
  <c r="AB5" i="10" s="1"/>
  <c r="AF36" i="43"/>
  <c r="AE33" i="43"/>
  <c r="AE6" i="43" s="1"/>
  <c r="AE17" i="43"/>
  <c r="AE14" i="43" s="1"/>
  <c r="AE4" i="43" s="1"/>
  <c r="AB5" i="42" s="1"/>
  <c r="AI16" i="45" l="1"/>
  <c r="AH25" i="45"/>
  <c r="AH19" i="45"/>
  <c r="AH22" i="45"/>
  <c r="AH17" i="45"/>
  <c r="AH26" i="45" s="1"/>
  <c r="AD32" i="45" s="1"/>
  <c r="AD34" i="45" s="1"/>
  <c r="AD37" i="45" s="1"/>
  <c r="AG26" i="45"/>
  <c r="AC32" i="45" s="1"/>
  <c r="AC34" i="45" s="1"/>
  <c r="AC37" i="45" s="1"/>
  <c r="AM16" i="46"/>
  <c r="AL22" i="46"/>
  <c r="AL19" i="46"/>
  <c r="AL25" i="46"/>
  <c r="AF33" i="44"/>
  <c r="AF6" i="44" s="1"/>
  <c r="AG36" i="44"/>
  <c r="AF17" i="44"/>
  <c r="AF14" i="44" s="1"/>
  <c r="AF4" i="44" s="1"/>
  <c r="AC5" i="10" s="1"/>
  <c r="AF33" i="43"/>
  <c r="AF6" i="43" s="1"/>
  <c r="AG36" i="43"/>
  <c r="AF17" i="43"/>
  <c r="AF14" i="43" s="1"/>
  <c r="AF4" i="43" s="1"/>
  <c r="AC5" i="42" s="1"/>
  <c r="AM22" i="46" l="1"/>
  <c r="AM25" i="46"/>
  <c r="AM19" i="46"/>
  <c r="AM26" i="46" s="1"/>
  <c r="AG32" i="46" s="1"/>
  <c r="AL26" i="46"/>
  <c r="AF32" i="46" s="1"/>
  <c r="AF34" i="46" s="1"/>
  <c r="AF37" i="46" s="1"/>
  <c r="AI25" i="45"/>
  <c r="AJ16" i="45"/>
  <c r="AI22" i="45"/>
  <c r="AI17" i="45"/>
  <c r="AI26" i="45" s="1"/>
  <c r="AE32" i="45" s="1"/>
  <c r="AE34" i="45" s="1"/>
  <c r="AE37" i="45" s="1"/>
  <c r="AI19" i="45"/>
  <c r="AG33" i="44"/>
  <c r="AG6" i="44" s="1"/>
  <c r="AH36" i="44"/>
  <c r="AG17" i="44"/>
  <c r="AG14" i="44" s="1"/>
  <c r="AG4" i="44" s="1"/>
  <c r="AD5" i="10" s="1"/>
  <c r="AG33" i="43"/>
  <c r="AG6" i="43" s="1"/>
  <c r="AH36" i="43"/>
  <c r="AG17" i="43"/>
  <c r="AG14" i="43" s="1"/>
  <c r="AG4" i="43" s="1"/>
  <c r="AD5" i="42" s="1"/>
  <c r="AG34" i="46" l="1"/>
  <c r="C32" i="46"/>
  <c r="AK16" i="45"/>
  <c r="AJ17" i="45"/>
  <c r="AJ19" i="45"/>
  <c r="AJ25" i="45"/>
  <c r="AJ22" i="45"/>
  <c r="AI36" i="44"/>
  <c r="AH33" i="44"/>
  <c r="AH6" i="44" s="1"/>
  <c r="AH17" i="44"/>
  <c r="AH14" i="44" s="1"/>
  <c r="AH4" i="44" s="1"/>
  <c r="AE5" i="10" s="1"/>
  <c r="AI36" i="43"/>
  <c r="AH33" i="43"/>
  <c r="AH6" i="43" s="1"/>
  <c r="AH17" i="43"/>
  <c r="AH14" i="43" s="1"/>
  <c r="AH4" i="43" s="1"/>
  <c r="AE5" i="42" s="1"/>
  <c r="AJ26" i="45" l="1"/>
  <c r="AF32" i="45" s="1"/>
  <c r="AF34" i="45" s="1"/>
  <c r="AF37" i="45" s="1"/>
  <c r="AK19" i="45"/>
  <c r="AK22" i="45"/>
  <c r="AK17" i="45"/>
  <c r="AK25" i="45"/>
  <c r="AG37" i="46"/>
  <c r="C37" i="46" s="1"/>
  <c r="C36" i="46"/>
  <c r="AI33" i="44"/>
  <c r="AI6" i="44" s="1"/>
  <c r="AJ36" i="44"/>
  <c r="AI17" i="44"/>
  <c r="AI14" i="44" s="1"/>
  <c r="AI4" i="44" s="1"/>
  <c r="AF5" i="10" s="1"/>
  <c r="AI33" i="43"/>
  <c r="AI6" i="43" s="1"/>
  <c r="AJ36" i="43"/>
  <c r="AI17" i="43"/>
  <c r="AI14" i="43" s="1"/>
  <c r="AI4" i="43" s="1"/>
  <c r="AF5" i="42" s="1"/>
  <c r="AK26" i="45" l="1"/>
  <c r="AG32" i="45" s="1"/>
  <c r="AK36" i="44"/>
  <c r="AJ33" i="44"/>
  <c r="AJ6" i="44" s="1"/>
  <c r="AJ17" i="44"/>
  <c r="AJ14" i="44" s="1"/>
  <c r="AJ4" i="44" s="1"/>
  <c r="AG5" i="10" s="1"/>
  <c r="AJ33" i="43"/>
  <c r="AJ6" i="43" s="1"/>
  <c r="AK36" i="43"/>
  <c r="AJ17" i="43"/>
  <c r="AJ14" i="43" s="1"/>
  <c r="AJ4" i="43" s="1"/>
  <c r="AG5" i="42" s="1"/>
  <c r="AG34" i="45" l="1"/>
  <c r="C32" i="45"/>
  <c r="AL36" i="44"/>
  <c r="AK33" i="44"/>
  <c r="AK6" i="44" s="1"/>
  <c r="AK17" i="44"/>
  <c r="AK14" i="44" s="1"/>
  <c r="AK4" i="44" s="1"/>
  <c r="AL36" i="43"/>
  <c r="AK33" i="43"/>
  <c r="AK6" i="43" s="1"/>
  <c r="AK17" i="43"/>
  <c r="AK14" i="43" s="1"/>
  <c r="AK4" i="43" s="1"/>
  <c r="AG37" i="45" l="1"/>
  <c r="C37" i="45" s="1"/>
  <c r="C36" i="45"/>
  <c r="AM36" i="44"/>
  <c r="AL33" i="44"/>
  <c r="AL6" i="44" s="1"/>
  <c r="AL17" i="44"/>
  <c r="AL14" i="44" s="1"/>
  <c r="AL4" i="44" s="1"/>
  <c r="AM36" i="43"/>
  <c r="AL33" i="43"/>
  <c r="AL6" i="43" s="1"/>
  <c r="AL17" i="43"/>
  <c r="AL14" i="43" s="1"/>
  <c r="AL4" i="43" s="1"/>
  <c r="AM33" i="44" l="1"/>
  <c r="AM6" i="44" s="1"/>
  <c r="AN36" i="44"/>
  <c r="AM17" i="44"/>
  <c r="AM14" i="44" s="1"/>
  <c r="AM4" i="44" s="1"/>
  <c r="AN36" i="43"/>
  <c r="AM33" i="43"/>
  <c r="AM6" i="43" s="1"/>
  <c r="AM17" i="43"/>
  <c r="AM14" i="43" s="1"/>
  <c r="AM4" i="43" s="1"/>
  <c r="AN33" i="44" l="1"/>
  <c r="AN6" i="44" s="1"/>
  <c r="AO36" i="44"/>
  <c r="AN17" i="44"/>
  <c r="AN14" i="44" s="1"/>
  <c r="AN4" i="44" s="1"/>
  <c r="AN33" i="43"/>
  <c r="AN6" i="43" s="1"/>
  <c r="AO36" i="43"/>
  <c r="AN17" i="43"/>
  <c r="AN14" i="43" s="1"/>
  <c r="AN4" i="43" s="1"/>
  <c r="AO33" i="44" l="1"/>
  <c r="AO6" i="44" s="1"/>
  <c r="AP36" i="44"/>
  <c r="AO17" i="44"/>
  <c r="AO14" i="44" s="1"/>
  <c r="AO4" i="44" s="1"/>
  <c r="AO33" i="43"/>
  <c r="AO6" i="43" s="1"/>
  <c r="AP36" i="43"/>
  <c r="AO17" i="43"/>
  <c r="AO14" i="43" s="1"/>
  <c r="AO4" i="43" s="1"/>
  <c r="AQ36" i="44" l="1"/>
  <c r="AP33" i="44"/>
  <c r="AP6" i="44" s="1"/>
  <c r="AP17" i="44"/>
  <c r="AP14" i="44" s="1"/>
  <c r="AP4" i="44" s="1"/>
  <c r="AQ36" i="43"/>
  <c r="AP33" i="43"/>
  <c r="AP6" i="43" s="1"/>
  <c r="AP17" i="43"/>
  <c r="AP14" i="43" s="1"/>
  <c r="AP4" i="43" s="1"/>
  <c r="AR36" i="44" l="1"/>
  <c r="AQ33" i="44"/>
  <c r="AQ6" i="44" s="1"/>
  <c r="AQ17" i="44"/>
  <c r="AQ14" i="44" s="1"/>
  <c r="AQ4" i="44" s="1"/>
  <c r="AQ33" i="43"/>
  <c r="AQ6" i="43" s="1"/>
  <c r="AR36" i="43"/>
  <c r="AQ17" i="43"/>
  <c r="AQ14" i="43" s="1"/>
  <c r="AQ4" i="43" s="1"/>
  <c r="AS36" i="44" l="1"/>
  <c r="AR33" i="44"/>
  <c r="AR6" i="44" s="1"/>
  <c r="AR17" i="44"/>
  <c r="AR14" i="44" s="1"/>
  <c r="AR4" i="44" s="1"/>
  <c r="AR33" i="43"/>
  <c r="AR6" i="43" s="1"/>
  <c r="AS36" i="43"/>
  <c r="AR17" i="43"/>
  <c r="AR14" i="43" s="1"/>
  <c r="AR4" i="43" s="1"/>
  <c r="AT36" i="44" l="1"/>
  <c r="AS33" i="44"/>
  <c r="AS6" i="44" s="1"/>
  <c r="AS17" i="44"/>
  <c r="AS14" i="44" s="1"/>
  <c r="AS4" i="44" s="1"/>
  <c r="AT36" i="43"/>
  <c r="AS33" i="43"/>
  <c r="AS6" i="43" s="1"/>
  <c r="AS17" i="43"/>
  <c r="AS14" i="43" s="1"/>
  <c r="AS4" i="43" s="1"/>
  <c r="AT33" i="44" l="1"/>
  <c r="AT6" i="44" s="1"/>
  <c r="AT17" i="44"/>
  <c r="AT14" i="44" s="1"/>
  <c r="AT4" i="44" s="1"/>
  <c r="AT33" i="43"/>
  <c r="AT6" i="43" s="1"/>
  <c r="AT17" i="43"/>
  <c r="AT14" i="43" s="1"/>
  <c r="AT4" i="43" s="1"/>
  <c r="B30" i="34" l="1"/>
  <c r="B31" i="34"/>
  <c r="B29" i="34"/>
  <c r="D7" i="42" l="1"/>
  <c r="D8" i="42"/>
  <c r="D4" i="42"/>
  <c r="AA4" i="42" s="1"/>
  <c r="AG5" i="41"/>
  <c r="K5" i="41"/>
  <c r="L5" i="41"/>
  <c r="M5" i="41"/>
  <c r="N5" i="41"/>
  <c r="O5" i="41"/>
  <c r="P5" i="41"/>
  <c r="Q5" i="41"/>
  <c r="R5" i="41"/>
  <c r="S5" i="41"/>
  <c r="T5" i="41"/>
  <c r="U5" i="41"/>
  <c r="V5" i="41"/>
  <c r="W5" i="41"/>
  <c r="X5" i="41"/>
  <c r="Y5" i="41"/>
  <c r="Z5" i="41"/>
  <c r="AA5" i="41"/>
  <c r="AB5" i="41"/>
  <c r="AC5" i="41"/>
  <c r="AD5" i="41"/>
  <c r="AE5" i="41"/>
  <c r="AF5" i="41"/>
  <c r="Q4" i="41"/>
  <c r="M4" i="41"/>
  <c r="D4" i="41"/>
  <c r="Z4" i="41" s="1"/>
  <c r="E29" i="34"/>
  <c r="D37" i="6"/>
  <c r="U4" i="41" l="1"/>
  <c r="Y4" i="41"/>
  <c r="AC4" i="41"/>
  <c r="AG4" i="41"/>
  <c r="E4" i="41"/>
  <c r="I4" i="41"/>
  <c r="E6" i="42"/>
  <c r="E8" i="42"/>
  <c r="E7" i="42"/>
  <c r="D6" i="42"/>
  <c r="T4" i="42"/>
  <c r="E4" i="42"/>
  <c r="M4" i="42"/>
  <c r="U4" i="42"/>
  <c r="AC4" i="42"/>
  <c r="N4" i="42"/>
  <c r="V4" i="42"/>
  <c r="AD4" i="42"/>
  <c r="L4" i="42"/>
  <c r="F4" i="42"/>
  <c r="G4" i="42"/>
  <c r="O4" i="42"/>
  <c r="W4" i="42"/>
  <c r="AE4" i="42"/>
  <c r="AB4" i="42"/>
  <c r="H4" i="42"/>
  <c r="P4" i="42"/>
  <c r="X4" i="42"/>
  <c r="AF4" i="42"/>
  <c r="I4" i="42"/>
  <c r="Q4" i="42"/>
  <c r="Y4" i="42"/>
  <c r="AG4" i="42"/>
  <c r="J4" i="42"/>
  <c r="R4" i="42"/>
  <c r="Z4" i="42"/>
  <c r="K4" i="42"/>
  <c r="S4" i="42"/>
  <c r="K4" i="41"/>
  <c r="S4" i="41"/>
  <c r="AA4" i="41"/>
  <c r="L4" i="41"/>
  <c r="T4" i="41"/>
  <c r="AB4" i="41"/>
  <c r="F4" i="41"/>
  <c r="N4" i="41"/>
  <c r="V4" i="41"/>
  <c r="AD4" i="41"/>
  <c r="G4" i="41"/>
  <c r="O4" i="41"/>
  <c r="W4" i="41"/>
  <c r="AE4" i="41"/>
  <c r="H4" i="41"/>
  <c r="P4" i="41"/>
  <c r="X4" i="41"/>
  <c r="AF4" i="41"/>
  <c r="J4" i="41"/>
  <c r="R4" i="41"/>
  <c r="F29" i="34"/>
  <c r="G29" i="34" s="1"/>
  <c r="H29" i="34" s="1"/>
  <c r="I29" i="34" s="1"/>
  <c r="J29" i="34" s="1"/>
  <c r="K29" i="34" s="1"/>
  <c r="L29" i="34" s="1"/>
  <c r="B30" i="9"/>
  <c r="B31" i="9"/>
  <c r="B29" i="9"/>
  <c r="E29" i="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Y5" i="19"/>
  <c r="Z5" i="19"/>
  <c r="AA5" i="19"/>
  <c r="AB5" i="19"/>
  <c r="AC5" i="19"/>
  <c r="AD5" i="19"/>
  <c r="AE5" i="19"/>
  <c r="AF5" i="19"/>
  <c r="AG5" i="19"/>
  <c r="D6" i="9"/>
  <c r="E42" i="1"/>
  <c r="F42" i="1"/>
  <c r="G42" i="1"/>
  <c r="H42" i="1"/>
  <c r="D42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C26" i="1" s="1"/>
  <c r="C27" i="1" s="1"/>
  <c r="C21" i="1"/>
  <c r="C28" i="1" l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142" i="1"/>
  <c r="AA135" i="1"/>
  <c r="C106" i="1"/>
  <c r="C61" i="1"/>
  <c r="D55" i="1"/>
  <c r="H53" i="1"/>
  <c r="F52" i="1"/>
  <c r="G50" i="1"/>
  <c r="H48" i="1"/>
  <c r="F55" i="1"/>
  <c r="C141" i="1"/>
  <c r="AF135" i="1"/>
  <c r="C105" i="1"/>
  <c r="C60" i="1"/>
  <c r="I54" i="1"/>
  <c r="G53" i="1"/>
  <c r="E52" i="1"/>
  <c r="I49" i="1"/>
  <c r="G48" i="1"/>
  <c r="Q135" i="1"/>
  <c r="H52" i="1"/>
  <c r="C143" i="1"/>
  <c r="I53" i="1"/>
  <c r="C140" i="1"/>
  <c r="C104" i="1"/>
  <c r="C59" i="1"/>
  <c r="H54" i="1"/>
  <c r="F53" i="1"/>
  <c r="D52" i="1"/>
  <c r="H49" i="1"/>
  <c r="F48" i="1"/>
  <c r="C108" i="1"/>
  <c r="D54" i="1"/>
  <c r="D49" i="1"/>
  <c r="V135" i="1"/>
  <c r="I50" i="1"/>
  <c r="C139" i="1"/>
  <c r="C103" i="1"/>
  <c r="I55" i="1"/>
  <c r="G54" i="1"/>
  <c r="E53" i="1"/>
  <c r="H51" i="1"/>
  <c r="G49" i="1"/>
  <c r="E48" i="1"/>
  <c r="C107" i="1"/>
  <c r="G52" i="1"/>
  <c r="G135" i="1"/>
  <c r="C102" i="1"/>
  <c r="H55" i="1"/>
  <c r="F54" i="1"/>
  <c r="D53" i="1"/>
  <c r="F51" i="1"/>
  <c r="F49" i="1"/>
  <c r="D48" i="1"/>
  <c r="C83" i="1"/>
  <c r="E55" i="1"/>
  <c r="L135" i="1"/>
  <c r="C84" i="1"/>
  <c r="G55" i="1"/>
  <c r="E54" i="1"/>
  <c r="I52" i="1"/>
  <c r="E51" i="1"/>
  <c r="E49" i="1"/>
  <c r="C144" i="1"/>
  <c r="D51" i="1"/>
  <c r="C82" i="1"/>
  <c r="I48" i="1"/>
  <c r="F29" i="9"/>
  <c r="G29" i="9" s="1"/>
  <c r="H29" i="9" s="1"/>
  <c r="I29" i="9" s="1"/>
  <c r="J29" i="9" s="1"/>
  <c r="K29" i="9" s="1"/>
  <c r="L29" i="9" s="1"/>
  <c r="M29" i="9" s="1"/>
  <c r="N29" i="9" s="1"/>
  <c r="O29" i="9" s="1"/>
  <c r="P29" i="9" s="1"/>
  <c r="Q29" i="9" s="1"/>
  <c r="R29" i="9" s="1"/>
  <c r="C29" i="9"/>
  <c r="C29" i="34"/>
  <c r="AN135" i="1"/>
  <c r="AL135" i="1"/>
  <c r="AJ135" i="1"/>
  <c r="AP135" i="1"/>
  <c r="AH135" i="1" l="1"/>
  <c r="AI135" i="1"/>
  <c r="AM135" i="1"/>
  <c r="AO135" i="1"/>
  <c r="AG135" i="1"/>
  <c r="AK135" i="1"/>
  <c r="H6" i="42" l="1"/>
  <c r="H7" i="42"/>
  <c r="H8" i="42"/>
  <c r="I6" i="42" l="1"/>
  <c r="I8" i="42"/>
  <c r="I7" i="42"/>
  <c r="J8" i="42" l="1"/>
  <c r="J7" i="42"/>
  <c r="J6" i="42"/>
  <c r="F5" i="34"/>
  <c r="D5" i="9"/>
  <c r="H6" i="2"/>
  <c r="G6" i="2"/>
  <c r="K7" i="42" l="1"/>
  <c r="K6" i="42"/>
  <c r="K8" i="42"/>
  <c r="D6" i="34"/>
  <c r="L8" i="42" l="1"/>
  <c r="L6" i="42"/>
  <c r="L7" i="42"/>
  <c r="C20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D18" i="36"/>
  <c r="E18" i="35"/>
  <c r="E48" i="36" s="1"/>
  <c r="F18" i="35"/>
  <c r="F32" i="36" s="1"/>
  <c r="G18" i="35"/>
  <c r="G32" i="36" s="1"/>
  <c r="H18" i="35"/>
  <c r="H48" i="36" s="1"/>
  <c r="I18" i="35"/>
  <c r="I48" i="36" s="1"/>
  <c r="J18" i="35"/>
  <c r="J32" i="36" s="1"/>
  <c r="K18" i="35"/>
  <c r="K48" i="36" s="1"/>
  <c r="L18" i="35"/>
  <c r="L48" i="36" s="1"/>
  <c r="M18" i="35"/>
  <c r="M48" i="36" s="1"/>
  <c r="N18" i="35"/>
  <c r="N32" i="36" s="1"/>
  <c r="O18" i="35"/>
  <c r="O32" i="36" s="1"/>
  <c r="P18" i="35"/>
  <c r="P48" i="36" s="1"/>
  <c r="Q18" i="35"/>
  <c r="Q48" i="36" s="1"/>
  <c r="R18" i="35"/>
  <c r="R32" i="36" s="1"/>
  <c r="S18" i="35"/>
  <c r="S32" i="36" s="1"/>
  <c r="T18" i="35"/>
  <c r="T48" i="36" s="1"/>
  <c r="U18" i="35"/>
  <c r="U48" i="36" s="1"/>
  <c r="V18" i="35"/>
  <c r="V32" i="36" s="1"/>
  <c r="W18" i="35"/>
  <c r="W32" i="36" s="1"/>
  <c r="X18" i="35"/>
  <c r="X48" i="36" s="1"/>
  <c r="Y18" i="35"/>
  <c r="Y48" i="36" s="1"/>
  <c r="Z18" i="35"/>
  <c r="Z32" i="36" s="1"/>
  <c r="AA18" i="35"/>
  <c r="AA48" i="36" s="1"/>
  <c r="AB18" i="35"/>
  <c r="AB48" i="36" s="1"/>
  <c r="AC18" i="35"/>
  <c r="AC48" i="36" s="1"/>
  <c r="AD18" i="35"/>
  <c r="AD32" i="36" s="1"/>
  <c r="AE18" i="35"/>
  <c r="AE32" i="36" s="1"/>
  <c r="AF18" i="35"/>
  <c r="AF48" i="36" s="1"/>
  <c r="AG18" i="35"/>
  <c r="AG48" i="36" s="1"/>
  <c r="D18" i="35"/>
  <c r="D32" i="36" s="1"/>
  <c r="E5" i="36"/>
  <c r="F5" i="36"/>
  <c r="G5" i="36"/>
  <c r="H5" i="36"/>
  <c r="I5" i="36"/>
  <c r="J5" i="36"/>
  <c r="K5" i="36"/>
  <c r="L5" i="36"/>
  <c r="M5" i="36"/>
  <c r="N5" i="36"/>
  <c r="O5" i="36"/>
  <c r="P5" i="36"/>
  <c r="Q5" i="36"/>
  <c r="R5" i="36"/>
  <c r="S5" i="36"/>
  <c r="T5" i="36"/>
  <c r="U5" i="36"/>
  <c r="V5" i="36"/>
  <c r="W5" i="36"/>
  <c r="X5" i="36"/>
  <c r="Y5" i="36"/>
  <c r="Z5" i="36"/>
  <c r="AA5" i="36"/>
  <c r="AB5" i="36"/>
  <c r="AC5" i="36"/>
  <c r="AD5" i="36"/>
  <c r="AE5" i="36"/>
  <c r="AF5" i="36"/>
  <c r="AG5" i="36"/>
  <c r="D5" i="36"/>
  <c r="C20" i="6"/>
  <c r="K18" i="7"/>
  <c r="K32" i="6" s="1"/>
  <c r="L18" i="7"/>
  <c r="L32" i="6" s="1"/>
  <c r="M18" i="7"/>
  <c r="M32" i="6" s="1"/>
  <c r="N18" i="7"/>
  <c r="N32" i="6" s="1"/>
  <c r="O18" i="7"/>
  <c r="O32" i="6" s="1"/>
  <c r="P18" i="7"/>
  <c r="P32" i="6" s="1"/>
  <c r="Q18" i="7"/>
  <c r="Q32" i="6" s="1"/>
  <c r="R18" i="7"/>
  <c r="R32" i="6" s="1"/>
  <c r="S18" i="7"/>
  <c r="S32" i="6" s="1"/>
  <c r="T18" i="7"/>
  <c r="T32" i="6" s="1"/>
  <c r="U18" i="7"/>
  <c r="U32" i="6" s="1"/>
  <c r="V18" i="7"/>
  <c r="V32" i="6" s="1"/>
  <c r="W18" i="7"/>
  <c r="W32" i="6" s="1"/>
  <c r="X18" i="7"/>
  <c r="X32" i="6" s="1"/>
  <c r="Y18" i="7"/>
  <c r="Y32" i="6" s="1"/>
  <c r="Z18" i="7"/>
  <c r="Z32" i="6" s="1"/>
  <c r="AA18" i="7"/>
  <c r="AA32" i="6" s="1"/>
  <c r="AB18" i="7"/>
  <c r="AB32" i="6" s="1"/>
  <c r="AC18" i="7"/>
  <c r="AC32" i="6" s="1"/>
  <c r="AD18" i="7"/>
  <c r="AD32" i="6" s="1"/>
  <c r="AE18" i="7"/>
  <c r="AE32" i="6" s="1"/>
  <c r="AF18" i="7"/>
  <c r="AF32" i="6" s="1"/>
  <c r="AG18" i="7"/>
  <c r="AG32" i="6" s="1"/>
  <c r="C5" i="36" l="1"/>
  <c r="M8" i="42"/>
  <c r="M6" i="42"/>
  <c r="M7" i="42"/>
  <c r="AC32" i="36"/>
  <c r="C18" i="36"/>
  <c r="Y32" i="36"/>
  <c r="I32" i="36"/>
  <c r="M32" i="36"/>
  <c r="U32" i="36"/>
  <c r="E32" i="36"/>
  <c r="AG32" i="36"/>
  <c r="Q32" i="36"/>
  <c r="S48" i="36"/>
  <c r="G48" i="36"/>
  <c r="AF32" i="36"/>
  <c r="AB32" i="36"/>
  <c r="X32" i="36"/>
  <c r="T32" i="36"/>
  <c r="P32" i="36"/>
  <c r="L32" i="36"/>
  <c r="H32" i="36"/>
  <c r="D48" i="36"/>
  <c r="AD48" i="36"/>
  <c r="Z48" i="36"/>
  <c r="V48" i="36"/>
  <c r="R48" i="36"/>
  <c r="N48" i="36"/>
  <c r="J48" i="36"/>
  <c r="F48" i="36"/>
  <c r="AE48" i="36"/>
  <c r="W48" i="36"/>
  <c r="O48" i="36"/>
  <c r="AA32" i="36"/>
  <c r="K32" i="36"/>
  <c r="K5" i="6"/>
  <c r="K35" i="6" s="1"/>
  <c r="L5" i="6"/>
  <c r="L35" i="6" s="1"/>
  <c r="M5" i="6"/>
  <c r="M35" i="6" s="1"/>
  <c r="N5" i="6"/>
  <c r="N35" i="6" s="1"/>
  <c r="O5" i="6"/>
  <c r="O35" i="6" s="1"/>
  <c r="P5" i="6"/>
  <c r="P35" i="6" s="1"/>
  <c r="Q5" i="6"/>
  <c r="Q35" i="6" s="1"/>
  <c r="R5" i="6"/>
  <c r="R35" i="6" s="1"/>
  <c r="S5" i="6"/>
  <c r="S35" i="6" s="1"/>
  <c r="T5" i="6"/>
  <c r="T35" i="6" s="1"/>
  <c r="U5" i="6"/>
  <c r="U35" i="6" s="1"/>
  <c r="V5" i="6"/>
  <c r="V35" i="6" s="1"/>
  <c r="W5" i="6"/>
  <c r="W35" i="6" s="1"/>
  <c r="X5" i="6"/>
  <c r="X35" i="6" s="1"/>
  <c r="Y5" i="6"/>
  <c r="Y35" i="6" s="1"/>
  <c r="Z5" i="6"/>
  <c r="Z35" i="6" s="1"/>
  <c r="AA5" i="6"/>
  <c r="AA35" i="6" s="1"/>
  <c r="AB5" i="6"/>
  <c r="AB35" i="6" s="1"/>
  <c r="AC5" i="6"/>
  <c r="AC35" i="6" s="1"/>
  <c r="AD5" i="6"/>
  <c r="AD35" i="6" s="1"/>
  <c r="AE5" i="6"/>
  <c r="AE35" i="6" s="1"/>
  <c r="AF5" i="6"/>
  <c r="AF35" i="6" s="1"/>
  <c r="AG5" i="6"/>
  <c r="AG35" i="6" s="1"/>
  <c r="N6" i="42" l="1"/>
  <c r="N7" i="42"/>
  <c r="N8" i="42"/>
  <c r="F5" i="9"/>
  <c r="O7" i="42" l="1"/>
  <c r="O6" i="42"/>
  <c r="O8" i="42"/>
  <c r="G5" i="9"/>
  <c r="AG53" i="36"/>
  <c r="AF53" i="36"/>
  <c r="AE53" i="36"/>
  <c r="AD53" i="36"/>
  <c r="AC53" i="36"/>
  <c r="AB53" i="36"/>
  <c r="AA53" i="36"/>
  <c r="Z53" i="36"/>
  <c r="Y53" i="36"/>
  <c r="X53" i="36"/>
  <c r="W53" i="36"/>
  <c r="V53" i="36"/>
  <c r="U53" i="36"/>
  <c r="T53" i="36"/>
  <c r="S53" i="36"/>
  <c r="R53" i="36"/>
  <c r="Q53" i="36"/>
  <c r="P53" i="36"/>
  <c r="O53" i="36"/>
  <c r="N53" i="36"/>
  <c r="M53" i="36"/>
  <c r="L53" i="36"/>
  <c r="K53" i="36"/>
  <c r="J53" i="36"/>
  <c r="I53" i="36"/>
  <c r="H53" i="36"/>
  <c r="G53" i="36"/>
  <c r="F53" i="36"/>
  <c r="E53" i="36"/>
  <c r="D53" i="36"/>
  <c r="AG37" i="36"/>
  <c r="AF37" i="36"/>
  <c r="AE37" i="36"/>
  <c r="AD37" i="36"/>
  <c r="AC37" i="36"/>
  <c r="AB37" i="36"/>
  <c r="AA37" i="36"/>
  <c r="Z37" i="36"/>
  <c r="Y37" i="36"/>
  <c r="X37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D4" i="36"/>
  <c r="X4" i="36" s="1"/>
  <c r="C19" i="35"/>
  <c r="AG17" i="35"/>
  <c r="AF17" i="35"/>
  <c r="AE17" i="35"/>
  <c r="AD17" i="35"/>
  <c r="AC17" i="35"/>
  <c r="AB17" i="35"/>
  <c r="AA17" i="35"/>
  <c r="Z17" i="35"/>
  <c r="Y17" i="35"/>
  <c r="X17" i="35"/>
  <c r="W17" i="35"/>
  <c r="V17" i="35"/>
  <c r="U17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F6" i="34"/>
  <c r="F4" i="34"/>
  <c r="D7" i="33"/>
  <c r="P7" i="42" l="1"/>
  <c r="P6" i="42"/>
  <c r="P8" i="42"/>
  <c r="H5" i="9"/>
  <c r="I5" i="9" s="1"/>
  <c r="G6" i="34"/>
  <c r="X47" i="36"/>
  <c r="X31" i="36"/>
  <c r="X17" i="36"/>
  <c r="T4" i="36"/>
  <c r="H4" i="36"/>
  <c r="D47" i="36"/>
  <c r="AE4" i="36"/>
  <c r="AA4" i="36"/>
  <c r="W4" i="36"/>
  <c r="S4" i="36"/>
  <c r="O4" i="36"/>
  <c r="K4" i="36"/>
  <c r="G4" i="36"/>
  <c r="D31" i="36"/>
  <c r="AD4" i="36"/>
  <c r="Z4" i="36"/>
  <c r="V4" i="36"/>
  <c r="R4" i="36"/>
  <c r="N4" i="36"/>
  <c r="J4" i="36"/>
  <c r="F4" i="36"/>
  <c r="AC4" i="36"/>
  <c r="U4" i="36"/>
  <c r="M4" i="36"/>
  <c r="E4" i="36"/>
  <c r="AG4" i="36"/>
  <c r="Y4" i="36"/>
  <c r="Q4" i="36"/>
  <c r="I4" i="36"/>
  <c r="L4" i="36"/>
  <c r="AB4" i="36"/>
  <c r="P4" i="36"/>
  <c r="AF4" i="36"/>
  <c r="D17" i="36"/>
  <c r="C37" i="36"/>
  <c r="C53" i="36"/>
  <c r="Q6" i="42" l="1"/>
  <c r="Q8" i="42"/>
  <c r="Q7" i="42"/>
  <c r="AB47" i="36"/>
  <c r="AB31" i="36"/>
  <c r="AB17" i="36"/>
  <c r="M47" i="36"/>
  <c r="M31" i="36"/>
  <c r="M17" i="36"/>
  <c r="J47" i="36"/>
  <c r="J17" i="36"/>
  <c r="J31" i="36"/>
  <c r="Z47" i="36"/>
  <c r="Z17" i="36"/>
  <c r="Z31" i="36"/>
  <c r="K47" i="36"/>
  <c r="K17" i="36"/>
  <c r="K31" i="36"/>
  <c r="AA47" i="36"/>
  <c r="AA17" i="36"/>
  <c r="AA31" i="36"/>
  <c r="L47" i="36"/>
  <c r="L31" i="36"/>
  <c r="L17" i="36"/>
  <c r="Y31" i="36"/>
  <c r="Y47" i="36"/>
  <c r="Y17" i="36"/>
  <c r="U31" i="36"/>
  <c r="U47" i="36"/>
  <c r="U17" i="36"/>
  <c r="N47" i="36"/>
  <c r="N17" i="36"/>
  <c r="N31" i="36"/>
  <c r="AD47" i="36"/>
  <c r="AD17" i="36"/>
  <c r="AD31" i="36"/>
  <c r="O47" i="36"/>
  <c r="O17" i="36"/>
  <c r="O31" i="36"/>
  <c r="AE47" i="36"/>
  <c r="AE17" i="36"/>
  <c r="AE31" i="36"/>
  <c r="AF47" i="36"/>
  <c r="AF31" i="36"/>
  <c r="AF17" i="36"/>
  <c r="AG31" i="36"/>
  <c r="AG47" i="36"/>
  <c r="AG17" i="36"/>
  <c r="AC47" i="36"/>
  <c r="AC31" i="36"/>
  <c r="AC17" i="36"/>
  <c r="R47" i="36"/>
  <c r="R17" i="36"/>
  <c r="R31" i="36"/>
  <c r="S47" i="36"/>
  <c r="S17" i="36"/>
  <c r="S31" i="36"/>
  <c r="T47" i="36"/>
  <c r="T31" i="36"/>
  <c r="T17" i="36"/>
  <c r="Q31" i="36"/>
  <c r="Q17" i="36"/>
  <c r="Q47" i="36"/>
  <c r="P47" i="36"/>
  <c r="P31" i="36"/>
  <c r="P17" i="36"/>
  <c r="I31" i="36"/>
  <c r="I47" i="36"/>
  <c r="I17" i="36"/>
  <c r="E31" i="36"/>
  <c r="E17" i="36"/>
  <c r="E47" i="36"/>
  <c r="F47" i="36"/>
  <c r="F17" i="36"/>
  <c r="F31" i="36"/>
  <c r="V47" i="36"/>
  <c r="V17" i="36"/>
  <c r="V31" i="36"/>
  <c r="G47" i="36"/>
  <c r="G17" i="36"/>
  <c r="G31" i="36"/>
  <c r="W47" i="36"/>
  <c r="W17" i="36"/>
  <c r="W31" i="36"/>
  <c r="H47" i="36"/>
  <c r="H31" i="36"/>
  <c r="H17" i="36"/>
  <c r="R7" i="42" l="1"/>
  <c r="R8" i="42"/>
  <c r="R6" i="42"/>
  <c r="AG22" i="33"/>
  <c r="AF22" i="33"/>
  <c r="AE22" i="33"/>
  <c r="AD22" i="33"/>
  <c r="AC22" i="33"/>
  <c r="AB22" i="33"/>
  <c r="AA22" i="33"/>
  <c r="Z22" i="33"/>
  <c r="Y22" i="33"/>
  <c r="X22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AG21" i="33"/>
  <c r="AF21" i="33"/>
  <c r="AE21" i="33"/>
  <c r="AD21" i="33"/>
  <c r="AC21" i="33"/>
  <c r="AB21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AG15" i="33"/>
  <c r="AG49" i="36" s="1"/>
  <c r="AG50" i="36" s="1"/>
  <c r="AF15" i="33"/>
  <c r="AF49" i="36" s="1"/>
  <c r="AF50" i="36" s="1"/>
  <c r="AE15" i="33"/>
  <c r="AE49" i="36" s="1"/>
  <c r="AE50" i="36" s="1"/>
  <c r="AD15" i="33"/>
  <c r="AD49" i="36" s="1"/>
  <c r="AD50" i="36" s="1"/>
  <c r="AC15" i="33"/>
  <c r="AC49" i="36" s="1"/>
  <c r="AC50" i="36" s="1"/>
  <c r="AB15" i="33"/>
  <c r="AB49" i="36" s="1"/>
  <c r="AB50" i="36" s="1"/>
  <c r="AA15" i="33"/>
  <c r="AA49" i="36" s="1"/>
  <c r="AA50" i="36" s="1"/>
  <c r="Z15" i="33"/>
  <c r="Z49" i="36" s="1"/>
  <c r="Z50" i="36" s="1"/>
  <c r="Y15" i="33"/>
  <c r="Y49" i="36" s="1"/>
  <c r="Y50" i="36" s="1"/>
  <c r="X15" i="33"/>
  <c r="X49" i="36" s="1"/>
  <c r="X50" i="36" s="1"/>
  <c r="W15" i="33"/>
  <c r="W49" i="36" s="1"/>
  <c r="W50" i="36" s="1"/>
  <c r="V15" i="33"/>
  <c r="V49" i="36" s="1"/>
  <c r="V50" i="36" s="1"/>
  <c r="U15" i="33"/>
  <c r="U49" i="36" s="1"/>
  <c r="U50" i="36" s="1"/>
  <c r="T15" i="33"/>
  <c r="T49" i="36" s="1"/>
  <c r="T50" i="36" s="1"/>
  <c r="S15" i="33"/>
  <c r="S49" i="36" s="1"/>
  <c r="S50" i="36" s="1"/>
  <c r="R15" i="33"/>
  <c r="R49" i="36" s="1"/>
  <c r="R50" i="36" s="1"/>
  <c r="Q15" i="33"/>
  <c r="Q49" i="36" s="1"/>
  <c r="Q50" i="36" s="1"/>
  <c r="P15" i="33"/>
  <c r="P49" i="36" s="1"/>
  <c r="P50" i="36" s="1"/>
  <c r="O15" i="33"/>
  <c r="O49" i="36" s="1"/>
  <c r="O50" i="36" s="1"/>
  <c r="N15" i="33"/>
  <c r="N49" i="36" s="1"/>
  <c r="N50" i="36" s="1"/>
  <c r="M15" i="33"/>
  <c r="M49" i="36" s="1"/>
  <c r="M50" i="36" s="1"/>
  <c r="L15" i="33"/>
  <c r="L49" i="36" s="1"/>
  <c r="L50" i="36" s="1"/>
  <c r="K15" i="33"/>
  <c r="K49" i="36" s="1"/>
  <c r="K50" i="36" s="1"/>
  <c r="J15" i="33"/>
  <c r="J49" i="36" s="1"/>
  <c r="J50" i="36" s="1"/>
  <c r="I15" i="33"/>
  <c r="I49" i="36" s="1"/>
  <c r="I50" i="36" s="1"/>
  <c r="H15" i="33"/>
  <c r="H49" i="36" s="1"/>
  <c r="G15" i="33"/>
  <c r="G49" i="36" s="1"/>
  <c r="F15" i="33"/>
  <c r="F49" i="36" s="1"/>
  <c r="E15" i="33"/>
  <c r="E49" i="36" s="1"/>
  <c r="D15" i="33"/>
  <c r="C14" i="33"/>
  <c r="C13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C6" i="33"/>
  <c r="C5" i="33"/>
  <c r="AG4" i="33"/>
  <c r="AG12" i="33" s="1"/>
  <c r="AC4" i="33"/>
  <c r="AC12" i="33" s="1"/>
  <c r="Y4" i="33"/>
  <c r="Y12" i="33" s="1"/>
  <c r="U4" i="33"/>
  <c r="U12" i="33" s="1"/>
  <c r="Q4" i="33"/>
  <c r="Q12" i="33" s="1"/>
  <c r="M4" i="33"/>
  <c r="M12" i="33" s="1"/>
  <c r="I4" i="33"/>
  <c r="I12" i="33" s="1"/>
  <c r="E4" i="33"/>
  <c r="E12" i="33" s="1"/>
  <c r="AF4" i="33"/>
  <c r="AG30" i="32"/>
  <c r="AG41" i="32" s="1"/>
  <c r="AG42" i="32" s="1"/>
  <c r="AF30" i="32"/>
  <c r="AF31" i="32" s="1"/>
  <c r="AE30" i="32"/>
  <c r="AE41" i="32" s="1"/>
  <c r="AE42" i="32" s="1"/>
  <c r="AD30" i="32"/>
  <c r="AD41" i="32" s="1"/>
  <c r="AD42" i="32" s="1"/>
  <c r="AC30" i="32"/>
  <c r="AC41" i="32" s="1"/>
  <c r="AC42" i="32" s="1"/>
  <c r="AB30" i="32"/>
  <c r="AB31" i="32" s="1"/>
  <c r="AA30" i="32"/>
  <c r="AA41" i="32" s="1"/>
  <c r="AA42" i="32" s="1"/>
  <c r="Z30" i="32"/>
  <c r="Z41" i="32" s="1"/>
  <c r="Z42" i="32" s="1"/>
  <c r="Y30" i="32"/>
  <c r="Y41" i="32" s="1"/>
  <c r="Y42" i="32" s="1"/>
  <c r="X30" i="32"/>
  <c r="X31" i="32" s="1"/>
  <c r="W30" i="32"/>
  <c r="W41" i="32" s="1"/>
  <c r="W42" i="32" s="1"/>
  <c r="V30" i="32"/>
  <c r="V41" i="32" s="1"/>
  <c r="V42" i="32" s="1"/>
  <c r="U30" i="32"/>
  <c r="U41" i="32" s="1"/>
  <c r="U42" i="32" s="1"/>
  <c r="T30" i="32"/>
  <c r="T31" i="32" s="1"/>
  <c r="S30" i="32"/>
  <c r="S41" i="32" s="1"/>
  <c r="S42" i="32" s="1"/>
  <c r="R30" i="32"/>
  <c r="R41" i="32" s="1"/>
  <c r="R42" i="32" s="1"/>
  <c r="Q30" i="32"/>
  <c r="Q41" i="32" s="1"/>
  <c r="Q42" i="32" s="1"/>
  <c r="P30" i="32"/>
  <c r="P31" i="32" s="1"/>
  <c r="O30" i="32"/>
  <c r="O41" i="32" s="1"/>
  <c r="O42" i="32" s="1"/>
  <c r="N30" i="32"/>
  <c r="N41" i="32" s="1"/>
  <c r="N42" i="32" s="1"/>
  <c r="M30" i="32"/>
  <c r="M41" i="32" s="1"/>
  <c r="M42" i="32" s="1"/>
  <c r="L30" i="32"/>
  <c r="L31" i="32" s="1"/>
  <c r="K30" i="32"/>
  <c r="K41" i="32" s="1"/>
  <c r="K42" i="32" s="1"/>
  <c r="J30" i="32"/>
  <c r="J41" i="32" s="1"/>
  <c r="J42" i="32" s="1"/>
  <c r="I30" i="32"/>
  <c r="I41" i="32" s="1"/>
  <c r="I42" i="32" s="1"/>
  <c r="H30" i="32"/>
  <c r="H31" i="32" s="1"/>
  <c r="G30" i="32"/>
  <c r="G41" i="32" s="1"/>
  <c r="G42" i="32" s="1"/>
  <c r="F30" i="32"/>
  <c r="F41" i="32" s="1"/>
  <c r="F42" i="32" s="1"/>
  <c r="E30" i="32"/>
  <c r="E41" i="32" s="1"/>
  <c r="E42" i="32" s="1"/>
  <c r="D30" i="32"/>
  <c r="AG28" i="32"/>
  <c r="AG39" i="32" s="1"/>
  <c r="AF28" i="32"/>
  <c r="AF39" i="32" s="1"/>
  <c r="AE28" i="32"/>
  <c r="AE39" i="32" s="1"/>
  <c r="AD28" i="32"/>
  <c r="AC28" i="32"/>
  <c r="AC39" i="32" s="1"/>
  <c r="AB28" i="32"/>
  <c r="AB39" i="32" s="1"/>
  <c r="AA28" i="32"/>
  <c r="AA39" i="32" s="1"/>
  <c r="Z28" i="32"/>
  <c r="Y28" i="32"/>
  <c r="Y39" i="32" s="1"/>
  <c r="X28" i="32"/>
  <c r="X39" i="32" s="1"/>
  <c r="W28" i="32"/>
  <c r="W39" i="32" s="1"/>
  <c r="V28" i="32"/>
  <c r="V39" i="32" s="1"/>
  <c r="U28" i="32"/>
  <c r="U39" i="32" s="1"/>
  <c r="T28" i="32"/>
  <c r="T39" i="32" s="1"/>
  <c r="S28" i="32"/>
  <c r="S39" i="32" s="1"/>
  <c r="R28" i="32"/>
  <c r="Q28" i="32"/>
  <c r="Q39" i="32" s="1"/>
  <c r="P28" i="32"/>
  <c r="P39" i="32" s="1"/>
  <c r="O28" i="32"/>
  <c r="O39" i="32" s="1"/>
  <c r="N28" i="32"/>
  <c r="M28" i="32"/>
  <c r="M39" i="32" s="1"/>
  <c r="L28" i="32"/>
  <c r="L39" i="32" s="1"/>
  <c r="K28" i="32"/>
  <c r="K39" i="32" s="1"/>
  <c r="J28" i="32"/>
  <c r="J39" i="32" s="1"/>
  <c r="I28" i="32"/>
  <c r="I39" i="32" s="1"/>
  <c r="H28" i="32"/>
  <c r="H39" i="32" s="1"/>
  <c r="G28" i="32"/>
  <c r="G39" i="32" s="1"/>
  <c r="F28" i="32"/>
  <c r="F39" i="32" s="1"/>
  <c r="E28" i="32"/>
  <c r="D28" i="32"/>
  <c r="D39" i="32" s="1"/>
  <c r="AG27" i="32"/>
  <c r="AF27" i="32"/>
  <c r="AE27" i="32"/>
  <c r="AE38" i="32" s="1"/>
  <c r="AD27" i="32"/>
  <c r="AD38" i="32" s="1"/>
  <c r="AC27" i="32"/>
  <c r="AB27" i="32"/>
  <c r="AA27" i="32"/>
  <c r="AA38" i="32" s="1"/>
  <c r="Z27" i="32"/>
  <c r="Z38" i="32" s="1"/>
  <c r="Y27" i="32"/>
  <c r="X27" i="32"/>
  <c r="W27" i="32"/>
  <c r="W38" i="32" s="1"/>
  <c r="V27" i="32"/>
  <c r="V38" i="32" s="1"/>
  <c r="U27" i="32"/>
  <c r="T27" i="32"/>
  <c r="S27" i="32"/>
  <c r="S38" i="32" s="1"/>
  <c r="R27" i="32"/>
  <c r="R38" i="32" s="1"/>
  <c r="Q27" i="32"/>
  <c r="P27" i="32"/>
  <c r="O27" i="32"/>
  <c r="O38" i="32" s="1"/>
  <c r="N27" i="32"/>
  <c r="N38" i="32" s="1"/>
  <c r="M27" i="32"/>
  <c r="L27" i="32"/>
  <c r="K27" i="32"/>
  <c r="K38" i="32" s="1"/>
  <c r="J27" i="32"/>
  <c r="J38" i="32" s="1"/>
  <c r="I27" i="32"/>
  <c r="H27" i="32"/>
  <c r="G27" i="32"/>
  <c r="G38" i="32" s="1"/>
  <c r="F27" i="32"/>
  <c r="F38" i="32" s="1"/>
  <c r="E27" i="32"/>
  <c r="D27" i="32"/>
  <c r="AG20" i="32"/>
  <c r="AF20" i="32"/>
  <c r="AE20" i="32"/>
  <c r="AD20" i="32"/>
  <c r="AC20" i="32"/>
  <c r="AB20" i="32"/>
  <c r="AA20" i="32"/>
  <c r="Z20" i="32"/>
  <c r="Y20" i="32"/>
  <c r="X20" i="32"/>
  <c r="W20" i="32"/>
  <c r="V20" i="32"/>
  <c r="U20" i="32"/>
  <c r="T20" i="32"/>
  <c r="S20" i="32"/>
  <c r="R20" i="32"/>
  <c r="Q20" i="32"/>
  <c r="P20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19" i="32"/>
  <c r="AG18" i="32"/>
  <c r="AF18" i="32"/>
  <c r="AF21" i="32" s="1"/>
  <c r="AF52" i="36" s="1"/>
  <c r="AE18" i="32"/>
  <c r="AD18" i="32"/>
  <c r="AC18" i="32"/>
  <c r="AB18" i="32"/>
  <c r="AB21" i="32" s="1"/>
  <c r="AB52" i="36" s="1"/>
  <c r="AA18" i="32"/>
  <c r="Z18" i="32"/>
  <c r="Y18" i="32"/>
  <c r="X18" i="32"/>
  <c r="X21" i="32" s="1"/>
  <c r="X52" i="36" s="1"/>
  <c r="W18" i="32"/>
  <c r="V18" i="32"/>
  <c r="U18" i="32"/>
  <c r="T18" i="32"/>
  <c r="S18" i="32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7" i="32"/>
  <c r="C16" i="32"/>
  <c r="AF15" i="32"/>
  <c r="AB15" i="32"/>
  <c r="X15" i="32"/>
  <c r="T15" i="32"/>
  <c r="P15" i="32"/>
  <c r="L15" i="32"/>
  <c r="H15" i="32"/>
  <c r="D15" i="32"/>
  <c r="AG9" i="32"/>
  <c r="AF9" i="32"/>
  <c r="AE9" i="32"/>
  <c r="AD9" i="32"/>
  <c r="AC9" i="32"/>
  <c r="AB9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8" i="32"/>
  <c r="AG7" i="32"/>
  <c r="AF7" i="32"/>
  <c r="AE7" i="32"/>
  <c r="AE10" i="32" s="1"/>
  <c r="AD7" i="32"/>
  <c r="AD10" i="32" s="1"/>
  <c r="AC7" i="32"/>
  <c r="AB7" i="32"/>
  <c r="AA7" i="32"/>
  <c r="AA10" i="32" s="1"/>
  <c r="Z7" i="32"/>
  <c r="Y7" i="32"/>
  <c r="X7" i="32"/>
  <c r="W7" i="32"/>
  <c r="W10" i="32" s="1"/>
  <c r="V7" i="32"/>
  <c r="V10" i="32" s="1"/>
  <c r="U7" i="32"/>
  <c r="T7" i="32"/>
  <c r="S7" i="32"/>
  <c r="S10" i="32" s="1"/>
  <c r="R7" i="32"/>
  <c r="Q7" i="32"/>
  <c r="P7" i="32"/>
  <c r="O7" i="32"/>
  <c r="O10" i="32" s="1"/>
  <c r="N7" i="32"/>
  <c r="N10" i="32" s="1"/>
  <c r="M7" i="32"/>
  <c r="L7" i="32"/>
  <c r="K7" i="32"/>
  <c r="K10" i="32" s="1"/>
  <c r="J7" i="32"/>
  <c r="I7" i="32"/>
  <c r="H7" i="32"/>
  <c r="G7" i="32"/>
  <c r="G10" i="32" s="1"/>
  <c r="F7" i="32"/>
  <c r="F10" i="32" s="1"/>
  <c r="E7" i="32"/>
  <c r="D7" i="32"/>
  <c r="C6" i="32"/>
  <c r="C5" i="32"/>
  <c r="AG4" i="32"/>
  <c r="AE4" i="32"/>
  <c r="AE37" i="32" s="1"/>
  <c r="AD4" i="32"/>
  <c r="AC4" i="32"/>
  <c r="AA4" i="32"/>
  <c r="AA37" i="32" s="1"/>
  <c r="Z4" i="32"/>
  <c r="Y4" i="32"/>
  <c r="W4" i="32"/>
  <c r="W37" i="32" s="1"/>
  <c r="V4" i="32"/>
  <c r="U4" i="32"/>
  <c r="S4" i="32"/>
  <c r="S37" i="32" s="1"/>
  <c r="R4" i="32"/>
  <c r="Q4" i="32"/>
  <c r="O4" i="32"/>
  <c r="O37" i="32" s="1"/>
  <c r="N4" i="32"/>
  <c r="M4" i="32"/>
  <c r="K4" i="32"/>
  <c r="K37" i="32" s="1"/>
  <c r="J4" i="32"/>
  <c r="I4" i="32"/>
  <c r="I37" i="32" s="1"/>
  <c r="G4" i="32"/>
  <c r="G37" i="32" s="1"/>
  <c r="F4" i="32"/>
  <c r="F37" i="32" s="1"/>
  <c r="E4" i="32"/>
  <c r="E37" i="32" s="1"/>
  <c r="AE15" i="32"/>
  <c r="J26" i="31"/>
  <c r="I26" i="31"/>
  <c r="H26" i="31"/>
  <c r="G26" i="31"/>
  <c r="F26" i="31"/>
  <c r="E26" i="31"/>
  <c r="D26" i="31"/>
  <c r="J25" i="31"/>
  <c r="I25" i="31"/>
  <c r="H25" i="31"/>
  <c r="G25" i="31"/>
  <c r="F25" i="31"/>
  <c r="E25" i="31"/>
  <c r="D25" i="31"/>
  <c r="J24" i="31"/>
  <c r="J23" i="31" s="1"/>
  <c r="I24" i="31"/>
  <c r="I23" i="31" s="1"/>
  <c r="H24" i="31"/>
  <c r="H23" i="31" s="1"/>
  <c r="G24" i="31"/>
  <c r="G23" i="31" s="1"/>
  <c r="F24" i="31"/>
  <c r="E24" i="31"/>
  <c r="E23" i="31" s="1"/>
  <c r="D24" i="31"/>
  <c r="D23" i="31" s="1"/>
  <c r="D27" i="31" s="1"/>
  <c r="D5" i="41" s="1"/>
  <c r="J22" i="31"/>
  <c r="C10" i="31"/>
  <c r="C8" i="31"/>
  <c r="C7" i="31"/>
  <c r="C6" i="31"/>
  <c r="J5" i="31"/>
  <c r="J9" i="31" s="1"/>
  <c r="I5" i="31"/>
  <c r="I9" i="31" s="1"/>
  <c r="H5" i="31"/>
  <c r="H9" i="31" s="1"/>
  <c r="G5" i="31"/>
  <c r="G9" i="31" s="1"/>
  <c r="F5" i="31"/>
  <c r="F9" i="31" s="1"/>
  <c r="E9" i="31"/>
  <c r="D5" i="31"/>
  <c r="D9" i="31" s="1"/>
  <c r="D16" i="31" s="1"/>
  <c r="G4" i="31"/>
  <c r="F23" i="31" l="1"/>
  <c r="C3" i="35"/>
  <c r="J28" i="43"/>
  <c r="J19" i="43" s="1"/>
  <c r="I26" i="43"/>
  <c r="I17" i="43" s="1"/>
  <c r="J26" i="43"/>
  <c r="J17" i="43" s="1"/>
  <c r="I27" i="43"/>
  <c r="I18" i="43" s="1"/>
  <c r="J27" i="43"/>
  <c r="J18" i="43" s="1"/>
  <c r="I28" i="43"/>
  <c r="I19" i="43" s="1"/>
  <c r="S7" i="42"/>
  <c r="S8" i="42"/>
  <c r="S6" i="42"/>
  <c r="J11" i="31"/>
  <c r="J16" i="31"/>
  <c r="G22" i="31"/>
  <c r="D5" i="34"/>
  <c r="G5" i="34" s="1"/>
  <c r="H5" i="34" s="1"/>
  <c r="I5" i="34" s="1"/>
  <c r="C7" i="33"/>
  <c r="C9" i="32"/>
  <c r="AA26" i="32"/>
  <c r="H27" i="31"/>
  <c r="H5" i="41" s="1"/>
  <c r="J10" i="32"/>
  <c r="R10" i="32"/>
  <c r="Z10" i="32"/>
  <c r="H11" i="31"/>
  <c r="H16" i="31"/>
  <c r="I11" i="31"/>
  <c r="I16" i="31"/>
  <c r="E11" i="31"/>
  <c r="E16" i="31"/>
  <c r="C26" i="31"/>
  <c r="F23" i="33"/>
  <c r="J23" i="33"/>
  <c r="N23" i="33"/>
  <c r="R23" i="33"/>
  <c r="R7" i="36" s="1"/>
  <c r="R33" i="36" s="1"/>
  <c r="R34" i="36" s="1"/>
  <c r="Z23" i="33"/>
  <c r="Z21" i="36" s="1"/>
  <c r="AD23" i="33"/>
  <c r="C15" i="33"/>
  <c r="D49" i="36"/>
  <c r="C49" i="36" s="1"/>
  <c r="G23" i="33"/>
  <c r="G21" i="36" s="1"/>
  <c r="K23" i="33"/>
  <c r="K21" i="36" s="1"/>
  <c r="O23" i="33"/>
  <c r="O7" i="36" s="1"/>
  <c r="O33" i="36" s="1"/>
  <c r="O34" i="36" s="1"/>
  <c r="S23" i="33"/>
  <c r="S7" i="36" s="1"/>
  <c r="S33" i="36" s="1"/>
  <c r="S34" i="36" s="1"/>
  <c r="W23" i="33"/>
  <c r="W7" i="36" s="1"/>
  <c r="W33" i="36" s="1"/>
  <c r="W34" i="36" s="1"/>
  <c r="AA23" i="33"/>
  <c r="AA7" i="36" s="1"/>
  <c r="AA33" i="36" s="1"/>
  <c r="AA34" i="36" s="1"/>
  <c r="AE23" i="33"/>
  <c r="AE7" i="36" s="1"/>
  <c r="AE33" i="36" s="1"/>
  <c r="AE34" i="36" s="1"/>
  <c r="E23" i="33"/>
  <c r="E7" i="36" s="1"/>
  <c r="E33" i="36" s="1"/>
  <c r="I23" i="33"/>
  <c r="I7" i="36" s="1"/>
  <c r="I33" i="36" s="1"/>
  <c r="I34" i="36" s="1"/>
  <c r="M23" i="33"/>
  <c r="M7" i="36" s="1"/>
  <c r="M33" i="36" s="1"/>
  <c r="M34" i="36" s="1"/>
  <c r="Q23" i="33"/>
  <c r="Q21" i="36" s="1"/>
  <c r="U23" i="33"/>
  <c r="U21" i="36" s="1"/>
  <c r="Y23" i="33"/>
  <c r="Y21" i="36" s="1"/>
  <c r="AC23" i="33"/>
  <c r="AC7" i="36" s="1"/>
  <c r="AC33" i="36" s="1"/>
  <c r="AC34" i="36" s="1"/>
  <c r="AG23" i="33"/>
  <c r="AG7" i="36" s="1"/>
  <c r="AG33" i="36" s="1"/>
  <c r="AG34" i="36" s="1"/>
  <c r="H23" i="33"/>
  <c r="H21" i="36" s="1"/>
  <c r="L23" i="33"/>
  <c r="L21" i="36" s="1"/>
  <c r="P23" i="33"/>
  <c r="P7" i="36" s="1"/>
  <c r="P33" i="36" s="1"/>
  <c r="P34" i="36" s="1"/>
  <c r="T23" i="33"/>
  <c r="T7" i="36" s="1"/>
  <c r="T33" i="36" s="1"/>
  <c r="T34" i="36" s="1"/>
  <c r="X23" i="33"/>
  <c r="X7" i="36" s="1"/>
  <c r="X33" i="36" s="1"/>
  <c r="X34" i="36" s="1"/>
  <c r="AB23" i="33"/>
  <c r="AB21" i="36" s="1"/>
  <c r="AF23" i="33"/>
  <c r="AF7" i="36" s="1"/>
  <c r="AF33" i="36" s="1"/>
  <c r="AF34" i="36" s="1"/>
  <c r="V23" i="33"/>
  <c r="V7" i="36" s="1"/>
  <c r="V33" i="36" s="1"/>
  <c r="V34" i="36" s="1"/>
  <c r="C21" i="33"/>
  <c r="C22" i="33"/>
  <c r="AE40" i="32"/>
  <c r="AE43" i="32" s="1"/>
  <c r="AE6" i="41" s="1"/>
  <c r="F21" i="32"/>
  <c r="F52" i="36" s="1"/>
  <c r="J21" i="32"/>
  <c r="J52" i="36" s="1"/>
  <c r="N21" i="32"/>
  <c r="N52" i="36" s="1"/>
  <c r="R21" i="32"/>
  <c r="R52" i="36" s="1"/>
  <c r="V21" i="32"/>
  <c r="V52" i="36" s="1"/>
  <c r="Z21" i="32"/>
  <c r="Z52" i="36" s="1"/>
  <c r="AD21" i="32"/>
  <c r="AD52" i="36" s="1"/>
  <c r="E21" i="32"/>
  <c r="E52" i="36" s="1"/>
  <c r="I21" i="32"/>
  <c r="I52" i="36" s="1"/>
  <c r="M21" i="32"/>
  <c r="M52" i="36" s="1"/>
  <c r="Q21" i="32"/>
  <c r="Q52" i="36" s="1"/>
  <c r="U21" i="32"/>
  <c r="U52" i="36" s="1"/>
  <c r="Y21" i="32"/>
  <c r="Y52" i="36" s="1"/>
  <c r="AC21" i="32"/>
  <c r="AC52" i="36" s="1"/>
  <c r="AG21" i="32"/>
  <c r="AG52" i="36" s="1"/>
  <c r="C20" i="32"/>
  <c r="G21" i="32"/>
  <c r="G52" i="36" s="1"/>
  <c r="K21" i="32"/>
  <c r="K52" i="36" s="1"/>
  <c r="O21" i="32"/>
  <c r="O52" i="36" s="1"/>
  <c r="S21" i="32"/>
  <c r="S52" i="36" s="1"/>
  <c r="W21" i="32"/>
  <c r="W52" i="36" s="1"/>
  <c r="AA21" i="32"/>
  <c r="AA52" i="36" s="1"/>
  <c r="AE21" i="32"/>
  <c r="AE52" i="36" s="1"/>
  <c r="D21" i="32"/>
  <c r="D52" i="36" s="1"/>
  <c r="H21" i="32"/>
  <c r="H52" i="36" s="1"/>
  <c r="L21" i="32"/>
  <c r="L52" i="36" s="1"/>
  <c r="P21" i="32"/>
  <c r="P52" i="36" s="1"/>
  <c r="T21" i="32"/>
  <c r="T52" i="36" s="1"/>
  <c r="M31" i="32"/>
  <c r="AC31" i="32"/>
  <c r="Q31" i="32"/>
  <c r="AG31" i="32"/>
  <c r="D10" i="32"/>
  <c r="P10" i="32"/>
  <c r="X10" i="32"/>
  <c r="AB10" i="32"/>
  <c r="E10" i="32"/>
  <c r="I10" i="32"/>
  <c r="M10" i="32"/>
  <c r="Q10" i="32"/>
  <c r="U10" i="32"/>
  <c r="Y10" i="32"/>
  <c r="AC10" i="32"/>
  <c r="AG10" i="32"/>
  <c r="E31" i="32"/>
  <c r="U31" i="32"/>
  <c r="P41" i="32"/>
  <c r="P42" i="32" s="1"/>
  <c r="H10" i="32"/>
  <c r="L10" i="32"/>
  <c r="T10" i="32"/>
  <c r="AF10" i="32"/>
  <c r="I31" i="32"/>
  <c r="Y31" i="32"/>
  <c r="AF41" i="32"/>
  <c r="AF42" i="32" s="1"/>
  <c r="G40" i="32"/>
  <c r="G43" i="32" s="1"/>
  <c r="G6" i="41" s="1"/>
  <c r="K40" i="32"/>
  <c r="K43" i="32" s="1"/>
  <c r="K6" i="41" s="1"/>
  <c r="O40" i="32"/>
  <c r="O43" i="32" s="1"/>
  <c r="O6" i="41" s="1"/>
  <c r="S40" i="32"/>
  <c r="S43" i="32" s="1"/>
  <c r="S6" i="41" s="1"/>
  <c r="W40" i="32"/>
  <c r="W43" i="32" s="1"/>
  <c r="W6" i="41" s="1"/>
  <c r="AA40" i="32"/>
  <c r="AA43" i="32" s="1"/>
  <c r="AA6" i="41" s="1"/>
  <c r="K29" i="32"/>
  <c r="E29" i="32"/>
  <c r="I29" i="32"/>
  <c r="M29" i="32"/>
  <c r="Q29" i="32"/>
  <c r="U29" i="32"/>
  <c r="Y29" i="32"/>
  <c r="AC29" i="32"/>
  <c r="AG29" i="32"/>
  <c r="AA29" i="32"/>
  <c r="F11" i="31"/>
  <c r="F16" i="31"/>
  <c r="G11" i="31"/>
  <c r="G16" i="31"/>
  <c r="W21" i="36"/>
  <c r="Q7" i="36"/>
  <c r="Q33" i="36" s="1"/>
  <c r="Q34" i="36" s="1"/>
  <c r="P21" i="36"/>
  <c r="AF21" i="36"/>
  <c r="F21" i="36"/>
  <c r="F7" i="36"/>
  <c r="F33" i="36" s="1"/>
  <c r="V21" i="36"/>
  <c r="K7" i="36"/>
  <c r="K33" i="36" s="1"/>
  <c r="K34" i="36" s="1"/>
  <c r="AA21" i="36"/>
  <c r="J21" i="36"/>
  <c r="J7" i="36"/>
  <c r="J33" i="36" s="1"/>
  <c r="J34" i="36" s="1"/>
  <c r="AE21" i="36"/>
  <c r="M21" i="36"/>
  <c r="N21" i="36"/>
  <c r="N7" i="36"/>
  <c r="N33" i="36" s="1"/>
  <c r="N34" i="36" s="1"/>
  <c r="AD21" i="36"/>
  <c r="AD7" i="36"/>
  <c r="AD33" i="36" s="1"/>
  <c r="AD34" i="36" s="1"/>
  <c r="C18" i="32"/>
  <c r="O29" i="32"/>
  <c r="AE29" i="32"/>
  <c r="AC38" i="32"/>
  <c r="AC40" i="32" s="1"/>
  <c r="AC43" i="32" s="1"/>
  <c r="AC6" i="41" s="1"/>
  <c r="S29" i="32"/>
  <c r="M38" i="32"/>
  <c r="M40" i="32" s="1"/>
  <c r="M43" i="32" s="1"/>
  <c r="M6" i="41" s="1"/>
  <c r="N29" i="32"/>
  <c r="R29" i="32"/>
  <c r="Z29" i="32"/>
  <c r="AD29" i="32"/>
  <c r="G29" i="32"/>
  <c r="W29" i="32"/>
  <c r="E27" i="31"/>
  <c r="E5" i="41" s="1"/>
  <c r="C5" i="41" s="1"/>
  <c r="G27" i="31"/>
  <c r="G5" i="41" s="1"/>
  <c r="F27" i="31"/>
  <c r="F5" i="41" s="1"/>
  <c r="I27" i="31"/>
  <c r="I5" i="41" s="1"/>
  <c r="J27" i="31"/>
  <c r="J5" i="41" s="1"/>
  <c r="C25" i="31"/>
  <c r="C5" i="31"/>
  <c r="K26" i="32"/>
  <c r="S26" i="32"/>
  <c r="AF12" i="33"/>
  <c r="AF20" i="33"/>
  <c r="F4" i="33"/>
  <c r="J4" i="33"/>
  <c r="N4" i="33"/>
  <c r="R4" i="33"/>
  <c r="V4" i="33"/>
  <c r="Z4" i="33"/>
  <c r="AD4" i="33"/>
  <c r="D20" i="33"/>
  <c r="G4" i="33"/>
  <c r="K4" i="33"/>
  <c r="O4" i="33"/>
  <c r="S4" i="33"/>
  <c r="W4" i="33"/>
  <c r="AA4" i="33"/>
  <c r="AE4" i="33"/>
  <c r="D12" i="33"/>
  <c r="E20" i="33"/>
  <c r="I20" i="33"/>
  <c r="M20" i="33"/>
  <c r="Q20" i="33"/>
  <c r="U20" i="33"/>
  <c r="Y20" i="33"/>
  <c r="AC20" i="33"/>
  <c r="AG20" i="33"/>
  <c r="D23" i="33"/>
  <c r="H4" i="33"/>
  <c r="L4" i="33"/>
  <c r="P4" i="33"/>
  <c r="T4" i="33"/>
  <c r="X4" i="33"/>
  <c r="AB4" i="33"/>
  <c r="J37" i="32"/>
  <c r="J26" i="32"/>
  <c r="V37" i="32"/>
  <c r="V26" i="32"/>
  <c r="F26" i="32"/>
  <c r="L38" i="32"/>
  <c r="L40" i="32" s="1"/>
  <c r="L29" i="32"/>
  <c r="L32" i="32" s="1"/>
  <c r="L19" i="36" s="1"/>
  <c r="T38" i="32"/>
  <c r="T40" i="32" s="1"/>
  <c r="T29" i="32"/>
  <c r="T32" i="32" s="1"/>
  <c r="T19" i="36" s="1"/>
  <c r="N39" i="32"/>
  <c r="N40" i="32" s="1"/>
  <c r="N43" i="32" s="1"/>
  <c r="N6" i="41" s="1"/>
  <c r="E15" i="32"/>
  <c r="I15" i="32"/>
  <c r="M15" i="32"/>
  <c r="Q15" i="32"/>
  <c r="U15" i="32"/>
  <c r="Y15" i="32"/>
  <c r="AC15" i="32"/>
  <c r="AG15" i="32"/>
  <c r="G26" i="32"/>
  <c r="F29" i="32"/>
  <c r="V29" i="32"/>
  <c r="D31" i="32"/>
  <c r="C30" i="32"/>
  <c r="Q38" i="32"/>
  <c r="Q40" i="32" s="1"/>
  <c r="Q43" i="32" s="1"/>
  <c r="Q6" i="41" s="1"/>
  <c r="AG38" i="32"/>
  <c r="AG40" i="32" s="1"/>
  <c r="AG43" i="32" s="1"/>
  <c r="AG6" i="41" s="1"/>
  <c r="R39" i="32"/>
  <c r="R40" i="32" s="1"/>
  <c r="R43" i="32" s="1"/>
  <c r="R6" i="41" s="1"/>
  <c r="D41" i="32"/>
  <c r="T41" i="32"/>
  <c r="T42" i="32" s="1"/>
  <c r="N37" i="32"/>
  <c r="N26" i="32"/>
  <c r="Z37" i="32"/>
  <c r="Z26" i="32"/>
  <c r="D38" i="32"/>
  <c r="C27" i="32"/>
  <c r="D29" i="32"/>
  <c r="P38" i="32"/>
  <c r="P40" i="32" s="1"/>
  <c r="P29" i="32"/>
  <c r="P32" i="32" s="1"/>
  <c r="P19" i="36" s="1"/>
  <c r="AB38" i="32"/>
  <c r="AB40" i="32" s="1"/>
  <c r="AB29" i="32"/>
  <c r="AB32" i="32" s="1"/>
  <c r="AB19" i="36" s="1"/>
  <c r="AF38" i="32"/>
  <c r="AF40" i="32" s="1"/>
  <c r="AF43" i="32" s="1"/>
  <c r="AF6" i="41" s="1"/>
  <c r="AF29" i="32"/>
  <c r="AF32" i="32" s="1"/>
  <c r="AF19" i="36" s="1"/>
  <c r="AD39" i="32"/>
  <c r="AD40" i="32" s="1"/>
  <c r="AD43" i="32" s="1"/>
  <c r="AD6" i="41" s="1"/>
  <c r="H4" i="32"/>
  <c r="L4" i="32"/>
  <c r="P4" i="32"/>
  <c r="T4" i="32"/>
  <c r="X4" i="32"/>
  <c r="AB4" i="32"/>
  <c r="AF4" i="32"/>
  <c r="C7" i="32"/>
  <c r="F15" i="32"/>
  <c r="J15" i="32"/>
  <c r="N15" i="32"/>
  <c r="R15" i="32"/>
  <c r="V15" i="32"/>
  <c r="Z15" i="32"/>
  <c r="AD15" i="32"/>
  <c r="D26" i="32"/>
  <c r="O26" i="32"/>
  <c r="W26" i="32"/>
  <c r="AE26" i="32"/>
  <c r="F40" i="32"/>
  <c r="F43" i="32" s="1"/>
  <c r="F6" i="41" s="1"/>
  <c r="J40" i="32"/>
  <c r="J43" i="32" s="1"/>
  <c r="J6" i="41" s="1"/>
  <c r="V40" i="32"/>
  <c r="V43" i="32" s="1"/>
  <c r="V6" i="41" s="1"/>
  <c r="D37" i="32"/>
  <c r="E38" i="32"/>
  <c r="U38" i="32"/>
  <c r="U40" i="32" s="1"/>
  <c r="U43" i="32" s="1"/>
  <c r="U6" i="41" s="1"/>
  <c r="H41" i="32"/>
  <c r="H42" i="32" s="1"/>
  <c r="X41" i="32"/>
  <c r="X42" i="32" s="1"/>
  <c r="R37" i="32"/>
  <c r="R26" i="32"/>
  <c r="AD37" i="32"/>
  <c r="AD26" i="32"/>
  <c r="H38" i="32"/>
  <c r="H40" i="32" s="1"/>
  <c r="H29" i="32"/>
  <c r="H32" i="32" s="1"/>
  <c r="H19" i="36" s="1"/>
  <c r="X38" i="32"/>
  <c r="X40" i="32" s="1"/>
  <c r="X29" i="32"/>
  <c r="X32" i="32" s="1"/>
  <c r="X19" i="36" s="1"/>
  <c r="M37" i="32"/>
  <c r="M26" i="32"/>
  <c r="Q37" i="32"/>
  <c r="Q26" i="32"/>
  <c r="U37" i="32"/>
  <c r="U26" i="32"/>
  <c r="Y37" i="32"/>
  <c r="Y26" i="32"/>
  <c r="AC37" i="32"/>
  <c r="AC26" i="32"/>
  <c r="AG37" i="32"/>
  <c r="AG26" i="32"/>
  <c r="G15" i="32"/>
  <c r="K15" i="32"/>
  <c r="O15" i="32"/>
  <c r="S15" i="32"/>
  <c r="W15" i="32"/>
  <c r="AA15" i="32"/>
  <c r="E26" i="32"/>
  <c r="I26" i="32"/>
  <c r="E39" i="32"/>
  <c r="C28" i="32"/>
  <c r="J29" i="32"/>
  <c r="I38" i="32"/>
  <c r="I40" i="32" s="1"/>
  <c r="I43" i="32" s="1"/>
  <c r="I6" i="41" s="1"/>
  <c r="Y38" i="32"/>
  <c r="Y40" i="32" s="1"/>
  <c r="Y43" i="32" s="1"/>
  <c r="Y6" i="41" s="1"/>
  <c r="Z39" i="32"/>
  <c r="Z40" i="32" s="1"/>
  <c r="Z43" i="32" s="1"/>
  <c r="Z6" i="41" s="1"/>
  <c r="L41" i="32"/>
  <c r="L42" i="32" s="1"/>
  <c r="AB41" i="32"/>
  <c r="AB42" i="32" s="1"/>
  <c r="F31" i="32"/>
  <c r="J31" i="32"/>
  <c r="N31" i="32"/>
  <c r="R31" i="32"/>
  <c r="V31" i="32"/>
  <c r="Z31" i="32"/>
  <c r="AD31" i="32"/>
  <c r="G31" i="32"/>
  <c r="K31" i="32"/>
  <c r="O31" i="32"/>
  <c r="S31" i="32"/>
  <c r="W31" i="32"/>
  <c r="AA31" i="32"/>
  <c r="AE31" i="32"/>
  <c r="C24" i="31"/>
  <c r="D11" i="31"/>
  <c r="C9" i="31"/>
  <c r="D22" i="31"/>
  <c r="C23" i="31"/>
  <c r="F4" i="31"/>
  <c r="E4" i="31"/>
  <c r="E22" i="31" s="1"/>
  <c r="D105" i="1"/>
  <c r="E105" i="1" s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X105" i="1" s="1"/>
  <c r="Y105" i="1" s="1"/>
  <c r="Z105" i="1" s="1"/>
  <c r="AA105" i="1" s="1"/>
  <c r="AB105" i="1" s="1"/>
  <c r="AC105" i="1" s="1"/>
  <c r="AD105" i="1" s="1"/>
  <c r="AE105" i="1" s="1"/>
  <c r="AF105" i="1" s="1"/>
  <c r="AG105" i="1" s="1"/>
  <c r="AH105" i="1" s="1"/>
  <c r="AI105" i="1" s="1"/>
  <c r="AJ105" i="1" s="1"/>
  <c r="AK105" i="1" s="1"/>
  <c r="AL105" i="1" s="1"/>
  <c r="AM105" i="1" s="1"/>
  <c r="AN105" i="1" s="1"/>
  <c r="AO105" i="1" s="1"/>
  <c r="AP105" i="1" s="1"/>
  <c r="J14" i="43" l="1"/>
  <c r="J4" i="43" s="1"/>
  <c r="G5" i="42" s="1"/>
  <c r="Y7" i="36"/>
  <c r="Y33" i="36" s="1"/>
  <c r="Y34" i="36" s="1"/>
  <c r="C16" i="31"/>
  <c r="Z7" i="36"/>
  <c r="Z33" i="36" s="1"/>
  <c r="Z34" i="36" s="1"/>
  <c r="G8" i="42"/>
  <c r="G7" i="42"/>
  <c r="G6" i="42"/>
  <c r="I14" i="43"/>
  <c r="I4" i="43" s="1"/>
  <c r="F5" i="42" s="1"/>
  <c r="K32" i="32"/>
  <c r="K19" i="36" s="1"/>
  <c r="AA32" i="32"/>
  <c r="AA19" i="36" s="1"/>
  <c r="T8" i="42"/>
  <c r="T6" i="42"/>
  <c r="T7" i="42"/>
  <c r="E15" i="31"/>
  <c r="E12" i="31"/>
  <c r="E13" i="31" s="1"/>
  <c r="F22" i="31"/>
  <c r="D4" i="34"/>
  <c r="C25" i="34" s="1"/>
  <c r="AC21" i="36"/>
  <c r="I12" i="31"/>
  <c r="I13" i="31" s="1"/>
  <c r="I15" i="31"/>
  <c r="H15" i="31"/>
  <c r="H12" i="31"/>
  <c r="H13" i="31" s="1"/>
  <c r="C27" i="31"/>
  <c r="J15" i="31"/>
  <c r="J12" i="31"/>
  <c r="J13" i="31" s="1"/>
  <c r="J17" i="31" s="1"/>
  <c r="U7" i="36"/>
  <c r="U33" i="36" s="1"/>
  <c r="U34" i="36" s="1"/>
  <c r="R21" i="36"/>
  <c r="H7" i="36"/>
  <c r="H33" i="36" s="1"/>
  <c r="E21" i="36"/>
  <c r="S21" i="36"/>
  <c r="X21" i="36"/>
  <c r="G7" i="36"/>
  <c r="G33" i="36" s="1"/>
  <c r="I21" i="36"/>
  <c r="AB7" i="36"/>
  <c r="AB33" i="36" s="1"/>
  <c r="AB34" i="36" s="1"/>
  <c r="L7" i="36"/>
  <c r="L33" i="36" s="1"/>
  <c r="L34" i="36" s="1"/>
  <c r="AG21" i="36"/>
  <c r="T21" i="36"/>
  <c r="O21" i="36"/>
  <c r="AD32" i="32"/>
  <c r="G32" i="32"/>
  <c r="G19" i="36" s="1"/>
  <c r="AC32" i="32"/>
  <c r="O32" i="32"/>
  <c r="C10" i="32"/>
  <c r="P43" i="32"/>
  <c r="P6" i="41" s="1"/>
  <c r="M32" i="32"/>
  <c r="I32" i="32"/>
  <c r="H43" i="32"/>
  <c r="H6" i="41" s="1"/>
  <c r="C21" i="32"/>
  <c r="AG32" i="32"/>
  <c r="AG19" i="36" s="1"/>
  <c r="Q32" i="32"/>
  <c r="Q19" i="36" s="1"/>
  <c r="U32" i="32"/>
  <c r="Y32" i="32"/>
  <c r="E32" i="32"/>
  <c r="AE32" i="32"/>
  <c r="AE19" i="36" s="1"/>
  <c r="Z32" i="32"/>
  <c r="D15" i="31"/>
  <c r="D12" i="31"/>
  <c r="G15" i="31"/>
  <c r="G12" i="31"/>
  <c r="G13" i="31" s="1"/>
  <c r="F12" i="31"/>
  <c r="F13" i="31" s="1"/>
  <c r="F17" i="31" s="1"/>
  <c r="F15" i="31"/>
  <c r="C23" i="33"/>
  <c r="C5" i="35" s="1"/>
  <c r="D21" i="36"/>
  <c r="D7" i="36"/>
  <c r="D21" i="34" s="1"/>
  <c r="K6" i="36"/>
  <c r="H6" i="36"/>
  <c r="C39" i="32"/>
  <c r="AB6" i="36"/>
  <c r="L6" i="36"/>
  <c r="X6" i="36"/>
  <c r="S32" i="32"/>
  <c r="S19" i="36" s="1"/>
  <c r="N32" i="32"/>
  <c r="N19" i="36" s="1"/>
  <c r="X43" i="32"/>
  <c r="X6" i="41" s="1"/>
  <c r="AF6" i="36"/>
  <c r="P6" i="36"/>
  <c r="T6" i="36"/>
  <c r="W32" i="32"/>
  <c r="W19" i="36" s="1"/>
  <c r="R32" i="32"/>
  <c r="R19" i="36" s="1"/>
  <c r="AA20" i="33"/>
  <c r="AA12" i="33"/>
  <c r="Z20" i="33"/>
  <c r="Z12" i="33"/>
  <c r="T12" i="33"/>
  <c r="T20" i="33"/>
  <c r="W12" i="33"/>
  <c r="W20" i="33"/>
  <c r="G20" i="33"/>
  <c r="G12" i="33"/>
  <c r="V20" i="33"/>
  <c r="V12" i="33"/>
  <c r="F20" i="33"/>
  <c r="F12" i="33"/>
  <c r="H12" i="33"/>
  <c r="H20" i="33"/>
  <c r="J20" i="33"/>
  <c r="J12" i="33"/>
  <c r="P12" i="33"/>
  <c r="P20" i="33"/>
  <c r="S12" i="33"/>
  <c r="S20" i="33"/>
  <c r="R20" i="33"/>
  <c r="R12" i="33"/>
  <c r="X12" i="33"/>
  <c r="X20" i="33"/>
  <c r="K12" i="33"/>
  <c r="K20" i="33"/>
  <c r="AB12" i="33"/>
  <c r="AB20" i="33"/>
  <c r="L12" i="33"/>
  <c r="L20" i="33"/>
  <c r="AE12" i="33"/>
  <c r="AE20" i="33"/>
  <c r="O20" i="33"/>
  <c r="O12" i="33"/>
  <c r="AD20" i="33"/>
  <c r="AD12" i="33"/>
  <c r="N20" i="33"/>
  <c r="N12" i="33"/>
  <c r="AF26" i="32"/>
  <c r="AF37" i="32"/>
  <c r="P26" i="32"/>
  <c r="P37" i="32"/>
  <c r="C38" i="32"/>
  <c r="D40" i="32"/>
  <c r="V32" i="32"/>
  <c r="V19" i="36" s="1"/>
  <c r="L43" i="32"/>
  <c r="L6" i="41" s="1"/>
  <c r="E40" i="32"/>
  <c r="E43" i="32" s="1"/>
  <c r="E6" i="41" s="1"/>
  <c r="T37" i="32"/>
  <c r="T26" i="32"/>
  <c r="AB43" i="32"/>
  <c r="AB6" i="41" s="1"/>
  <c r="C31" i="32"/>
  <c r="J32" i="32"/>
  <c r="J19" i="36" s="1"/>
  <c r="AB37" i="32"/>
  <c r="AB26" i="32"/>
  <c r="L26" i="32"/>
  <c r="L37" i="32"/>
  <c r="F32" i="32"/>
  <c r="F19" i="36" s="1"/>
  <c r="X37" i="32"/>
  <c r="X26" i="32"/>
  <c r="H37" i="32"/>
  <c r="H26" i="32"/>
  <c r="D32" i="32"/>
  <c r="D19" i="36" s="1"/>
  <c r="C29" i="32"/>
  <c r="D42" i="32"/>
  <c r="C42" i="32" s="1"/>
  <c r="C41" i="32"/>
  <c r="T43" i="32"/>
  <c r="T6" i="41" s="1"/>
  <c r="C11" i="31"/>
  <c r="D13" i="31"/>
  <c r="D83" i="1"/>
  <c r="E83" i="1" s="1"/>
  <c r="I17" i="31" l="1"/>
  <c r="E21" i="34"/>
  <c r="F21" i="34" s="1"/>
  <c r="G21" i="34" s="1"/>
  <c r="H21" i="34" s="1"/>
  <c r="I21" i="34" s="1"/>
  <c r="J21" i="34" s="1"/>
  <c r="K21" i="34" s="1"/>
  <c r="L21" i="34" s="1"/>
  <c r="E17" i="31"/>
  <c r="F83" i="1"/>
  <c r="D12" i="42"/>
  <c r="AA6" i="36"/>
  <c r="H17" i="31"/>
  <c r="F6" i="42"/>
  <c r="F7" i="42"/>
  <c r="F8" i="42"/>
  <c r="G17" i="31"/>
  <c r="E6" i="36"/>
  <c r="E19" i="36"/>
  <c r="G6" i="36"/>
  <c r="AD6" i="36"/>
  <c r="AD19" i="36"/>
  <c r="AC6" i="36"/>
  <c r="AC19" i="36"/>
  <c r="Z6" i="36"/>
  <c r="Z19" i="36"/>
  <c r="Y6" i="36"/>
  <c r="Y19" i="36"/>
  <c r="U6" i="36"/>
  <c r="U19" i="36"/>
  <c r="O6" i="36"/>
  <c r="O19" i="36"/>
  <c r="M6" i="36"/>
  <c r="M19" i="36"/>
  <c r="I6" i="36"/>
  <c r="I19" i="36"/>
  <c r="U8" i="42"/>
  <c r="U6" i="42"/>
  <c r="U7" i="42"/>
  <c r="G4" i="34"/>
  <c r="H4" i="34" s="1"/>
  <c r="C16" i="34"/>
  <c r="C21" i="36"/>
  <c r="AG6" i="36"/>
  <c r="Q6" i="36"/>
  <c r="AE6" i="36"/>
  <c r="C15" i="31"/>
  <c r="C12" i="31"/>
  <c r="C7" i="36"/>
  <c r="D5" i="35" s="1"/>
  <c r="D33" i="36"/>
  <c r="C33" i="36" s="1"/>
  <c r="J6" i="36"/>
  <c r="D6" i="36"/>
  <c r="R6" i="36"/>
  <c r="S6" i="36"/>
  <c r="F6" i="36"/>
  <c r="V6" i="36"/>
  <c r="W6" i="36"/>
  <c r="N6" i="36"/>
  <c r="C32" i="32"/>
  <c r="C6" i="35" s="1"/>
  <c r="D43" i="32"/>
  <c r="C40" i="32"/>
  <c r="C13" i="31"/>
  <c r="D17" i="31"/>
  <c r="C11" i="1"/>
  <c r="E14" i="1"/>
  <c r="C21" i="34" l="1"/>
  <c r="G83" i="1"/>
  <c r="H83" i="1" s="1"/>
  <c r="E12" i="42"/>
  <c r="C17" i="31"/>
  <c r="C43" i="32"/>
  <c r="D6" i="41"/>
  <c r="D20" i="34"/>
  <c r="V6" i="42"/>
  <c r="V7" i="42"/>
  <c r="V8" i="42"/>
  <c r="C19" i="36"/>
  <c r="C6" i="36"/>
  <c r="D36" i="36"/>
  <c r="I83" i="1" l="1"/>
  <c r="G12" i="42"/>
  <c r="F12" i="42"/>
  <c r="D22" i="34"/>
  <c r="C6" i="41"/>
  <c r="D30" i="34"/>
  <c r="E30" i="34" s="1"/>
  <c r="F30" i="34" s="1"/>
  <c r="G30" i="34" s="1"/>
  <c r="H30" i="34" s="1"/>
  <c r="I30" i="34" s="1"/>
  <c r="J30" i="34" s="1"/>
  <c r="K30" i="34" s="1"/>
  <c r="E20" i="34"/>
  <c r="E22" i="34" s="1"/>
  <c r="W6" i="42"/>
  <c r="W7" i="42"/>
  <c r="W8" i="42"/>
  <c r="D25" i="2"/>
  <c r="E25" i="2"/>
  <c r="F25" i="2"/>
  <c r="G25" i="2"/>
  <c r="H25" i="2"/>
  <c r="I25" i="2"/>
  <c r="J25" i="2"/>
  <c r="C7" i="2"/>
  <c r="J83" i="1" l="1"/>
  <c r="H12" i="42"/>
  <c r="L30" i="34"/>
  <c r="C30" i="34" s="1"/>
  <c r="F20" i="34"/>
  <c r="X6" i="42"/>
  <c r="X7" i="42"/>
  <c r="X8" i="42"/>
  <c r="H6" i="34"/>
  <c r="I6" i="34" s="1"/>
  <c r="C25" i="2"/>
  <c r="K83" i="1" l="1"/>
  <c r="I12" i="42"/>
  <c r="F22" i="34"/>
  <c r="G20" i="34"/>
  <c r="Y6" i="42"/>
  <c r="Y7" i="42"/>
  <c r="Y8" i="42"/>
  <c r="F6" i="9"/>
  <c r="E24" i="2"/>
  <c r="F24" i="2"/>
  <c r="G24" i="2"/>
  <c r="H24" i="2"/>
  <c r="I24" i="2"/>
  <c r="J24" i="2"/>
  <c r="L83" i="1" l="1"/>
  <c r="J12" i="42"/>
  <c r="G22" i="34"/>
  <c r="H20" i="34"/>
  <c r="Z8" i="42"/>
  <c r="Z7" i="42"/>
  <c r="Z6" i="42"/>
  <c r="G6" i="9"/>
  <c r="H6" i="9" s="1"/>
  <c r="H23" i="2"/>
  <c r="G23" i="2"/>
  <c r="J23" i="2"/>
  <c r="F23" i="2"/>
  <c r="I23" i="2"/>
  <c r="E23" i="2"/>
  <c r="C269" i="1"/>
  <c r="D269" i="1" s="1"/>
  <c r="E269" i="1" s="1"/>
  <c r="F269" i="1" s="1"/>
  <c r="G269" i="1" s="1"/>
  <c r="H269" i="1" s="1"/>
  <c r="I269" i="1" s="1"/>
  <c r="J269" i="1" s="1"/>
  <c r="K269" i="1" s="1"/>
  <c r="L269" i="1" s="1"/>
  <c r="M269" i="1" s="1"/>
  <c r="N269" i="1" s="1"/>
  <c r="O269" i="1" s="1"/>
  <c r="P269" i="1" s="1"/>
  <c r="Q269" i="1" s="1"/>
  <c r="R269" i="1" s="1"/>
  <c r="S269" i="1" s="1"/>
  <c r="T269" i="1" s="1"/>
  <c r="U269" i="1" s="1"/>
  <c r="V269" i="1" s="1"/>
  <c r="W269" i="1" s="1"/>
  <c r="X269" i="1" s="1"/>
  <c r="Y269" i="1" s="1"/>
  <c r="Z269" i="1" s="1"/>
  <c r="AA269" i="1" s="1"/>
  <c r="AB269" i="1" s="1"/>
  <c r="AC269" i="1" s="1"/>
  <c r="AD269" i="1" s="1"/>
  <c r="AE269" i="1" s="1"/>
  <c r="AF269" i="1" s="1"/>
  <c r="AG269" i="1" s="1"/>
  <c r="AH269" i="1" s="1"/>
  <c r="AI269" i="1" s="1"/>
  <c r="AJ269" i="1" s="1"/>
  <c r="AK269" i="1" s="1"/>
  <c r="AL269" i="1" s="1"/>
  <c r="AM269" i="1" s="1"/>
  <c r="AN269" i="1" s="1"/>
  <c r="AO269" i="1" s="1"/>
  <c r="AP269" i="1" s="1"/>
  <c r="C268" i="1"/>
  <c r="D268" i="1" s="1"/>
  <c r="E268" i="1" s="1"/>
  <c r="F268" i="1" s="1"/>
  <c r="G268" i="1" s="1"/>
  <c r="H268" i="1" s="1"/>
  <c r="I268" i="1" s="1"/>
  <c r="J268" i="1" s="1"/>
  <c r="K268" i="1" s="1"/>
  <c r="L268" i="1" s="1"/>
  <c r="M268" i="1" s="1"/>
  <c r="N268" i="1" s="1"/>
  <c r="O268" i="1" s="1"/>
  <c r="P268" i="1" s="1"/>
  <c r="Q268" i="1" s="1"/>
  <c r="R268" i="1" s="1"/>
  <c r="S268" i="1" s="1"/>
  <c r="T268" i="1" s="1"/>
  <c r="U268" i="1" s="1"/>
  <c r="V268" i="1" s="1"/>
  <c r="W268" i="1" s="1"/>
  <c r="X268" i="1" s="1"/>
  <c r="Y268" i="1" s="1"/>
  <c r="Z268" i="1" s="1"/>
  <c r="AA268" i="1" s="1"/>
  <c r="AB268" i="1" s="1"/>
  <c r="AC268" i="1" s="1"/>
  <c r="AD268" i="1" s="1"/>
  <c r="AE268" i="1" s="1"/>
  <c r="AF268" i="1" s="1"/>
  <c r="AG268" i="1" s="1"/>
  <c r="AH268" i="1" s="1"/>
  <c r="AI268" i="1" s="1"/>
  <c r="AJ268" i="1" s="1"/>
  <c r="AK268" i="1" s="1"/>
  <c r="AL268" i="1" s="1"/>
  <c r="AM268" i="1" s="1"/>
  <c r="AN268" i="1" s="1"/>
  <c r="AO268" i="1" s="1"/>
  <c r="AP268" i="1" s="1"/>
  <c r="C267" i="1"/>
  <c r="D267" i="1" s="1"/>
  <c r="E267" i="1" s="1"/>
  <c r="F267" i="1" s="1"/>
  <c r="G267" i="1" s="1"/>
  <c r="H267" i="1" s="1"/>
  <c r="I267" i="1" s="1"/>
  <c r="J267" i="1" s="1"/>
  <c r="K267" i="1" s="1"/>
  <c r="L267" i="1" s="1"/>
  <c r="M267" i="1" s="1"/>
  <c r="N267" i="1" s="1"/>
  <c r="O267" i="1" s="1"/>
  <c r="P267" i="1" s="1"/>
  <c r="Q267" i="1" s="1"/>
  <c r="R267" i="1" s="1"/>
  <c r="S267" i="1" s="1"/>
  <c r="T267" i="1" s="1"/>
  <c r="U267" i="1" s="1"/>
  <c r="V267" i="1" s="1"/>
  <c r="W267" i="1" s="1"/>
  <c r="X267" i="1" s="1"/>
  <c r="Y267" i="1" s="1"/>
  <c r="Z267" i="1" s="1"/>
  <c r="AA267" i="1" s="1"/>
  <c r="AB267" i="1" s="1"/>
  <c r="AC267" i="1" s="1"/>
  <c r="AD267" i="1" s="1"/>
  <c r="AE267" i="1" s="1"/>
  <c r="AF267" i="1" s="1"/>
  <c r="AG267" i="1" s="1"/>
  <c r="AH267" i="1" s="1"/>
  <c r="AI267" i="1" s="1"/>
  <c r="AJ267" i="1" s="1"/>
  <c r="AK267" i="1" s="1"/>
  <c r="AL267" i="1" s="1"/>
  <c r="AM267" i="1" s="1"/>
  <c r="AN267" i="1" s="1"/>
  <c r="AO267" i="1" s="1"/>
  <c r="AP267" i="1" s="1"/>
  <c r="C266" i="1"/>
  <c r="D266" i="1" s="1"/>
  <c r="E266" i="1" s="1"/>
  <c r="F266" i="1" s="1"/>
  <c r="G266" i="1" s="1"/>
  <c r="H266" i="1" s="1"/>
  <c r="I266" i="1" s="1"/>
  <c r="J266" i="1" s="1"/>
  <c r="K266" i="1" s="1"/>
  <c r="L266" i="1" s="1"/>
  <c r="M266" i="1" s="1"/>
  <c r="N266" i="1" s="1"/>
  <c r="O266" i="1" s="1"/>
  <c r="P266" i="1" s="1"/>
  <c r="Q266" i="1" s="1"/>
  <c r="R266" i="1" s="1"/>
  <c r="S266" i="1" s="1"/>
  <c r="T266" i="1" s="1"/>
  <c r="U266" i="1" s="1"/>
  <c r="V266" i="1" s="1"/>
  <c r="W266" i="1" s="1"/>
  <c r="X266" i="1" s="1"/>
  <c r="Y266" i="1" s="1"/>
  <c r="Z266" i="1" s="1"/>
  <c r="AA266" i="1" s="1"/>
  <c r="AB266" i="1" s="1"/>
  <c r="AC266" i="1" s="1"/>
  <c r="AD266" i="1" s="1"/>
  <c r="AE266" i="1" s="1"/>
  <c r="AF266" i="1" s="1"/>
  <c r="AG266" i="1" s="1"/>
  <c r="AH266" i="1" s="1"/>
  <c r="AI266" i="1" s="1"/>
  <c r="AJ266" i="1" s="1"/>
  <c r="AK266" i="1" s="1"/>
  <c r="AL266" i="1" s="1"/>
  <c r="AM266" i="1" s="1"/>
  <c r="AN266" i="1" s="1"/>
  <c r="AO266" i="1" s="1"/>
  <c r="AP266" i="1" s="1"/>
  <c r="C265" i="1"/>
  <c r="D265" i="1" s="1"/>
  <c r="E265" i="1" s="1"/>
  <c r="F265" i="1" s="1"/>
  <c r="G265" i="1" s="1"/>
  <c r="H265" i="1" s="1"/>
  <c r="I265" i="1" s="1"/>
  <c r="J265" i="1" s="1"/>
  <c r="K265" i="1" s="1"/>
  <c r="L265" i="1" s="1"/>
  <c r="M265" i="1" s="1"/>
  <c r="N265" i="1" s="1"/>
  <c r="O265" i="1" s="1"/>
  <c r="P265" i="1" s="1"/>
  <c r="Q265" i="1" s="1"/>
  <c r="R265" i="1" s="1"/>
  <c r="S265" i="1" s="1"/>
  <c r="T265" i="1" s="1"/>
  <c r="U265" i="1" s="1"/>
  <c r="V265" i="1" s="1"/>
  <c r="W265" i="1" s="1"/>
  <c r="X265" i="1" s="1"/>
  <c r="Y265" i="1" s="1"/>
  <c r="Z265" i="1" s="1"/>
  <c r="AA265" i="1" s="1"/>
  <c r="AB265" i="1" s="1"/>
  <c r="AC265" i="1" s="1"/>
  <c r="AD265" i="1" s="1"/>
  <c r="AE265" i="1" s="1"/>
  <c r="AF265" i="1" s="1"/>
  <c r="AG265" i="1" s="1"/>
  <c r="AH265" i="1" s="1"/>
  <c r="AI265" i="1" s="1"/>
  <c r="AJ265" i="1" s="1"/>
  <c r="AK265" i="1" s="1"/>
  <c r="AL265" i="1" s="1"/>
  <c r="AM265" i="1" s="1"/>
  <c r="AN265" i="1" s="1"/>
  <c r="AO265" i="1" s="1"/>
  <c r="AP265" i="1" s="1"/>
  <c r="C264" i="1"/>
  <c r="D264" i="1" s="1"/>
  <c r="E264" i="1" s="1"/>
  <c r="F264" i="1" s="1"/>
  <c r="G264" i="1" s="1"/>
  <c r="H264" i="1" s="1"/>
  <c r="I264" i="1" s="1"/>
  <c r="J264" i="1" s="1"/>
  <c r="K264" i="1" s="1"/>
  <c r="L264" i="1" s="1"/>
  <c r="M264" i="1" s="1"/>
  <c r="N264" i="1" s="1"/>
  <c r="O264" i="1" s="1"/>
  <c r="P264" i="1" s="1"/>
  <c r="Q264" i="1" s="1"/>
  <c r="R264" i="1" s="1"/>
  <c r="S264" i="1" s="1"/>
  <c r="T264" i="1" s="1"/>
  <c r="U264" i="1" s="1"/>
  <c r="V264" i="1" s="1"/>
  <c r="W264" i="1" s="1"/>
  <c r="X264" i="1" s="1"/>
  <c r="Y264" i="1" s="1"/>
  <c r="Z264" i="1" s="1"/>
  <c r="AA264" i="1" s="1"/>
  <c r="AB264" i="1" s="1"/>
  <c r="AC264" i="1" s="1"/>
  <c r="AD264" i="1" s="1"/>
  <c r="AE264" i="1" s="1"/>
  <c r="AF264" i="1" s="1"/>
  <c r="AG264" i="1" s="1"/>
  <c r="AH264" i="1" s="1"/>
  <c r="AI264" i="1" s="1"/>
  <c r="AJ264" i="1" s="1"/>
  <c r="AK264" i="1" s="1"/>
  <c r="AL264" i="1" s="1"/>
  <c r="AM264" i="1" s="1"/>
  <c r="AN264" i="1" s="1"/>
  <c r="AO264" i="1" s="1"/>
  <c r="AP264" i="1" s="1"/>
  <c r="C263" i="1"/>
  <c r="D263" i="1" s="1"/>
  <c r="E263" i="1" s="1"/>
  <c r="F263" i="1" s="1"/>
  <c r="G263" i="1" s="1"/>
  <c r="H263" i="1" s="1"/>
  <c r="I263" i="1" s="1"/>
  <c r="J263" i="1" s="1"/>
  <c r="K263" i="1" s="1"/>
  <c r="L263" i="1" s="1"/>
  <c r="M263" i="1" s="1"/>
  <c r="N263" i="1" s="1"/>
  <c r="O263" i="1" s="1"/>
  <c r="P263" i="1" s="1"/>
  <c r="Q263" i="1" s="1"/>
  <c r="R263" i="1" s="1"/>
  <c r="S263" i="1" s="1"/>
  <c r="T263" i="1" s="1"/>
  <c r="U263" i="1" s="1"/>
  <c r="V263" i="1" s="1"/>
  <c r="W263" i="1" s="1"/>
  <c r="X263" i="1" s="1"/>
  <c r="Y263" i="1" s="1"/>
  <c r="Z263" i="1" s="1"/>
  <c r="AA263" i="1" s="1"/>
  <c r="AB263" i="1" s="1"/>
  <c r="AC263" i="1" s="1"/>
  <c r="AD263" i="1" s="1"/>
  <c r="AE263" i="1" s="1"/>
  <c r="AF263" i="1" s="1"/>
  <c r="AG263" i="1" s="1"/>
  <c r="AH263" i="1" s="1"/>
  <c r="AI263" i="1" s="1"/>
  <c r="AJ263" i="1" s="1"/>
  <c r="AK263" i="1" s="1"/>
  <c r="AL263" i="1" s="1"/>
  <c r="AM263" i="1" s="1"/>
  <c r="AN263" i="1" s="1"/>
  <c r="AO263" i="1" s="1"/>
  <c r="AP263" i="1" s="1"/>
  <c r="C262" i="1"/>
  <c r="D262" i="1" s="1"/>
  <c r="E262" i="1" s="1"/>
  <c r="F262" i="1" s="1"/>
  <c r="G262" i="1" s="1"/>
  <c r="H262" i="1" s="1"/>
  <c r="I262" i="1" s="1"/>
  <c r="J262" i="1" s="1"/>
  <c r="K262" i="1" s="1"/>
  <c r="L262" i="1" s="1"/>
  <c r="M262" i="1" s="1"/>
  <c r="N262" i="1" s="1"/>
  <c r="O262" i="1" s="1"/>
  <c r="P262" i="1" s="1"/>
  <c r="Q262" i="1" s="1"/>
  <c r="R262" i="1" s="1"/>
  <c r="S262" i="1" s="1"/>
  <c r="T262" i="1" s="1"/>
  <c r="U262" i="1" s="1"/>
  <c r="V262" i="1" s="1"/>
  <c r="W262" i="1" s="1"/>
  <c r="X262" i="1" s="1"/>
  <c r="Y262" i="1" s="1"/>
  <c r="Z262" i="1" s="1"/>
  <c r="AA262" i="1" s="1"/>
  <c r="AB262" i="1" s="1"/>
  <c r="AC262" i="1" s="1"/>
  <c r="AD262" i="1" s="1"/>
  <c r="AE262" i="1" s="1"/>
  <c r="AF262" i="1" s="1"/>
  <c r="AG262" i="1" s="1"/>
  <c r="AH262" i="1" s="1"/>
  <c r="AI262" i="1" s="1"/>
  <c r="AJ262" i="1" s="1"/>
  <c r="AK262" i="1" s="1"/>
  <c r="AL262" i="1" s="1"/>
  <c r="AM262" i="1" s="1"/>
  <c r="AN262" i="1" s="1"/>
  <c r="AO262" i="1" s="1"/>
  <c r="AP262" i="1" s="1"/>
  <c r="C261" i="1"/>
  <c r="D261" i="1" s="1"/>
  <c r="E261" i="1" s="1"/>
  <c r="F261" i="1" s="1"/>
  <c r="G261" i="1" s="1"/>
  <c r="H261" i="1" s="1"/>
  <c r="I261" i="1" s="1"/>
  <c r="J261" i="1" s="1"/>
  <c r="K261" i="1" s="1"/>
  <c r="L261" i="1" s="1"/>
  <c r="M261" i="1" s="1"/>
  <c r="N261" i="1" s="1"/>
  <c r="O261" i="1" s="1"/>
  <c r="P261" i="1" s="1"/>
  <c r="Q261" i="1" s="1"/>
  <c r="R261" i="1" s="1"/>
  <c r="S261" i="1" s="1"/>
  <c r="T261" i="1" s="1"/>
  <c r="U261" i="1" s="1"/>
  <c r="V261" i="1" s="1"/>
  <c r="W261" i="1" s="1"/>
  <c r="X261" i="1" s="1"/>
  <c r="Y261" i="1" s="1"/>
  <c r="Z261" i="1" s="1"/>
  <c r="AA261" i="1" s="1"/>
  <c r="AB261" i="1" s="1"/>
  <c r="AC261" i="1" s="1"/>
  <c r="AD261" i="1" s="1"/>
  <c r="AE261" i="1" s="1"/>
  <c r="AF261" i="1" s="1"/>
  <c r="AG261" i="1" s="1"/>
  <c r="AH261" i="1" s="1"/>
  <c r="AI261" i="1" s="1"/>
  <c r="AJ261" i="1" s="1"/>
  <c r="AK261" i="1" s="1"/>
  <c r="AL261" i="1" s="1"/>
  <c r="AM261" i="1" s="1"/>
  <c r="AN261" i="1" s="1"/>
  <c r="AO261" i="1" s="1"/>
  <c r="AP261" i="1" s="1"/>
  <c r="C260" i="1"/>
  <c r="D260" i="1" s="1"/>
  <c r="E260" i="1" s="1"/>
  <c r="F260" i="1" s="1"/>
  <c r="G260" i="1" s="1"/>
  <c r="H260" i="1" s="1"/>
  <c r="I260" i="1" s="1"/>
  <c r="J260" i="1" s="1"/>
  <c r="K260" i="1" s="1"/>
  <c r="L260" i="1" s="1"/>
  <c r="M260" i="1" s="1"/>
  <c r="N260" i="1" s="1"/>
  <c r="O260" i="1" s="1"/>
  <c r="P260" i="1" s="1"/>
  <c r="Q260" i="1" s="1"/>
  <c r="R260" i="1" s="1"/>
  <c r="S260" i="1" s="1"/>
  <c r="T260" i="1" s="1"/>
  <c r="U260" i="1" s="1"/>
  <c r="V260" i="1" s="1"/>
  <c r="W260" i="1" s="1"/>
  <c r="X260" i="1" s="1"/>
  <c r="Y260" i="1" s="1"/>
  <c r="Z260" i="1" s="1"/>
  <c r="AA260" i="1" s="1"/>
  <c r="AB260" i="1" s="1"/>
  <c r="AC260" i="1" s="1"/>
  <c r="AD260" i="1" s="1"/>
  <c r="AE260" i="1" s="1"/>
  <c r="AF260" i="1" s="1"/>
  <c r="AG260" i="1" s="1"/>
  <c r="AH260" i="1" s="1"/>
  <c r="AI260" i="1" s="1"/>
  <c r="AJ260" i="1" s="1"/>
  <c r="AK260" i="1" s="1"/>
  <c r="AL260" i="1" s="1"/>
  <c r="AM260" i="1" s="1"/>
  <c r="AN260" i="1" s="1"/>
  <c r="AO260" i="1" s="1"/>
  <c r="AP260" i="1" s="1"/>
  <c r="C259" i="1"/>
  <c r="D259" i="1" s="1"/>
  <c r="E259" i="1" s="1"/>
  <c r="F259" i="1" s="1"/>
  <c r="G259" i="1" s="1"/>
  <c r="H259" i="1" s="1"/>
  <c r="I259" i="1" s="1"/>
  <c r="J259" i="1" s="1"/>
  <c r="K259" i="1" s="1"/>
  <c r="L259" i="1" s="1"/>
  <c r="M259" i="1" s="1"/>
  <c r="N259" i="1" s="1"/>
  <c r="O259" i="1" s="1"/>
  <c r="P259" i="1" s="1"/>
  <c r="Q259" i="1" s="1"/>
  <c r="R259" i="1" s="1"/>
  <c r="S259" i="1" s="1"/>
  <c r="T259" i="1" s="1"/>
  <c r="U259" i="1" s="1"/>
  <c r="V259" i="1" s="1"/>
  <c r="W259" i="1" s="1"/>
  <c r="X259" i="1" s="1"/>
  <c r="Y259" i="1" s="1"/>
  <c r="Z259" i="1" s="1"/>
  <c r="AA259" i="1" s="1"/>
  <c r="AB259" i="1" s="1"/>
  <c r="AC259" i="1" s="1"/>
  <c r="AD259" i="1" s="1"/>
  <c r="AE259" i="1" s="1"/>
  <c r="AF259" i="1" s="1"/>
  <c r="AG259" i="1" s="1"/>
  <c r="AH259" i="1" s="1"/>
  <c r="AI259" i="1" s="1"/>
  <c r="AJ259" i="1" s="1"/>
  <c r="AK259" i="1" s="1"/>
  <c r="AL259" i="1" s="1"/>
  <c r="AM259" i="1" s="1"/>
  <c r="AN259" i="1" s="1"/>
  <c r="AO259" i="1" s="1"/>
  <c r="AP259" i="1" s="1"/>
  <c r="C258" i="1"/>
  <c r="D258" i="1" s="1"/>
  <c r="E258" i="1" s="1"/>
  <c r="F258" i="1" s="1"/>
  <c r="G258" i="1" s="1"/>
  <c r="H258" i="1" s="1"/>
  <c r="I258" i="1" s="1"/>
  <c r="J258" i="1" s="1"/>
  <c r="K258" i="1" s="1"/>
  <c r="L258" i="1" s="1"/>
  <c r="M258" i="1" s="1"/>
  <c r="N258" i="1" s="1"/>
  <c r="O258" i="1" s="1"/>
  <c r="P258" i="1" s="1"/>
  <c r="Q258" i="1" s="1"/>
  <c r="R258" i="1" s="1"/>
  <c r="S258" i="1" s="1"/>
  <c r="T258" i="1" s="1"/>
  <c r="U258" i="1" s="1"/>
  <c r="V258" i="1" s="1"/>
  <c r="W258" i="1" s="1"/>
  <c r="X258" i="1" s="1"/>
  <c r="Y258" i="1" s="1"/>
  <c r="Z258" i="1" s="1"/>
  <c r="AA258" i="1" s="1"/>
  <c r="AB258" i="1" s="1"/>
  <c r="AC258" i="1" s="1"/>
  <c r="AD258" i="1" s="1"/>
  <c r="AE258" i="1" s="1"/>
  <c r="AF258" i="1" s="1"/>
  <c r="AG258" i="1" s="1"/>
  <c r="AH258" i="1" s="1"/>
  <c r="AI258" i="1" s="1"/>
  <c r="AJ258" i="1" s="1"/>
  <c r="AK258" i="1" s="1"/>
  <c r="AL258" i="1" s="1"/>
  <c r="AM258" i="1" s="1"/>
  <c r="AN258" i="1" s="1"/>
  <c r="AO258" i="1" s="1"/>
  <c r="AP258" i="1" s="1"/>
  <c r="C257" i="1"/>
  <c r="D257" i="1" s="1"/>
  <c r="E257" i="1" s="1"/>
  <c r="F257" i="1" s="1"/>
  <c r="G257" i="1" s="1"/>
  <c r="H257" i="1" s="1"/>
  <c r="I257" i="1" s="1"/>
  <c r="J257" i="1" s="1"/>
  <c r="K257" i="1" s="1"/>
  <c r="L257" i="1" s="1"/>
  <c r="M257" i="1" s="1"/>
  <c r="N257" i="1" s="1"/>
  <c r="O257" i="1" s="1"/>
  <c r="P257" i="1" s="1"/>
  <c r="Q257" i="1" s="1"/>
  <c r="R257" i="1" s="1"/>
  <c r="S257" i="1" s="1"/>
  <c r="T257" i="1" s="1"/>
  <c r="U257" i="1" s="1"/>
  <c r="V257" i="1" s="1"/>
  <c r="W257" i="1" s="1"/>
  <c r="X257" i="1" s="1"/>
  <c r="Y257" i="1" s="1"/>
  <c r="Z257" i="1" s="1"/>
  <c r="AA257" i="1" s="1"/>
  <c r="AB257" i="1" s="1"/>
  <c r="AC257" i="1" s="1"/>
  <c r="AD257" i="1" s="1"/>
  <c r="AE257" i="1" s="1"/>
  <c r="AF257" i="1" s="1"/>
  <c r="AG257" i="1" s="1"/>
  <c r="AH257" i="1" s="1"/>
  <c r="AI257" i="1" s="1"/>
  <c r="AJ257" i="1" s="1"/>
  <c r="AK257" i="1" s="1"/>
  <c r="AL257" i="1" s="1"/>
  <c r="AM257" i="1" s="1"/>
  <c r="AN257" i="1" s="1"/>
  <c r="AO257" i="1" s="1"/>
  <c r="AP257" i="1" s="1"/>
  <c r="C256" i="1"/>
  <c r="D256" i="1" s="1"/>
  <c r="E256" i="1" s="1"/>
  <c r="F256" i="1" s="1"/>
  <c r="G256" i="1" s="1"/>
  <c r="H256" i="1" s="1"/>
  <c r="I256" i="1" s="1"/>
  <c r="J256" i="1" s="1"/>
  <c r="K256" i="1" s="1"/>
  <c r="L256" i="1" s="1"/>
  <c r="M256" i="1" s="1"/>
  <c r="N256" i="1" s="1"/>
  <c r="O256" i="1" s="1"/>
  <c r="P256" i="1" s="1"/>
  <c r="Q256" i="1" s="1"/>
  <c r="R256" i="1" s="1"/>
  <c r="S256" i="1" s="1"/>
  <c r="T256" i="1" s="1"/>
  <c r="U256" i="1" s="1"/>
  <c r="V256" i="1" s="1"/>
  <c r="W256" i="1" s="1"/>
  <c r="X256" i="1" s="1"/>
  <c r="Y256" i="1" s="1"/>
  <c r="Z256" i="1" s="1"/>
  <c r="AA256" i="1" s="1"/>
  <c r="AB256" i="1" s="1"/>
  <c r="AC256" i="1" s="1"/>
  <c r="AD256" i="1" s="1"/>
  <c r="AE256" i="1" s="1"/>
  <c r="AF256" i="1" s="1"/>
  <c r="AG256" i="1" s="1"/>
  <c r="AH256" i="1" s="1"/>
  <c r="AI256" i="1" s="1"/>
  <c r="AJ256" i="1" s="1"/>
  <c r="AK256" i="1" s="1"/>
  <c r="AL256" i="1" s="1"/>
  <c r="AM256" i="1" s="1"/>
  <c r="AN256" i="1" s="1"/>
  <c r="AO256" i="1" s="1"/>
  <c r="AP256" i="1" s="1"/>
  <c r="C255" i="1"/>
  <c r="D255" i="1" s="1"/>
  <c r="E255" i="1" s="1"/>
  <c r="F255" i="1" s="1"/>
  <c r="G255" i="1" s="1"/>
  <c r="H255" i="1" s="1"/>
  <c r="I255" i="1" s="1"/>
  <c r="J255" i="1" s="1"/>
  <c r="K255" i="1" s="1"/>
  <c r="L255" i="1" s="1"/>
  <c r="M255" i="1" s="1"/>
  <c r="N255" i="1" s="1"/>
  <c r="O255" i="1" s="1"/>
  <c r="P255" i="1" s="1"/>
  <c r="Q255" i="1" s="1"/>
  <c r="R255" i="1" s="1"/>
  <c r="S255" i="1" s="1"/>
  <c r="T255" i="1" s="1"/>
  <c r="U255" i="1" s="1"/>
  <c r="V255" i="1" s="1"/>
  <c r="W255" i="1" s="1"/>
  <c r="X255" i="1" s="1"/>
  <c r="Y255" i="1" s="1"/>
  <c r="Z255" i="1" s="1"/>
  <c r="AA255" i="1" s="1"/>
  <c r="AB255" i="1" s="1"/>
  <c r="AC255" i="1" s="1"/>
  <c r="AD255" i="1" s="1"/>
  <c r="AE255" i="1" s="1"/>
  <c r="AF255" i="1" s="1"/>
  <c r="AG255" i="1" s="1"/>
  <c r="AH255" i="1" s="1"/>
  <c r="AI255" i="1" s="1"/>
  <c r="AJ255" i="1" s="1"/>
  <c r="AK255" i="1" s="1"/>
  <c r="AL255" i="1" s="1"/>
  <c r="AM255" i="1" s="1"/>
  <c r="AN255" i="1" s="1"/>
  <c r="AO255" i="1" s="1"/>
  <c r="AP255" i="1" s="1"/>
  <c r="M83" i="1" l="1"/>
  <c r="K12" i="42"/>
  <c r="H22" i="34"/>
  <c r="I20" i="34"/>
  <c r="AA7" i="42"/>
  <c r="AA8" i="42"/>
  <c r="AA6" i="42"/>
  <c r="AQ269" i="1"/>
  <c r="AQ265" i="1"/>
  <c r="AQ256" i="1"/>
  <c r="AQ260" i="1"/>
  <c r="AQ267" i="1"/>
  <c r="AQ257" i="1"/>
  <c r="AQ255" i="1"/>
  <c r="AQ258" i="1"/>
  <c r="AQ266" i="1"/>
  <c r="AQ261" i="1"/>
  <c r="D4" i="19"/>
  <c r="D4" i="10"/>
  <c r="D4" i="6"/>
  <c r="D47" i="6" s="1"/>
  <c r="D20" i="4"/>
  <c r="D26" i="3"/>
  <c r="E4" i="2"/>
  <c r="C16" i="1"/>
  <c r="D19" i="34" l="1"/>
  <c r="D19" i="9"/>
  <c r="N83" i="1"/>
  <c r="L12" i="42"/>
  <c r="J20" i="34"/>
  <c r="I22" i="34"/>
  <c r="AB8" i="42"/>
  <c r="AB7" i="42"/>
  <c r="AB6" i="42"/>
  <c r="AQ268" i="1"/>
  <c r="AQ263" i="1"/>
  <c r="AQ262" i="1"/>
  <c r="AQ259" i="1"/>
  <c r="AQ264" i="1"/>
  <c r="D37" i="3"/>
  <c r="E15" i="3"/>
  <c r="D31" i="6"/>
  <c r="E19" i="9" l="1"/>
  <c r="F19" i="9" s="1"/>
  <c r="G19" i="9" s="1"/>
  <c r="H19" i="9" s="1"/>
  <c r="I19" i="9" s="1"/>
  <c r="D28" i="9"/>
  <c r="E19" i="34"/>
  <c r="D28" i="34"/>
  <c r="O83" i="1"/>
  <c r="M12" i="42"/>
  <c r="K20" i="34"/>
  <c r="J22" i="34"/>
  <c r="AC8" i="42"/>
  <c r="AC6" i="42"/>
  <c r="AC7" i="42"/>
  <c r="D8" i="10"/>
  <c r="D7" i="10"/>
  <c r="D12" i="10" s="1"/>
  <c r="D6" i="10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D53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C19" i="7"/>
  <c r="H26" i="2"/>
  <c r="H27" i="2" s="1"/>
  <c r="H5" i="19" s="1"/>
  <c r="H5" i="2"/>
  <c r="H9" i="2" s="1"/>
  <c r="P83" i="1" l="1"/>
  <c r="N12" i="42"/>
  <c r="F19" i="34"/>
  <c r="E28" i="34"/>
  <c r="J19" i="9"/>
  <c r="I28" i="9"/>
  <c r="L20" i="34"/>
  <c r="K22" i="34"/>
  <c r="AD6" i="42"/>
  <c r="AD7" i="42"/>
  <c r="AD8" i="42"/>
  <c r="C37" i="6"/>
  <c r="H18" i="7"/>
  <c r="H32" i="6" s="1"/>
  <c r="H5" i="6"/>
  <c r="H35" i="6" s="1"/>
  <c r="H16" i="2"/>
  <c r="H51" i="36"/>
  <c r="H35" i="36"/>
  <c r="H11" i="2"/>
  <c r="C53" i="6"/>
  <c r="G19" i="34" l="1"/>
  <c r="F28" i="34"/>
  <c r="Q83" i="1"/>
  <c r="O12" i="42"/>
  <c r="K19" i="9"/>
  <c r="J28" i="9"/>
  <c r="L22" i="34"/>
  <c r="C22" i="34" s="1"/>
  <c r="C12" i="34" s="1"/>
  <c r="C20" i="34"/>
  <c r="AE7" i="42"/>
  <c r="AE6" i="42"/>
  <c r="AE8" i="42"/>
  <c r="H51" i="6"/>
  <c r="H12" i="2"/>
  <c r="H13" i="2" s="1"/>
  <c r="H15" i="2"/>
  <c r="AG8" i="36" l="1"/>
  <c r="H19" i="34"/>
  <c r="G28" i="34"/>
  <c r="R83" i="1"/>
  <c r="P12" i="42"/>
  <c r="L19" i="9"/>
  <c r="K28" i="9"/>
  <c r="AF6" i="42"/>
  <c r="AF7" i="42"/>
  <c r="AF8" i="42"/>
  <c r="H17" i="2"/>
  <c r="H50" i="36"/>
  <c r="H34" i="36"/>
  <c r="H48" i="6"/>
  <c r="AG22" i="36" l="1"/>
  <c r="C22" i="36" s="1"/>
  <c r="C8" i="36"/>
  <c r="D4" i="35" s="1"/>
  <c r="C4" i="35"/>
  <c r="M19" i="9"/>
  <c r="L28" i="9"/>
  <c r="S83" i="1"/>
  <c r="Q12" i="42"/>
  <c r="H28" i="34"/>
  <c r="I19" i="34"/>
  <c r="AG6" i="42"/>
  <c r="AG8" i="42"/>
  <c r="AG7" i="42"/>
  <c r="C5" i="42"/>
  <c r="E26" i="2"/>
  <c r="E27" i="2" s="1"/>
  <c r="E5" i="19" s="1"/>
  <c r="F26" i="2"/>
  <c r="F27" i="2" s="1"/>
  <c r="F5" i="19" s="1"/>
  <c r="G26" i="2"/>
  <c r="G27" i="2" s="1"/>
  <c r="G5" i="19" s="1"/>
  <c r="I26" i="2"/>
  <c r="I27" i="2" s="1"/>
  <c r="I5" i="19" s="1"/>
  <c r="J26" i="2"/>
  <c r="J27" i="2" s="1"/>
  <c r="J5" i="19" s="1"/>
  <c r="D26" i="2"/>
  <c r="D24" i="2"/>
  <c r="D23" i="2" s="1"/>
  <c r="N19" i="9" l="1"/>
  <c r="M28" i="9"/>
  <c r="J19" i="34"/>
  <c r="I28" i="34"/>
  <c r="T83" i="1"/>
  <c r="R12" i="42"/>
  <c r="C7" i="42"/>
  <c r="C8" i="42"/>
  <c r="C6" i="42"/>
  <c r="C23" i="2"/>
  <c r="D27" i="2"/>
  <c r="D5" i="19" s="1"/>
  <c r="O19" i="9" l="1"/>
  <c r="N28" i="9"/>
  <c r="U83" i="1"/>
  <c r="S12" i="42"/>
  <c r="K19" i="34"/>
  <c r="J28" i="34"/>
  <c r="C187" i="1"/>
  <c r="P19" i="9" l="1"/>
  <c r="O28" i="9"/>
  <c r="L19" i="34"/>
  <c r="L28" i="34" s="1"/>
  <c r="K28" i="34"/>
  <c r="V83" i="1"/>
  <c r="T12" i="42"/>
  <c r="D141" i="1"/>
  <c r="D139" i="1"/>
  <c r="D140" i="1"/>
  <c r="D144" i="1"/>
  <c r="D142" i="1"/>
  <c r="D143" i="1"/>
  <c r="AB135" i="1"/>
  <c r="W135" i="1"/>
  <c r="R135" i="1"/>
  <c r="M135" i="1"/>
  <c r="H135" i="1"/>
  <c r="C135" i="1"/>
  <c r="D231" i="1"/>
  <c r="D230" i="1"/>
  <c r="E230" i="1" s="1"/>
  <c r="F230" i="1" s="1"/>
  <c r="G230" i="1" s="1"/>
  <c r="H230" i="1" s="1"/>
  <c r="I230" i="1" s="1"/>
  <c r="J230" i="1" s="1"/>
  <c r="K230" i="1" s="1"/>
  <c r="L230" i="1" s="1"/>
  <c r="M230" i="1" s="1"/>
  <c r="N230" i="1" s="1"/>
  <c r="O230" i="1" s="1"/>
  <c r="P230" i="1" s="1"/>
  <c r="Q230" i="1" s="1"/>
  <c r="R230" i="1" s="1"/>
  <c r="S230" i="1" s="1"/>
  <c r="T230" i="1" s="1"/>
  <c r="U230" i="1" s="1"/>
  <c r="V230" i="1" s="1"/>
  <c r="W230" i="1" s="1"/>
  <c r="X230" i="1" s="1"/>
  <c r="Y230" i="1" s="1"/>
  <c r="Z230" i="1" s="1"/>
  <c r="AA230" i="1" s="1"/>
  <c r="AB230" i="1" s="1"/>
  <c r="AC230" i="1" s="1"/>
  <c r="AD230" i="1" s="1"/>
  <c r="AE230" i="1" s="1"/>
  <c r="AF230" i="1" s="1"/>
  <c r="AG230" i="1" s="1"/>
  <c r="AH230" i="1" s="1"/>
  <c r="AI230" i="1" s="1"/>
  <c r="AJ230" i="1" s="1"/>
  <c r="AK230" i="1" s="1"/>
  <c r="AL230" i="1" s="1"/>
  <c r="AM230" i="1" s="1"/>
  <c r="AN230" i="1" s="1"/>
  <c r="AO230" i="1" s="1"/>
  <c r="AP230" i="1" s="1"/>
  <c r="D229" i="1"/>
  <c r="E229" i="1" s="1"/>
  <c r="F229" i="1" s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Q229" i="1" s="1"/>
  <c r="R229" i="1" s="1"/>
  <c r="S229" i="1" s="1"/>
  <c r="T229" i="1" s="1"/>
  <c r="U229" i="1" s="1"/>
  <c r="V229" i="1" s="1"/>
  <c r="W229" i="1" s="1"/>
  <c r="X229" i="1" s="1"/>
  <c r="Y229" i="1" s="1"/>
  <c r="Z229" i="1" s="1"/>
  <c r="AA229" i="1" s="1"/>
  <c r="AB229" i="1" s="1"/>
  <c r="AC229" i="1" s="1"/>
  <c r="AD229" i="1" s="1"/>
  <c r="AE229" i="1" s="1"/>
  <c r="AF229" i="1" s="1"/>
  <c r="AG229" i="1" s="1"/>
  <c r="AH229" i="1" s="1"/>
  <c r="AI229" i="1" s="1"/>
  <c r="AJ229" i="1" s="1"/>
  <c r="AK229" i="1" s="1"/>
  <c r="AL229" i="1" s="1"/>
  <c r="AM229" i="1" s="1"/>
  <c r="AN229" i="1" s="1"/>
  <c r="AO229" i="1" s="1"/>
  <c r="AP229" i="1" s="1"/>
  <c r="D108" i="1"/>
  <c r="D107" i="1"/>
  <c r="D106" i="1"/>
  <c r="D104" i="1"/>
  <c r="D103" i="1"/>
  <c r="D102" i="1"/>
  <c r="W83" i="1" l="1"/>
  <c r="U12" i="42"/>
  <c r="Q19" i="9"/>
  <c r="P28" i="9"/>
  <c r="E139" i="1"/>
  <c r="I135" i="1"/>
  <c r="AC135" i="1"/>
  <c r="E102" i="1"/>
  <c r="N135" i="1"/>
  <c r="E144" i="1"/>
  <c r="E108" i="1"/>
  <c r="S135" i="1"/>
  <c r="X135" i="1"/>
  <c r="E143" i="1"/>
  <c r="E142" i="1"/>
  <c r="E140" i="1"/>
  <c r="E141" i="1"/>
  <c r="E104" i="1"/>
  <c r="E106" i="1"/>
  <c r="E103" i="1"/>
  <c r="AQ230" i="1"/>
  <c r="D135" i="1"/>
  <c r="E231" i="1"/>
  <c r="F231" i="1" s="1"/>
  <c r="G231" i="1" s="1"/>
  <c r="H231" i="1" s="1"/>
  <c r="I231" i="1" s="1"/>
  <c r="J231" i="1" s="1"/>
  <c r="K231" i="1" s="1"/>
  <c r="L231" i="1" s="1"/>
  <c r="M231" i="1" s="1"/>
  <c r="N231" i="1" s="1"/>
  <c r="O231" i="1" s="1"/>
  <c r="P231" i="1" s="1"/>
  <c r="Q231" i="1" s="1"/>
  <c r="R231" i="1" s="1"/>
  <c r="S231" i="1" s="1"/>
  <c r="T231" i="1" s="1"/>
  <c r="U231" i="1" s="1"/>
  <c r="V231" i="1" s="1"/>
  <c r="W231" i="1" s="1"/>
  <c r="X231" i="1" s="1"/>
  <c r="Y231" i="1" s="1"/>
  <c r="Z231" i="1" s="1"/>
  <c r="AA231" i="1" s="1"/>
  <c r="AB231" i="1" s="1"/>
  <c r="AC231" i="1" s="1"/>
  <c r="AD231" i="1" s="1"/>
  <c r="AE231" i="1" s="1"/>
  <c r="AF231" i="1" s="1"/>
  <c r="AG231" i="1" s="1"/>
  <c r="AH231" i="1" s="1"/>
  <c r="AI231" i="1" s="1"/>
  <c r="AJ231" i="1" s="1"/>
  <c r="AK231" i="1" s="1"/>
  <c r="AL231" i="1" s="1"/>
  <c r="AM231" i="1" s="1"/>
  <c r="AN231" i="1" s="1"/>
  <c r="AO231" i="1" s="1"/>
  <c r="AP231" i="1" s="1"/>
  <c r="E107" i="1"/>
  <c r="AQ229" i="1"/>
  <c r="D82" i="1"/>
  <c r="DJ180" i="1"/>
  <c r="DK180" i="1" s="1"/>
  <c r="DL180" i="1" s="1"/>
  <c r="DM180" i="1" s="1"/>
  <c r="DN180" i="1" s="1"/>
  <c r="DO180" i="1" s="1"/>
  <c r="DP180" i="1" s="1"/>
  <c r="DQ180" i="1" s="1"/>
  <c r="DR180" i="1" s="1"/>
  <c r="DJ179" i="1"/>
  <c r="DK179" i="1" s="1"/>
  <c r="DL179" i="1" s="1"/>
  <c r="DM179" i="1" s="1"/>
  <c r="DN179" i="1" s="1"/>
  <c r="DO179" i="1" s="1"/>
  <c r="DP179" i="1" s="1"/>
  <c r="DQ179" i="1" s="1"/>
  <c r="DR179" i="1" s="1"/>
  <c r="CZ180" i="1"/>
  <c r="DA180" i="1" s="1"/>
  <c r="DB180" i="1" s="1"/>
  <c r="DC180" i="1" s="1"/>
  <c r="DD180" i="1" s="1"/>
  <c r="DE180" i="1" s="1"/>
  <c r="DF180" i="1" s="1"/>
  <c r="DG180" i="1" s="1"/>
  <c r="DH180" i="1" s="1"/>
  <c r="CZ179" i="1"/>
  <c r="DA179" i="1" s="1"/>
  <c r="DB179" i="1" s="1"/>
  <c r="DC179" i="1" s="1"/>
  <c r="DD179" i="1" s="1"/>
  <c r="DE179" i="1" s="1"/>
  <c r="DF179" i="1" s="1"/>
  <c r="DG179" i="1" s="1"/>
  <c r="DH179" i="1" s="1"/>
  <c r="CP181" i="1"/>
  <c r="CQ181" i="1" s="1"/>
  <c r="CR181" i="1" s="1"/>
  <c r="CS181" i="1" s="1"/>
  <c r="CT181" i="1" s="1"/>
  <c r="CU181" i="1" s="1"/>
  <c r="CV181" i="1" s="1"/>
  <c r="CW181" i="1" s="1"/>
  <c r="CX181" i="1" s="1"/>
  <c r="CP180" i="1"/>
  <c r="CQ180" i="1" s="1"/>
  <c r="CR180" i="1" s="1"/>
  <c r="CS180" i="1" s="1"/>
  <c r="CT180" i="1" s="1"/>
  <c r="CU180" i="1" s="1"/>
  <c r="CV180" i="1" s="1"/>
  <c r="CW180" i="1" s="1"/>
  <c r="CX180" i="1" s="1"/>
  <c r="CP179" i="1"/>
  <c r="CQ179" i="1" s="1"/>
  <c r="CR179" i="1" s="1"/>
  <c r="CS179" i="1" s="1"/>
  <c r="CT179" i="1" s="1"/>
  <c r="CU179" i="1" s="1"/>
  <c r="CV179" i="1" s="1"/>
  <c r="CW179" i="1" s="1"/>
  <c r="CX179" i="1" s="1"/>
  <c r="CF184" i="1"/>
  <c r="CG184" i="1" s="1"/>
  <c r="CH184" i="1" s="1"/>
  <c r="CI184" i="1" s="1"/>
  <c r="CJ184" i="1" s="1"/>
  <c r="CK184" i="1" s="1"/>
  <c r="CL184" i="1" s="1"/>
  <c r="CM184" i="1" s="1"/>
  <c r="CN184" i="1" s="1"/>
  <c r="CF181" i="1"/>
  <c r="CG181" i="1" s="1"/>
  <c r="CH181" i="1" s="1"/>
  <c r="CI181" i="1" s="1"/>
  <c r="CJ181" i="1" s="1"/>
  <c r="CK181" i="1" s="1"/>
  <c r="CL181" i="1" s="1"/>
  <c r="CM181" i="1" s="1"/>
  <c r="CN181" i="1" s="1"/>
  <c r="CF180" i="1"/>
  <c r="CG180" i="1" s="1"/>
  <c r="CH180" i="1" s="1"/>
  <c r="CI180" i="1" s="1"/>
  <c r="CJ180" i="1" s="1"/>
  <c r="CK180" i="1" s="1"/>
  <c r="CL180" i="1" s="1"/>
  <c r="CM180" i="1" s="1"/>
  <c r="CN180" i="1" s="1"/>
  <c r="CF179" i="1"/>
  <c r="CG179" i="1" s="1"/>
  <c r="CH179" i="1" s="1"/>
  <c r="CI179" i="1" s="1"/>
  <c r="CJ179" i="1" s="1"/>
  <c r="CK179" i="1" s="1"/>
  <c r="CL179" i="1" s="1"/>
  <c r="CM179" i="1" s="1"/>
  <c r="CN179" i="1" s="1"/>
  <c r="BV184" i="1"/>
  <c r="BW184" i="1" s="1"/>
  <c r="BX184" i="1" s="1"/>
  <c r="BY184" i="1" s="1"/>
  <c r="BZ184" i="1" s="1"/>
  <c r="CA184" i="1" s="1"/>
  <c r="CB184" i="1" s="1"/>
  <c r="CC184" i="1" s="1"/>
  <c r="CD184" i="1" s="1"/>
  <c r="BV183" i="1"/>
  <c r="BW183" i="1" s="1"/>
  <c r="BX183" i="1" s="1"/>
  <c r="BY183" i="1" s="1"/>
  <c r="BZ183" i="1" s="1"/>
  <c r="CA183" i="1" s="1"/>
  <c r="CB183" i="1" s="1"/>
  <c r="CC183" i="1" s="1"/>
  <c r="CD183" i="1" s="1"/>
  <c r="BV182" i="1"/>
  <c r="BW182" i="1" s="1"/>
  <c r="BX182" i="1" s="1"/>
  <c r="BY182" i="1" s="1"/>
  <c r="BZ182" i="1" s="1"/>
  <c r="CA182" i="1" s="1"/>
  <c r="CB182" i="1" s="1"/>
  <c r="CC182" i="1" s="1"/>
  <c r="CD182" i="1" s="1"/>
  <c r="BV181" i="1"/>
  <c r="BW181" i="1" s="1"/>
  <c r="BX181" i="1" s="1"/>
  <c r="BY181" i="1" s="1"/>
  <c r="BZ181" i="1" s="1"/>
  <c r="CA181" i="1" s="1"/>
  <c r="CB181" i="1" s="1"/>
  <c r="CC181" i="1" s="1"/>
  <c r="CD181" i="1" s="1"/>
  <c r="BV180" i="1"/>
  <c r="BW180" i="1" s="1"/>
  <c r="BX180" i="1" s="1"/>
  <c r="BY180" i="1" s="1"/>
  <c r="BZ180" i="1" s="1"/>
  <c r="CA180" i="1" s="1"/>
  <c r="CB180" i="1" s="1"/>
  <c r="CC180" i="1" s="1"/>
  <c r="CD180" i="1" s="1"/>
  <c r="BV179" i="1"/>
  <c r="BW179" i="1" s="1"/>
  <c r="BX179" i="1" s="1"/>
  <c r="BY179" i="1" s="1"/>
  <c r="BZ179" i="1" s="1"/>
  <c r="CA179" i="1" s="1"/>
  <c r="CB179" i="1" s="1"/>
  <c r="CC179" i="1" s="1"/>
  <c r="CD179" i="1" s="1"/>
  <c r="BL184" i="1"/>
  <c r="BM184" i="1" s="1"/>
  <c r="BN184" i="1" s="1"/>
  <c r="BO184" i="1" s="1"/>
  <c r="BP184" i="1" s="1"/>
  <c r="BQ184" i="1" s="1"/>
  <c r="BR184" i="1" s="1"/>
  <c r="BS184" i="1" s="1"/>
  <c r="BT184" i="1" s="1"/>
  <c r="BL183" i="1"/>
  <c r="BM183" i="1" s="1"/>
  <c r="BN183" i="1" s="1"/>
  <c r="BO183" i="1" s="1"/>
  <c r="BP183" i="1" s="1"/>
  <c r="BQ183" i="1" s="1"/>
  <c r="BR183" i="1" s="1"/>
  <c r="BS183" i="1" s="1"/>
  <c r="BT183" i="1" s="1"/>
  <c r="BL182" i="1"/>
  <c r="BM182" i="1" s="1"/>
  <c r="BN182" i="1" s="1"/>
  <c r="BO182" i="1" s="1"/>
  <c r="BP182" i="1" s="1"/>
  <c r="BQ182" i="1" s="1"/>
  <c r="BR182" i="1" s="1"/>
  <c r="BS182" i="1" s="1"/>
  <c r="BT182" i="1" s="1"/>
  <c r="BL181" i="1"/>
  <c r="BM181" i="1" s="1"/>
  <c r="BN181" i="1" s="1"/>
  <c r="BO181" i="1" s="1"/>
  <c r="BP181" i="1" s="1"/>
  <c r="BQ181" i="1" s="1"/>
  <c r="BR181" i="1" s="1"/>
  <c r="BS181" i="1" s="1"/>
  <c r="BT181" i="1" s="1"/>
  <c r="BL180" i="1"/>
  <c r="BM180" i="1" s="1"/>
  <c r="BN180" i="1" s="1"/>
  <c r="BO180" i="1" s="1"/>
  <c r="BP180" i="1" s="1"/>
  <c r="BQ180" i="1" s="1"/>
  <c r="BR180" i="1" s="1"/>
  <c r="BS180" i="1" s="1"/>
  <c r="BT180" i="1" s="1"/>
  <c r="BL179" i="1"/>
  <c r="BM179" i="1" s="1"/>
  <c r="BN179" i="1" s="1"/>
  <c r="BO179" i="1" s="1"/>
  <c r="BP179" i="1" s="1"/>
  <c r="BQ179" i="1" s="1"/>
  <c r="BR179" i="1" s="1"/>
  <c r="BS179" i="1" s="1"/>
  <c r="BT179" i="1" s="1"/>
  <c r="BB184" i="1"/>
  <c r="BC184" i="1" s="1"/>
  <c r="BD184" i="1" s="1"/>
  <c r="BE184" i="1" s="1"/>
  <c r="BF184" i="1" s="1"/>
  <c r="BG184" i="1" s="1"/>
  <c r="BH184" i="1" s="1"/>
  <c r="BI184" i="1" s="1"/>
  <c r="BJ184" i="1" s="1"/>
  <c r="BB183" i="1"/>
  <c r="BC183" i="1" s="1"/>
  <c r="BD183" i="1" s="1"/>
  <c r="BE183" i="1" s="1"/>
  <c r="BF183" i="1" s="1"/>
  <c r="BG183" i="1" s="1"/>
  <c r="BH183" i="1" s="1"/>
  <c r="BI183" i="1" s="1"/>
  <c r="BJ183" i="1" s="1"/>
  <c r="BB182" i="1"/>
  <c r="BC182" i="1" s="1"/>
  <c r="BD182" i="1" s="1"/>
  <c r="BE182" i="1" s="1"/>
  <c r="BF182" i="1" s="1"/>
  <c r="BG182" i="1" s="1"/>
  <c r="BH182" i="1" s="1"/>
  <c r="BI182" i="1" s="1"/>
  <c r="BJ182" i="1" s="1"/>
  <c r="BB181" i="1"/>
  <c r="BC181" i="1" s="1"/>
  <c r="BD181" i="1" s="1"/>
  <c r="BE181" i="1" s="1"/>
  <c r="BF181" i="1" s="1"/>
  <c r="BG181" i="1" s="1"/>
  <c r="BH181" i="1" s="1"/>
  <c r="BI181" i="1" s="1"/>
  <c r="BJ181" i="1" s="1"/>
  <c r="BB180" i="1"/>
  <c r="BC180" i="1" s="1"/>
  <c r="BD180" i="1" s="1"/>
  <c r="BE180" i="1" s="1"/>
  <c r="BF180" i="1" s="1"/>
  <c r="BG180" i="1" s="1"/>
  <c r="BH180" i="1" s="1"/>
  <c r="BI180" i="1" s="1"/>
  <c r="BJ180" i="1" s="1"/>
  <c r="BB179" i="1"/>
  <c r="BC179" i="1" s="1"/>
  <c r="BD179" i="1" s="1"/>
  <c r="BE179" i="1" s="1"/>
  <c r="BF179" i="1" s="1"/>
  <c r="BG179" i="1" s="1"/>
  <c r="BH179" i="1" s="1"/>
  <c r="BI179" i="1" s="1"/>
  <c r="BJ179" i="1" s="1"/>
  <c r="AR184" i="1"/>
  <c r="AS184" i="1" s="1"/>
  <c r="AT184" i="1" s="1"/>
  <c r="AU184" i="1" s="1"/>
  <c r="AV184" i="1" s="1"/>
  <c r="AW184" i="1" s="1"/>
  <c r="AX184" i="1" s="1"/>
  <c r="AY184" i="1" s="1"/>
  <c r="AZ184" i="1" s="1"/>
  <c r="AR183" i="1"/>
  <c r="AS183" i="1" s="1"/>
  <c r="AT183" i="1" s="1"/>
  <c r="AU183" i="1" s="1"/>
  <c r="AV183" i="1" s="1"/>
  <c r="AW183" i="1" s="1"/>
  <c r="AX183" i="1" s="1"/>
  <c r="AY183" i="1" s="1"/>
  <c r="AZ183" i="1" s="1"/>
  <c r="AR182" i="1"/>
  <c r="AS182" i="1" s="1"/>
  <c r="AT182" i="1" s="1"/>
  <c r="AU182" i="1" s="1"/>
  <c r="AV182" i="1" s="1"/>
  <c r="AW182" i="1" s="1"/>
  <c r="AX182" i="1" s="1"/>
  <c r="AY182" i="1" s="1"/>
  <c r="AZ182" i="1" s="1"/>
  <c r="AR181" i="1"/>
  <c r="AS181" i="1" s="1"/>
  <c r="AT181" i="1" s="1"/>
  <c r="AU181" i="1" s="1"/>
  <c r="AV181" i="1" s="1"/>
  <c r="AW181" i="1" s="1"/>
  <c r="AX181" i="1" s="1"/>
  <c r="AY181" i="1" s="1"/>
  <c r="AZ181" i="1" s="1"/>
  <c r="AR180" i="1"/>
  <c r="AS180" i="1" s="1"/>
  <c r="AT180" i="1" s="1"/>
  <c r="AU180" i="1" s="1"/>
  <c r="AV180" i="1" s="1"/>
  <c r="AW180" i="1" s="1"/>
  <c r="AX180" i="1" s="1"/>
  <c r="AY180" i="1" s="1"/>
  <c r="AZ180" i="1" s="1"/>
  <c r="AR179" i="1"/>
  <c r="AS179" i="1" s="1"/>
  <c r="AT179" i="1" s="1"/>
  <c r="AU179" i="1" s="1"/>
  <c r="AV179" i="1" s="1"/>
  <c r="AW179" i="1" s="1"/>
  <c r="AX179" i="1" s="1"/>
  <c r="AY179" i="1" s="1"/>
  <c r="AZ179" i="1" s="1"/>
  <c r="AH184" i="1"/>
  <c r="AI184" i="1" s="1"/>
  <c r="AJ184" i="1" s="1"/>
  <c r="AK184" i="1" s="1"/>
  <c r="AL184" i="1" s="1"/>
  <c r="AM184" i="1" s="1"/>
  <c r="AN184" i="1" s="1"/>
  <c r="AO184" i="1" s="1"/>
  <c r="AP184" i="1" s="1"/>
  <c r="AH183" i="1"/>
  <c r="AI183" i="1" s="1"/>
  <c r="AJ183" i="1" s="1"/>
  <c r="AK183" i="1" s="1"/>
  <c r="AL183" i="1" s="1"/>
  <c r="AM183" i="1" s="1"/>
  <c r="AN183" i="1" s="1"/>
  <c r="AO183" i="1" s="1"/>
  <c r="AP183" i="1" s="1"/>
  <c r="AH182" i="1"/>
  <c r="AI182" i="1" s="1"/>
  <c r="AJ182" i="1" s="1"/>
  <c r="AK182" i="1" s="1"/>
  <c r="AL182" i="1" s="1"/>
  <c r="AM182" i="1" s="1"/>
  <c r="AN182" i="1" s="1"/>
  <c r="AO182" i="1" s="1"/>
  <c r="AP182" i="1" s="1"/>
  <c r="AH181" i="1"/>
  <c r="AI181" i="1" s="1"/>
  <c r="AJ181" i="1" s="1"/>
  <c r="AK181" i="1" s="1"/>
  <c r="AL181" i="1" s="1"/>
  <c r="AM181" i="1" s="1"/>
  <c r="AN181" i="1" s="1"/>
  <c r="AO181" i="1" s="1"/>
  <c r="AP181" i="1" s="1"/>
  <c r="AH180" i="1"/>
  <c r="AI180" i="1" s="1"/>
  <c r="AJ180" i="1" s="1"/>
  <c r="AK180" i="1" s="1"/>
  <c r="AL180" i="1" s="1"/>
  <c r="AM180" i="1" s="1"/>
  <c r="AN180" i="1" s="1"/>
  <c r="AO180" i="1" s="1"/>
  <c r="AP180" i="1" s="1"/>
  <c r="AH179" i="1"/>
  <c r="AI179" i="1" s="1"/>
  <c r="AJ179" i="1" s="1"/>
  <c r="AK179" i="1" s="1"/>
  <c r="AL179" i="1" s="1"/>
  <c r="AM179" i="1" s="1"/>
  <c r="AN179" i="1" s="1"/>
  <c r="AO179" i="1" s="1"/>
  <c r="AP179" i="1" s="1"/>
  <c r="X184" i="1"/>
  <c r="Y184" i="1" s="1"/>
  <c r="Z184" i="1" s="1"/>
  <c r="AA184" i="1" s="1"/>
  <c r="AB184" i="1" s="1"/>
  <c r="AC184" i="1" s="1"/>
  <c r="AD184" i="1" s="1"/>
  <c r="AE184" i="1" s="1"/>
  <c r="AF184" i="1" s="1"/>
  <c r="X183" i="1"/>
  <c r="Y183" i="1" s="1"/>
  <c r="Z183" i="1" s="1"/>
  <c r="AA183" i="1" s="1"/>
  <c r="AB183" i="1" s="1"/>
  <c r="AC183" i="1" s="1"/>
  <c r="AD183" i="1" s="1"/>
  <c r="AE183" i="1" s="1"/>
  <c r="AF183" i="1" s="1"/>
  <c r="X182" i="1"/>
  <c r="Y182" i="1" s="1"/>
  <c r="Z182" i="1" s="1"/>
  <c r="AA182" i="1" s="1"/>
  <c r="AB182" i="1" s="1"/>
  <c r="AC182" i="1" s="1"/>
  <c r="AD182" i="1" s="1"/>
  <c r="AE182" i="1" s="1"/>
  <c r="AF182" i="1" s="1"/>
  <c r="X181" i="1"/>
  <c r="Y181" i="1" s="1"/>
  <c r="Z181" i="1" s="1"/>
  <c r="AA181" i="1" s="1"/>
  <c r="AB181" i="1" s="1"/>
  <c r="AC181" i="1" s="1"/>
  <c r="AD181" i="1" s="1"/>
  <c r="AE181" i="1" s="1"/>
  <c r="AF181" i="1" s="1"/>
  <c r="X180" i="1"/>
  <c r="Y180" i="1" s="1"/>
  <c r="Z180" i="1" s="1"/>
  <c r="AA180" i="1" s="1"/>
  <c r="AB180" i="1" s="1"/>
  <c r="AC180" i="1" s="1"/>
  <c r="AD180" i="1" s="1"/>
  <c r="AE180" i="1" s="1"/>
  <c r="AF180" i="1" s="1"/>
  <c r="X179" i="1"/>
  <c r="Y179" i="1" s="1"/>
  <c r="Z179" i="1" s="1"/>
  <c r="AA179" i="1" s="1"/>
  <c r="AB179" i="1" s="1"/>
  <c r="AC179" i="1" s="1"/>
  <c r="AD179" i="1" s="1"/>
  <c r="AE179" i="1" s="1"/>
  <c r="AF179" i="1" s="1"/>
  <c r="N184" i="1"/>
  <c r="O184" i="1" s="1"/>
  <c r="P184" i="1" s="1"/>
  <c r="Q184" i="1" s="1"/>
  <c r="R184" i="1" s="1"/>
  <c r="S184" i="1" s="1"/>
  <c r="T184" i="1" s="1"/>
  <c r="U184" i="1" s="1"/>
  <c r="V184" i="1" s="1"/>
  <c r="N183" i="1"/>
  <c r="O183" i="1" s="1"/>
  <c r="P183" i="1" s="1"/>
  <c r="Q183" i="1" s="1"/>
  <c r="R183" i="1" s="1"/>
  <c r="S183" i="1" s="1"/>
  <c r="T183" i="1" s="1"/>
  <c r="U183" i="1" s="1"/>
  <c r="V183" i="1" s="1"/>
  <c r="N182" i="1"/>
  <c r="O182" i="1" s="1"/>
  <c r="P182" i="1" s="1"/>
  <c r="Q182" i="1" s="1"/>
  <c r="R182" i="1" s="1"/>
  <c r="S182" i="1" s="1"/>
  <c r="T182" i="1" s="1"/>
  <c r="U182" i="1" s="1"/>
  <c r="V182" i="1" s="1"/>
  <c r="N181" i="1"/>
  <c r="O181" i="1" s="1"/>
  <c r="P181" i="1" s="1"/>
  <c r="Q181" i="1" s="1"/>
  <c r="R181" i="1" s="1"/>
  <c r="S181" i="1" s="1"/>
  <c r="T181" i="1" s="1"/>
  <c r="U181" i="1" s="1"/>
  <c r="V181" i="1" s="1"/>
  <c r="N180" i="1"/>
  <c r="O180" i="1" s="1"/>
  <c r="P180" i="1" s="1"/>
  <c r="Q180" i="1" s="1"/>
  <c r="R180" i="1" s="1"/>
  <c r="S180" i="1" s="1"/>
  <c r="T180" i="1" s="1"/>
  <c r="U180" i="1" s="1"/>
  <c r="V180" i="1" s="1"/>
  <c r="N179" i="1"/>
  <c r="O179" i="1" s="1"/>
  <c r="P179" i="1" s="1"/>
  <c r="Q179" i="1" s="1"/>
  <c r="R179" i="1" s="1"/>
  <c r="S179" i="1" s="1"/>
  <c r="T179" i="1" s="1"/>
  <c r="U179" i="1" s="1"/>
  <c r="V179" i="1" s="1"/>
  <c r="D184" i="1"/>
  <c r="E184" i="1" s="1"/>
  <c r="F184" i="1" s="1"/>
  <c r="G184" i="1" s="1"/>
  <c r="H184" i="1" s="1"/>
  <c r="I184" i="1" s="1"/>
  <c r="J184" i="1" s="1"/>
  <c r="K184" i="1" s="1"/>
  <c r="L184" i="1" s="1"/>
  <c r="D183" i="1"/>
  <c r="E183" i="1" s="1"/>
  <c r="F183" i="1" s="1"/>
  <c r="G183" i="1" s="1"/>
  <c r="H183" i="1" s="1"/>
  <c r="I183" i="1" s="1"/>
  <c r="J183" i="1" s="1"/>
  <c r="K183" i="1" s="1"/>
  <c r="L183" i="1" s="1"/>
  <c r="D182" i="1"/>
  <c r="E182" i="1" s="1"/>
  <c r="F182" i="1" s="1"/>
  <c r="G182" i="1" s="1"/>
  <c r="H182" i="1" s="1"/>
  <c r="I182" i="1" s="1"/>
  <c r="J182" i="1" s="1"/>
  <c r="K182" i="1" s="1"/>
  <c r="L182" i="1" s="1"/>
  <c r="D181" i="1"/>
  <c r="E181" i="1" s="1"/>
  <c r="F181" i="1" s="1"/>
  <c r="G181" i="1" s="1"/>
  <c r="H181" i="1" s="1"/>
  <c r="I181" i="1" s="1"/>
  <c r="J181" i="1" s="1"/>
  <c r="K181" i="1" s="1"/>
  <c r="L181" i="1" s="1"/>
  <c r="D180" i="1"/>
  <c r="E180" i="1" s="1"/>
  <c r="F180" i="1" s="1"/>
  <c r="G180" i="1" s="1"/>
  <c r="H180" i="1" s="1"/>
  <c r="I180" i="1" s="1"/>
  <c r="J180" i="1" s="1"/>
  <c r="K180" i="1" s="1"/>
  <c r="L180" i="1" s="1"/>
  <c r="D179" i="1"/>
  <c r="E179" i="1" s="1"/>
  <c r="F179" i="1" s="1"/>
  <c r="G179" i="1" s="1"/>
  <c r="H179" i="1" s="1"/>
  <c r="I179" i="1" s="1"/>
  <c r="J179" i="1" s="1"/>
  <c r="K179" i="1" s="1"/>
  <c r="L179" i="1" s="1"/>
  <c r="R19" i="9" l="1"/>
  <c r="R28" i="9" s="1"/>
  <c r="Q28" i="9"/>
  <c r="X83" i="1"/>
  <c r="V12" i="42"/>
  <c r="F107" i="1"/>
  <c r="E135" i="1"/>
  <c r="F106" i="1"/>
  <c r="F140" i="1"/>
  <c r="F142" i="1"/>
  <c r="Y135" i="1"/>
  <c r="AD135" i="1"/>
  <c r="F141" i="1"/>
  <c r="T135" i="1"/>
  <c r="F139" i="1"/>
  <c r="F104" i="1"/>
  <c r="F143" i="1"/>
  <c r="F144" i="1"/>
  <c r="F102" i="1"/>
  <c r="J135" i="1"/>
  <c r="F103" i="1"/>
  <c r="F108" i="1"/>
  <c r="O135" i="1"/>
  <c r="AQ231" i="1"/>
  <c r="E82" i="1"/>
  <c r="F76" i="1"/>
  <c r="F77" i="1"/>
  <c r="F78" i="1"/>
  <c r="F75" i="1"/>
  <c r="Y83" i="1" l="1"/>
  <c r="W12" i="42"/>
  <c r="D11" i="42"/>
  <c r="D11" i="10"/>
  <c r="G104" i="1"/>
  <c r="P135" i="1"/>
  <c r="G108" i="1"/>
  <c r="G103" i="1"/>
  <c r="K135" i="1"/>
  <c r="G102" i="1"/>
  <c r="G139" i="1"/>
  <c r="G141" i="1"/>
  <c r="AE135" i="1"/>
  <c r="G142" i="1"/>
  <c r="G143" i="1"/>
  <c r="G106" i="1"/>
  <c r="G107" i="1"/>
  <c r="Z135" i="1"/>
  <c r="G144" i="1"/>
  <c r="U135" i="1"/>
  <c r="G140" i="1"/>
  <c r="F135" i="1"/>
  <c r="Z83" i="1" l="1"/>
  <c r="X12" i="42"/>
  <c r="H107" i="1"/>
  <c r="H102" i="1"/>
  <c r="H144" i="1"/>
  <c r="H140" i="1"/>
  <c r="H143" i="1"/>
  <c r="H108" i="1"/>
  <c r="H139" i="1"/>
  <c r="H103" i="1"/>
  <c r="H104" i="1"/>
  <c r="AQ135" i="1"/>
  <c r="H141" i="1"/>
  <c r="H106" i="1"/>
  <c r="H142" i="1"/>
  <c r="D15" i="3"/>
  <c r="E4" i="4"/>
  <c r="F15" i="3"/>
  <c r="D84" i="1"/>
  <c r="F82" i="1"/>
  <c r="E11" i="42" s="1"/>
  <c r="F4" i="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G23" i="4" s="1"/>
  <c r="AG7" i="6" s="1"/>
  <c r="AG33" i="6" s="1"/>
  <c r="AG34" i="6" s="1"/>
  <c r="AF21" i="4"/>
  <c r="AE21" i="4"/>
  <c r="AD21" i="4"/>
  <c r="AC21" i="4"/>
  <c r="AB21" i="4"/>
  <c r="AA21" i="4"/>
  <c r="Z21" i="4"/>
  <c r="Y21" i="4"/>
  <c r="Y23" i="4" s="1"/>
  <c r="Y7" i="6" s="1"/>
  <c r="Y33" i="6" s="1"/>
  <c r="Y34" i="6" s="1"/>
  <c r="X21" i="4"/>
  <c r="W21" i="4"/>
  <c r="V21" i="4"/>
  <c r="U21" i="4"/>
  <c r="T21" i="4"/>
  <c r="S21" i="4"/>
  <c r="R21" i="4"/>
  <c r="Q21" i="4"/>
  <c r="Q23" i="4" s="1"/>
  <c r="Q7" i="6" s="1"/>
  <c r="Q33" i="6" s="1"/>
  <c r="Q34" i="6" s="1"/>
  <c r="P21" i="4"/>
  <c r="O21" i="4"/>
  <c r="N21" i="4"/>
  <c r="M21" i="4"/>
  <c r="L21" i="4"/>
  <c r="K21" i="4"/>
  <c r="J21" i="4"/>
  <c r="I21" i="4"/>
  <c r="I23" i="4" s="1"/>
  <c r="I7" i="6" s="1"/>
  <c r="I33" i="6" s="1"/>
  <c r="H21" i="4"/>
  <c r="G21" i="4"/>
  <c r="F21" i="4"/>
  <c r="E21" i="4"/>
  <c r="D21" i="4"/>
  <c r="AG15" i="4"/>
  <c r="AG49" i="6" s="1"/>
  <c r="AG50" i="6" s="1"/>
  <c r="AF15" i="4"/>
  <c r="AF49" i="6" s="1"/>
  <c r="AF50" i="6" s="1"/>
  <c r="AE15" i="4"/>
  <c r="AE49" i="6" s="1"/>
  <c r="AE50" i="6" s="1"/>
  <c r="AD15" i="4"/>
  <c r="AD49" i="6" s="1"/>
  <c r="AD50" i="6" s="1"/>
  <c r="AC15" i="4"/>
  <c r="AC49" i="6" s="1"/>
  <c r="AC50" i="6" s="1"/>
  <c r="AB15" i="4"/>
  <c r="AB49" i="6" s="1"/>
  <c r="AB50" i="6" s="1"/>
  <c r="AA15" i="4"/>
  <c r="AA49" i="6" s="1"/>
  <c r="AA50" i="6" s="1"/>
  <c r="Z15" i="4"/>
  <c r="Z49" i="6" s="1"/>
  <c r="Z50" i="6" s="1"/>
  <c r="Y15" i="4"/>
  <c r="Y49" i="6" s="1"/>
  <c r="Y50" i="6" s="1"/>
  <c r="X15" i="4"/>
  <c r="X49" i="6" s="1"/>
  <c r="X50" i="6" s="1"/>
  <c r="W15" i="4"/>
  <c r="W49" i="6" s="1"/>
  <c r="W50" i="6" s="1"/>
  <c r="V15" i="4"/>
  <c r="V49" i="6" s="1"/>
  <c r="V50" i="6" s="1"/>
  <c r="U15" i="4"/>
  <c r="U49" i="6" s="1"/>
  <c r="U50" i="6" s="1"/>
  <c r="T15" i="4"/>
  <c r="T49" i="6" s="1"/>
  <c r="T50" i="6" s="1"/>
  <c r="S15" i="4"/>
  <c r="S49" i="6" s="1"/>
  <c r="S50" i="6" s="1"/>
  <c r="R15" i="4"/>
  <c r="R49" i="6" s="1"/>
  <c r="R50" i="6" s="1"/>
  <c r="Q15" i="4"/>
  <c r="Q49" i="6" s="1"/>
  <c r="Q50" i="6" s="1"/>
  <c r="P15" i="4"/>
  <c r="P49" i="6" s="1"/>
  <c r="P50" i="6" s="1"/>
  <c r="O15" i="4"/>
  <c r="O49" i="6" s="1"/>
  <c r="O50" i="6" s="1"/>
  <c r="N15" i="4"/>
  <c r="N49" i="6" s="1"/>
  <c r="N50" i="6" s="1"/>
  <c r="M15" i="4"/>
  <c r="M49" i="6" s="1"/>
  <c r="M50" i="6" s="1"/>
  <c r="L15" i="4"/>
  <c r="L49" i="6" s="1"/>
  <c r="L50" i="6" s="1"/>
  <c r="K15" i="4"/>
  <c r="K49" i="6" s="1"/>
  <c r="K50" i="6" s="1"/>
  <c r="J15" i="4"/>
  <c r="J49" i="6" s="1"/>
  <c r="J50" i="6" s="1"/>
  <c r="I15" i="4"/>
  <c r="I49" i="6" s="1"/>
  <c r="I50" i="6" s="1"/>
  <c r="H15" i="4"/>
  <c r="H49" i="6" s="1"/>
  <c r="G15" i="4"/>
  <c r="G49" i="6" s="1"/>
  <c r="F15" i="4"/>
  <c r="F49" i="6" s="1"/>
  <c r="E15" i="4"/>
  <c r="E49" i="6" s="1"/>
  <c r="D15" i="4"/>
  <c r="D49" i="6" s="1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14" i="4"/>
  <c r="C13" i="4"/>
  <c r="C6" i="4"/>
  <c r="C5" i="4"/>
  <c r="C26" i="2"/>
  <c r="C24" i="2"/>
  <c r="J5" i="2"/>
  <c r="J9" i="2" s="1"/>
  <c r="I5" i="2"/>
  <c r="I9" i="2" s="1"/>
  <c r="G5" i="2"/>
  <c r="G9" i="2" s="1"/>
  <c r="F5" i="2"/>
  <c r="F9" i="2" s="1"/>
  <c r="E5" i="2"/>
  <c r="E9" i="2" s="1"/>
  <c r="E18" i="7" s="1"/>
  <c r="E32" i="6" s="1"/>
  <c r="D5" i="2"/>
  <c r="D9" i="2" s="1"/>
  <c r="D16" i="2" s="1"/>
  <c r="C10" i="2"/>
  <c r="C8" i="2"/>
  <c r="I6" i="9"/>
  <c r="C6" i="2"/>
  <c r="AG30" i="3"/>
  <c r="AF30" i="3"/>
  <c r="AF41" i="3" s="1"/>
  <c r="AE30" i="3"/>
  <c r="AE41" i="3" s="1"/>
  <c r="AD30" i="3"/>
  <c r="AD41" i="3" s="1"/>
  <c r="AD42" i="3" s="1"/>
  <c r="AC30" i="3"/>
  <c r="AB30" i="3"/>
  <c r="AB41" i="3" s="1"/>
  <c r="AA30" i="3"/>
  <c r="AA41" i="3" s="1"/>
  <c r="Z30" i="3"/>
  <c r="Z41" i="3" s="1"/>
  <c r="Z42" i="3" s="1"/>
  <c r="Y30" i="3"/>
  <c r="Y41" i="3" s="1"/>
  <c r="X30" i="3"/>
  <c r="X41" i="3" s="1"/>
  <c r="W30" i="3"/>
  <c r="W41" i="3" s="1"/>
  <c r="V30" i="3"/>
  <c r="V41" i="3" s="1"/>
  <c r="V42" i="3" s="1"/>
  <c r="U30" i="3"/>
  <c r="U41" i="3" s="1"/>
  <c r="T30" i="3"/>
  <c r="T41" i="3" s="1"/>
  <c r="S30" i="3"/>
  <c r="S41" i="3" s="1"/>
  <c r="R30" i="3"/>
  <c r="R41" i="3" s="1"/>
  <c r="R42" i="3" s="1"/>
  <c r="Q30" i="3"/>
  <c r="P30" i="3"/>
  <c r="P41" i="3" s="1"/>
  <c r="O30" i="3"/>
  <c r="O41" i="3" s="1"/>
  <c r="N30" i="3"/>
  <c r="N41" i="3" s="1"/>
  <c r="N42" i="3" s="1"/>
  <c r="M30" i="3"/>
  <c r="L30" i="3"/>
  <c r="L41" i="3" s="1"/>
  <c r="K30" i="3"/>
  <c r="K41" i="3" s="1"/>
  <c r="J30" i="3"/>
  <c r="J41" i="3" s="1"/>
  <c r="J42" i="3" s="1"/>
  <c r="I30" i="3"/>
  <c r="I41" i="3" s="1"/>
  <c r="H30" i="3"/>
  <c r="H41" i="3" s="1"/>
  <c r="G30" i="3"/>
  <c r="G41" i="3" s="1"/>
  <c r="F30" i="3"/>
  <c r="F41" i="3" s="1"/>
  <c r="F42" i="3" s="1"/>
  <c r="E30" i="3"/>
  <c r="E41" i="3" s="1"/>
  <c r="D30" i="3"/>
  <c r="D41" i="3" s="1"/>
  <c r="AG28" i="3"/>
  <c r="AG39" i="3" s="1"/>
  <c r="AF28" i="3"/>
  <c r="AF39" i="3" s="1"/>
  <c r="AE28" i="3"/>
  <c r="AE39" i="3" s="1"/>
  <c r="AD28" i="3"/>
  <c r="AD39" i="3" s="1"/>
  <c r="AC28" i="3"/>
  <c r="AC39" i="3" s="1"/>
  <c r="AB28" i="3"/>
  <c r="AB39" i="3" s="1"/>
  <c r="AA28" i="3"/>
  <c r="AA39" i="3" s="1"/>
  <c r="Z28" i="3"/>
  <c r="Z39" i="3" s="1"/>
  <c r="Y28" i="3"/>
  <c r="Y39" i="3" s="1"/>
  <c r="X28" i="3"/>
  <c r="X39" i="3" s="1"/>
  <c r="W28" i="3"/>
  <c r="W39" i="3" s="1"/>
  <c r="V28" i="3"/>
  <c r="V39" i="3" s="1"/>
  <c r="U28" i="3"/>
  <c r="U39" i="3" s="1"/>
  <c r="T28" i="3"/>
  <c r="T39" i="3" s="1"/>
  <c r="S28" i="3"/>
  <c r="S39" i="3" s="1"/>
  <c r="R28" i="3"/>
  <c r="R39" i="3" s="1"/>
  <c r="Q28" i="3"/>
  <c r="Q39" i="3" s="1"/>
  <c r="P28" i="3"/>
  <c r="P39" i="3" s="1"/>
  <c r="O28" i="3"/>
  <c r="O39" i="3" s="1"/>
  <c r="N28" i="3"/>
  <c r="N39" i="3" s="1"/>
  <c r="M28" i="3"/>
  <c r="M39" i="3" s="1"/>
  <c r="L28" i="3"/>
  <c r="L39" i="3" s="1"/>
  <c r="K28" i="3"/>
  <c r="K39" i="3" s="1"/>
  <c r="J28" i="3"/>
  <c r="J39" i="3" s="1"/>
  <c r="I28" i="3"/>
  <c r="I39" i="3" s="1"/>
  <c r="H28" i="3"/>
  <c r="H39" i="3" s="1"/>
  <c r="G28" i="3"/>
  <c r="G39" i="3" s="1"/>
  <c r="F28" i="3"/>
  <c r="F39" i="3" s="1"/>
  <c r="E28" i="3"/>
  <c r="E39" i="3" s="1"/>
  <c r="D28" i="3"/>
  <c r="AG27" i="3"/>
  <c r="AG38" i="3" s="1"/>
  <c r="AF27" i="3"/>
  <c r="AE27" i="3"/>
  <c r="AE38" i="3" s="1"/>
  <c r="AD27" i="3"/>
  <c r="AD38" i="3" s="1"/>
  <c r="AC27" i="3"/>
  <c r="AC38" i="3" s="1"/>
  <c r="AB27" i="3"/>
  <c r="AA27" i="3"/>
  <c r="AA38" i="3" s="1"/>
  <c r="Z27" i="3"/>
  <c r="Z38" i="3" s="1"/>
  <c r="Y27" i="3"/>
  <c r="X27" i="3"/>
  <c r="W27" i="3"/>
  <c r="W38" i="3" s="1"/>
  <c r="V27" i="3"/>
  <c r="V38" i="3" s="1"/>
  <c r="U27" i="3"/>
  <c r="T27" i="3"/>
  <c r="S27" i="3"/>
  <c r="S38" i="3" s="1"/>
  <c r="R27" i="3"/>
  <c r="R38" i="3" s="1"/>
  <c r="Q27" i="3"/>
  <c r="P27" i="3"/>
  <c r="O27" i="3"/>
  <c r="O38" i="3" s="1"/>
  <c r="N27" i="3"/>
  <c r="N38" i="3" s="1"/>
  <c r="M27" i="3"/>
  <c r="M38" i="3" s="1"/>
  <c r="L27" i="3"/>
  <c r="K27" i="3"/>
  <c r="K38" i="3" s="1"/>
  <c r="J27" i="3"/>
  <c r="J38" i="3" s="1"/>
  <c r="I27" i="3"/>
  <c r="H27" i="3"/>
  <c r="G27" i="3"/>
  <c r="G38" i="3" s="1"/>
  <c r="F27" i="3"/>
  <c r="F38" i="3" s="1"/>
  <c r="E27" i="3"/>
  <c r="D27" i="3"/>
  <c r="D38" i="3" s="1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8" i="3"/>
  <c r="C6" i="3"/>
  <c r="C5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9" i="3"/>
  <c r="C17" i="3"/>
  <c r="C16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E4" i="19"/>
  <c r="G4" i="3"/>
  <c r="F4" i="2"/>
  <c r="F22" i="2" s="1"/>
  <c r="G17" i="7"/>
  <c r="F4" i="4"/>
  <c r="J22" i="2"/>
  <c r="F4" i="3"/>
  <c r="F4" i="19"/>
  <c r="E4" i="3"/>
  <c r="G15" i="3"/>
  <c r="G4" i="2"/>
  <c r="D22" i="2"/>
  <c r="E22" i="2"/>
  <c r="T17" i="7"/>
  <c r="O17" i="7"/>
  <c r="J17" i="7"/>
  <c r="AE17" i="7"/>
  <c r="AA17" i="7"/>
  <c r="W17" i="7"/>
  <c r="S17" i="7"/>
  <c r="N17" i="7"/>
  <c r="H17" i="7"/>
  <c r="AD17" i="7"/>
  <c r="Z17" i="7"/>
  <c r="V17" i="7"/>
  <c r="R17" i="7"/>
  <c r="L17" i="7"/>
  <c r="AG17" i="7"/>
  <c r="AC17" i="7"/>
  <c r="Y17" i="7"/>
  <c r="P17" i="7"/>
  <c r="K17" i="7"/>
  <c r="AF17" i="7"/>
  <c r="AB17" i="7"/>
  <c r="X17" i="7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U17" i="7"/>
  <c r="Q17" i="7"/>
  <c r="M17" i="7"/>
  <c r="I17" i="7"/>
  <c r="F17" i="7"/>
  <c r="E17" i="7"/>
  <c r="F4" i="10"/>
  <c r="E4" i="10"/>
  <c r="D12" i="4"/>
  <c r="AA83" i="1" l="1"/>
  <c r="Y12" i="42"/>
  <c r="K27" i="44"/>
  <c r="K18" i="44" s="1"/>
  <c r="J26" i="44"/>
  <c r="J17" i="44" s="1"/>
  <c r="K28" i="44"/>
  <c r="K19" i="44" s="1"/>
  <c r="J28" i="44"/>
  <c r="J19" i="44" s="1"/>
  <c r="K26" i="44"/>
  <c r="K17" i="44" s="1"/>
  <c r="J27" i="44"/>
  <c r="J18" i="44" s="1"/>
  <c r="I18" i="7"/>
  <c r="I32" i="6" s="1"/>
  <c r="I34" i="6" s="1"/>
  <c r="I5" i="6"/>
  <c r="I35" i="6" s="1"/>
  <c r="I16" i="2"/>
  <c r="E23" i="4"/>
  <c r="E7" i="6" s="1"/>
  <c r="E33" i="6" s="1"/>
  <c r="E34" i="6" s="1"/>
  <c r="M23" i="4"/>
  <c r="M7" i="6" s="1"/>
  <c r="M33" i="6" s="1"/>
  <c r="M34" i="6" s="1"/>
  <c r="U23" i="4"/>
  <c r="U7" i="6" s="1"/>
  <c r="U33" i="6" s="1"/>
  <c r="U34" i="6" s="1"/>
  <c r="AC23" i="4"/>
  <c r="AC7" i="6" s="1"/>
  <c r="AC33" i="6" s="1"/>
  <c r="AC34" i="6" s="1"/>
  <c r="F18" i="7"/>
  <c r="F32" i="6" s="1"/>
  <c r="F5" i="6"/>
  <c r="F35" i="6" s="1"/>
  <c r="J18" i="7"/>
  <c r="J32" i="6" s="1"/>
  <c r="J5" i="6"/>
  <c r="J35" i="6" s="1"/>
  <c r="J16" i="2"/>
  <c r="G22" i="2"/>
  <c r="D4" i="9"/>
  <c r="G4" i="9" s="1"/>
  <c r="H4" i="9" s="1"/>
  <c r="I4" i="9" s="1"/>
  <c r="G18" i="7"/>
  <c r="G32" i="6" s="1"/>
  <c r="G5" i="6"/>
  <c r="G16" i="2"/>
  <c r="F35" i="36"/>
  <c r="F16" i="2"/>
  <c r="E16" i="2"/>
  <c r="E35" i="36"/>
  <c r="E51" i="36"/>
  <c r="F51" i="36"/>
  <c r="G51" i="36"/>
  <c r="G35" i="36"/>
  <c r="M21" i="6"/>
  <c r="U21" i="6"/>
  <c r="AC21" i="6"/>
  <c r="M6" i="10"/>
  <c r="M7" i="10"/>
  <c r="M12" i="10" s="1"/>
  <c r="M8" i="10"/>
  <c r="U6" i="10"/>
  <c r="U7" i="10"/>
  <c r="U12" i="10" s="1"/>
  <c r="U8" i="10"/>
  <c r="AC6" i="10"/>
  <c r="AC7" i="10"/>
  <c r="AC8" i="10"/>
  <c r="J6" i="10"/>
  <c r="J7" i="10"/>
  <c r="J12" i="10" s="1"/>
  <c r="J8" i="10"/>
  <c r="R6" i="10"/>
  <c r="R7" i="10"/>
  <c r="R12" i="10" s="1"/>
  <c r="R8" i="10"/>
  <c r="V6" i="10"/>
  <c r="V7" i="10"/>
  <c r="V12" i="10" s="1"/>
  <c r="V8" i="10"/>
  <c r="AD6" i="10"/>
  <c r="AD7" i="10"/>
  <c r="AD8" i="10"/>
  <c r="G23" i="4"/>
  <c r="G7" i="6" s="1"/>
  <c r="G33" i="6" s="1"/>
  <c r="K23" i="4"/>
  <c r="K7" i="6" s="1"/>
  <c r="K33" i="6" s="1"/>
  <c r="K34" i="6" s="1"/>
  <c r="O23" i="4"/>
  <c r="O7" i="6" s="1"/>
  <c r="O33" i="6" s="1"/>
  <c r="O34" i="6" s="1"/>
  <c r="S23" i="4"/>
  <c r="S7" i="6" s="1"/>
  <c r="S33" i="6" s="1"/>
  <c r="S34" i="6" s="1"/>
  <c r="W23" i="4"/>
  <c r="W7" i="6" s="1"/>
  <c r="W33" i="6" s="1"/>
  <c r="W34" i="6" s="1"/>
  <c r="AA23" i="4"/>
  <c r="AA7" i="6" s="1"/>
  <c r="AA33" i="6" s="1"/>
  <c r="AA34" i="6" s="1"/>
  <c r="AE23" i="4"/>
  <c r="AE7" i="6" s="1"/>
  <c r="AE33" i="6" s="1"/>
  <c r="AE34" i="6" s="1"/>
  <c r="K8" i="10"/>
  <c r="K6" i="10"/>
  <c r="K7" i="10"/>
  <c r="K12" i="10" s="1"/>
  <c r="O8" i="10"/>
  <c r="O6" i="10"/>
  <c r="O7" i="10"/>
  <c r="O12" i="10" s="1"/>
  <c r="S8" i="10"/>
  <c r="S6" i="10"/>
  <c r="S7" i="10"/>
  <c r="S12" i="10" s="1"/>
  <c r="W8" i="10"/>
  <c r="W6" i="10"/>
  <c r="W7" i="10"/>
  <c r="W12" i="10" s="1"/>
  <c r="AA8" i="10"/>
  <c r="AA6" i="10"/>
  <c r="AA7" i="10"/>
  <c r="AE8" i="10"/>
  <c r="AE6" i="10"/>
  <c r="AE7" i="10"/>
  <c r="I21" i="6"/>
  <c r="Q21" i="6"/>
  <c r="Y21" i="6"/>
  <c r="AG21" i="6"/>
  <c r="E6" i="10"/>
  <c r="E11" i="10" s="1"/>
  <c r="E7" i="10"/>
  <c r="E12" i="10" s="1"/>
  <c r="E8" i="10"/>
  <c r="I6" i="10"/>
  <c r="I7" i="10"/>
  <c r="I12" i="10" s="1"/>
  <c r="I8" i="10"/>
  <c r="Q6" i="10"/>
  <c r="Q7" i="10"/>
  <c r="Q12" i="10" s="1"/>
  <c r="Q8" i="10"/>
  <c r="Y6" i="10"/>
  <c r="Y7" i="10"/>
  <c r="Y12" i="10" s="1"/>
  <c r="Y8" i="10"/>
  <c r="AG6" i="10"/>
  <c r="AG7" i="10"/>
  <c r="AG8" i="10"/>
  <c r="F6" i="10"/>
  <c r="F7" i="10"/>
  <c r="F12" i="10" s="1"/>
  <c r="F8" i="10"/>
  <c r="N6" i="10"/>
  <c r="N7" i="10"/>
  <c r="N12" i="10" s="1"/>
  <c r="N8" i="10"/>
  <c r="Z6" i="10"/>
  <c r="Z7" i="10"/>
  <c r="Z12" i="10" s="1"/>
  <c r="Z8" i="10"/>
  <c r="C15" i="4"/>
  <c r="C21" i="4"/>
  <c r="H23" i="4"/>
  <c r="H7" i="6" s="1"/>
  <c r="H33" i="6" s="1"/>
  <c r="H34" i="6" s="1"/>
  <c r="L23" i="4"/>
  <c r="L7" i="6" s="1"/>
  <c r="L33" i="6" s="1"/>
  <c r="L34" i="6" s="1"/>
  <c r="P23" i="4"/>
  <c r="P7" i="6" s="1"/>
  <c r="P33" i="6" s="1"/>
  <c r="P34" i="6" s="1"/>
  <c r="T23" i="4"/>
  <c r="T7" i="6" s="1"/>
  <c r="T33" i="6" s="1"/>
  <c r="T34" i="6" s="1"/>
  <c r="X23" i="4"/>
  <c r="X7" i="6" s="1"/>
  <c r="X33" i="6" s="1"/>
  <c r="X34" i="6" s="1"/>
  <c r="AB23" i="4"/>
  <c r="AB7" i="6" s="1"/>
  <c r="AB33" i="6" s="1"/>
  <c r="AB34" i="6" s="1"/>
  <c r="AF23" i="4"/>
  <c r="AF7" i="6" s="1"/>
  <c r="AF33" i="6" s="1"/>
  <c r="AF34" i="6" s="1"/>
  <c r="C22" i="4"/>
  <c r="L7" i="10"/>
  <c r="L12" i="10" s="1"/>
  <c r="L8" i="10"/>
  <c r="L6" i="10"/>
  <c r="P7" i="10"/>
  <c r="P12" i="10" s="1"/>
  <c r="P8" i="10"/>
  <c r="P6" i="10"/>
  <c r="T7" i="10"/>
  <c r="T12" i="10" s="1"/>
  <c r="T8" i="10"/>
  <c r="T6" i="10"/>
  <c r="X7" i="10"/>
  <c r="X12" i="10" s="1"/>
  <c r="X8" i="10"/>
  <c r="X6" i="10"/>
  <c r="AB7" i="10"/>
  <c r="AB8" i="10"/>
  <c r="AB6" i="10"/>
  <c r="AF7" i="10"/>
  <c r="AF8" i="10"/>
  <c r="AF6" i="10"/>
  <c r="M40" i="3"/>
  <c r="F40" i="3"/>
  <c r="F43" i="3" s="1"/>
  <c r="F6" i="19" s="1"/>
  <c r="N21" i="3"/>
  <c r="V21" i="3"/>
  <c r="E21" i="3"/>
  <c r="AC40" i="3"/>
  <c r="AG40" i="3"/>
  <c r="D10" i="3"/>
  <c r="J40" i="3"/>
  <c r="J43" i="3" s="1"/>
  <c r="J6" i="19" s="1"/>
  <c r="N40" i="3"/>
  <c r="N43" i="3" s="1"/>
  <c r="N6" i="19" s="1"/>
  <c r="R40" i="3"/>
  <c r="R43" i="3" s="1"/>
  <c r="R6" i="19" s="1"/>
  <c r="V40" i="3"/>
  <c r="V43" i="3" s="1"/>
  <c r="V6" i="19" s="1"/>
  <c r="Z40" i="3"/>
  <c r="Z43" i="3" s="1"/>
  <c r="Z6" i="19" s="1"/>
  <c r="AD40" i="3"/>
  <c r="AD43" i="3" s="1"/>
  <c r="AD6" i="19" s="1"/>
  <c r="Q21" i="3"/>
  <c r="E10" i="3"/>
  <c r="O40" i="3"/>
  <c r="W40" i="3"/>
  <c r="AE40" i="3"/>
  <c r="H29" i="3"/>
  <c r="H38" i="3"/>
  <c r="H40" i="3" s="1"/>
  <c r="L29" i="3"/>
  <c r="L38" i="3"/>
  <c r="L40" i="3" s="1"/>
  <c r="P29" i="3"/>
  <c r="P38" i="3"/>
  <c r="P40" i="3" s="1"/>
  <c r="T29" i="3"/>
  <c r="T38" i="3"/>
  <c r="T40" i="3" s="1"/>
  <c r="X29" i="3"/>
  <c r="X38" i="3"/>
  <c r="X40" i="3" s="1"/>
  <c r="AB29" i="3"/>
  <c r="AB38" i="3"/>
  <c r="AB40" i="3" s="1"/>
  <c r="AF29" i="3"/>
  <c r="AF38" i="3"/>
  <c r="AF40" i="3" s="1"/>
  <c r="C28" i="3"/>
  <c r="D39" i="3"/>
  <c r="C39" i="3" s="1"/>
  <c r="H31" i="3"/>
  <c r="H42" i="3"/>
  <c r="L31" i="3"/>
  <c r="L42" i="3"/>
  <c r="P31" i="3"/>
  <c r="P42" i="3"/>
  <c r="T31" i="3"/>
  <c r="T42" i="3"/>
  <c r="X31" i="3"/>
  <c r="X42" i="3"/>
  <c r="AB31" i="3"/>
  <c r="AB42" i="3"/>
  <c r="AF31" i="3"/>
  <c r="AF42" i="3"/>
  <c r="E29" i="3"/>
  <c r="E38" i="3"/>
  <c r="E40" i="3" s="1"/>
  <c r="I29" i="3"/>
  <c r="I38" i="3"/>
  <c r="I40" i="3" s="1"/>
  <c r="Q29" i="3"/>
  <c r="Q38" i="3"/>
  <c r="Q40" i="3" s="1"/>
  <c r="U29" i="3"/>
  <c r="U38" i="3"/>
  <c r="U40" i="3" s="1"/>
  <c r="Y29" i="3"/>
  <c r="Y38" i="3"/>
  <c r="Y40" i="3" s="1"/>
  <c r="K29" i="3"/>
  <c r="S29" i="3"/>
  <c r="S40" i="3"/>
  <c r="AA29" i="3"/>
  <c r="AA40" i="3"/>
  <c r="E31" i="3"/>
  <c r="E42" i="3"/>
  <c r="I31" i="3"/>
  <c r="I42" i="3"/>
  <c r="U31" i="3"/>
  <c r="U42" i="3"/>
  <c r="Y31" i="3"/>
  <c r="Y42" i="3"/>
  <c r="H21" i="3"/>
  <c r="X21" i="3"/>
  <c r="F21" i="3"/>
  <c r="H10" i="3"/>
  <c r="L10" i="3"/>
  <c r="P10" i="3"/>
  <c r="T10" i="3"/>
  <c r="X10" i="3"/>
  <c r="AB10" i="3"/>
  <c r="AF10" i="3"/>
  <c r="M29" i="3"/>
  <c r="I21" i="3"/>
  <c r="U21" i="3"/>
  <c r="Y21" i="3"/>
  <c r="G10" i="3"/>
  <c r="K10" i="3"/>
  <c r="O10" i="3"/>
  <c r="S10" i="3"/>
  <c r="W10" i="3"/>
  <c r="AA10" i="3"/>
  <c r="AE10" i="3"/>
  <c r="G40" i="3"/>
  <c r="AC29" i="3"/>
  <c r="G31" i="3"/>
  <c r="G42" i="3"/>
  <c r="K31" i="3"/>
  <c r="K42" i="3"/>
  <c r="O31" i="3"/>
  <c r="O42" i="3"/>
  <c r="S31" i="3"/>
  <c r="S42" i="3"/>
  <c r="W31" i="3"/>
  <c r="W42" i="3"/>
  <c r="AA31" i="3"/>
  <c r="AA42" i="3"/>
  <c r="AE31" i="3"/>
  <c r="AE42" i="3"/>
  <c r="M31" i="3"/>
  <c r="M41" i="3"/>
  <c r="M42" i="3" s="1"/>
  <c r="Q31" i="3"/>
  <c r="Q41" i="3"/>
  <c r="Q42" i="3" s="1"/>
  <c r="AC31" i="3"/>
  <c r="AC41" i="3"/>
  <c r="AC42" i="3" s="1"/>
  <c r="AG31" i="3"/>
  <c r="AG41" i="3"/>
  <c r="AG42" i="3" s="1"/>
  <c r="I11" i="2"/>
  <c r="J11" i="2"/>
  <c r="I12" i="4"/>
  <c r="S12" i="4"/>
  <c r="AG12" i="4"/>
  <c r="Y12" i="4"/>
  <c r="V17" i="6"/>
  <c r="V47" i="6"/>
  <c r="V31" i="6"/>
  <c r="AG17" i="6"/>
  <c r="AG47" i="6"/>
  <c r="AG31" i="6"/>
  <c r="Q17" i="6"/>
  <c r="Q47" i="6"/>
  <c r="Q31" i="6"/>
  <c r="AB17" i="6"/>
  <c r="AB47" i="6"/>
  <c r="AB31" i="6"/>
  <c r="L17" i="6"/>
  <c r="L47" i="6"/>
  <c r="L31" i="6"/>
  <c r="AA17" i="6"/>
  <c r="AA31" i="6"/>
  <c r="AA47" i="6"/>
  <c r="K17" i="6"/>
  <c r="K31" i="6"/>
  <c r="K47" i="6"/>
  <c r="N26" i="3"/>
  <c r="N37" i="3"/>
  <c r="J26" i="3"/>
  <c r="J37" i="3"/>
  <c r="X37" i="3"/>
  <c r="X26" i="3"/>
  <c r="T26" i="3"/>
  <c r="T37" i="3"/>
  <c r="AC37" i="3"/>
  <c r="AC26" i="3"/>
  <c r="AG37" i="3"/>
  <c r="AG26" i="3"/>
  <c r="AE12" i="4"/>
  <c r="AE20" i="4"/>
  <c r="AA12" i="4"/>
  <c r="AA20" i="4"/>
  <c r="X12" i="4"/>
  <c r="X20" i="4"/>
  <c r="T12" i="4"/>
  <c r="T20" i="4"/>
  <c r="M12" i="4"/>
  <c r="M20" i="4"/>
  <c r="F17" i="6"/>
  <c r="F47" i="6"/>
  <c r="F31" i="6"/>
  <c r="R17" i="6"/>
  <c r="R31" i="6"/>
  <c r="R47" i="6"/>
  <c r="AC17" i="6"/>
  <c r="AC31" i="6"/>
  <c r="AC47" i="6"/>
  <c r="M17" i="6"/>
  <c r="M31" i="6"/>
  <c r="M47" i="6"/>
  <c r="X17" i="6"/>
  <c r="X47" i="6"/>
  <c r="X31" i="6"/>
  <c r="H17" i="6"/>
  <c r="H47" i="6"/>
  <c r="H31" i="6"/>
  <c r="W17" i="6"/>
  <c r="W31" i="6"/>
  <c r="W47" i="6"/>
  <c r="G17" i="6"/>
  <c r="G31" i="6"/>
  <c r="G47" i="6"/>
  <c r="E26" i="3"/>
  <c r="E37" i="3"/>
  <c r="G37" i="3"/>
  <c r="G26" i="3"/>
  <c r="Q37" i="3"/>
  <c r="Q26" i="3"/>
  <c r="M37" i="3"/>
  <c r="M26" i="3"/>
  <c r="I26" i="3"/>
  <c r="I37" i="3"/>
  <c r="W37" i="3"/>
  <c r="W26" i="3"/>
  <c r="S37" i="3"/>
  <c r="S26" i="3"/>
  <c r="AB37" i="3"/>
  <c r="AB26" i="3"/>
  <c r="AF26" i="3"/>
  <c r="AF37" i="3"/>
  <c r="AD12" i="4"/>
  <c r="AD20" i="4"/>
  <c r="Z12" i="4"/>
  <c r="Z20" i="4"/>
  <c r="W12" i="4"/>
  <c r="W20" i="4"/>
  <c r="P12" i="4"/>
  <c r="P20" i="4"/>
  <c r="L12" i="4"/>
  <c r="L20" i="4"/>
  <c r="AD17" i="6"/>
  <c r="AD31" i="6"/>
  <c r="AD47" i="6"/>
  <c r="N17" i="6"/>
  <c r="N31" i="6"/>
  <c r="N47" i="6"/>
  <c r="Y17" i="6"/>
  <c r="Y31" i="6"/>
  <c r="Y47" i="6"/>
  <c r="I17" i="6"/>
  <c r="I31" i="6"/>
  <c r="I47" i="6"/>
  <c r="T17" i="6"/>
  <c r="T47" i="6"/>
  <c r="T31" i="6"/>
  <c r="S17" i="6"/>
  <c r="S31" i="6"/>
  <c r="S47" i="6"/>
  <c r="E17" i="6"/>
  <c r="E47" i="6"/>
  <c r="E31" i="6"/>
  <c r="F12" i="4"/>
  <c r="F20" i="4"/>
  <c r="P26" i="3"/>
  <c r="P37" i="3"/>
  <c r="L37" i="3"/>
  <c r="L26" i="3"/>
  <c r="H37" i="3"/>
  <c r="H26" i="3"/>
  <c r="V26" i="3"/>
  <c r="V37" i="3"/>
  <c r="R26" i="3"/>
  <c r="R37" i="3"/>
  <c r="AA37" i="3"/>
  <c r="AA26" i="3"/>
  <c r="AE37" i="3"/>
  <c r="AE26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7" i="6"/>
  <c r="Z31" i="6"/>
  <c r="J17" i="6"/>
  <c r="J47" i="6"/>
  <c r="J31" i="6"/>
  <c r="U17" i="6"/>
  <c r="U47" i="6"/>
  <c r="U31" i="6"/>
  <c r="AF17" i="6"/>
  <c r="AF47" i="6"/>
  <c r="AF31" i="6"/>
  <c r="P17" i="6"/>
  <c r="P47" i="6"/>
  <c r="P31" i="6"/>
  <c r="AE31" i="6"/>
  <c r="AE47" i="6"/>
  <c r="O17" i="6"/>
  <c r="O31" i="6"/>
  <c r="O47" i="6"/>
  <c r="F26" i="3"/>
  <c r="F37" i="3"/>
  <c r="O37" i="3"/>
  <c r="O26" i="3"/>
  <c r="K37" i="3"/>
  <c r="K26" i="3"/>
  <c r="Y26" i="3"/>
  <c r="Y37" i="3"/>
  <c r="U26" i="3"/>
  <c r="U37" i="3"/>
  <c r="AD26" i="3"/>
  <c r="AD37" i="3"/>
  <c r="Z26" i="3"/>
  <c r="Z37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E5" i="6"/>
  <c r="E35" i="6" s="1"/>
  <c r="E11" i="2"/>
  <c r="D5" i="6"/>
  <c r="D11" i="2"/>
  <c r="D18" i="7"/>
  <c r="C49" i="6"/>
  <c r="H50" i="6"/>
  <c r="C7" i="4"/>
  <c r="H21" i="6"/>
  <c r="I142" i="1"/>
  <c r="I139" i="1"/>
  <c r="I102" i="1"/>
  <c r="I107" i="1"/>
  <c r="I108" i="1"/>
  <c r="I106" i="1"/>
  <c r="I103" i="1"/>
  <c r="I143" i="1"/>
  <c r="I144" i="1"/>
  <c r="I140" i="1"/>
  <c r="I141" i="1"/>
  <c r="I104" i="1"/>
  <c r="G82" i="1"/>
  <c r="E84" i="1"/>
  <c r="D31" i="3"/>
  <c r="J21" i="3"/>
  <c r="R21" i="3"/>
  <c r="Z21" i="3"/>
  <c r="L21" i="3"/>
  <c r="G21" i="3"/>
  <c r="K21" i="3"/>
  <c r="O21" i="3"/>
  <c r="S21" i="3"/>
  <c r="W21" i="3"/>
  <c r="AA21" i="3"/>
  <c r="AE21" i="3"/>
  <c r="M21" i="3"/>
  <c r="AC21" i="3"/>
  <c r="AG21" i="3"/>
  <c r="I10" i="3"/>
  <c r="M10" i="3"/>
  <c r="Q10" i="3"/>
  <c r="U10" i="3"/>
  <c r="Y10" i="3"/>
  <c r="AC10" i="3"/>
  <c r="AG10" i="3"/>
  <c r="AG29" i="3"/>
  <c r="G29" i="3"/>
  <c r="O29" i="3"/>
  <c r="W29" i="3"/>
  <c r="F31" i="3"/>
  <c r="J31" i="3"/>
  <c r="N31" i="3"/>
  <c r="R31" i="3"/>
  <c r="V31" i="3"/>
  <c r="Z31" i="3"/>
  <c r="AD31" i="3"/>
  <c r="C30" i="3"/>
  <c r="C18" i="3"/>
  <c r="AD21" i="3"/>
  <c r="C20" i="3"/>
  <c r="P21" i="3"/>
  <c r="T21" i="3"/>
  <c r="AB21" i="3"/>
  <c r="AF21" i="3"/>
  <c r="F10" i="3"/>
  <c r="J10" i="3"/>
  <c r="N10" i="3"/>
  <c r="R10" i="3"/>
  <c r="V10" i="3"/>
  <c r="Z10" i="3"/>
  <c r="AD10" i="3"/>
  <c r="F29" i="3"/>
  <c r="J29" i="3"/>
  <c r="N29" i="3"/>
  <c r="R29" i="3"/>
  <c r="V29" i="3"/>
  <c r="Z29" i="3"/>
  <c r="AD29" i="3"/>
  <c r="C7" i="3"/>
  <c r="D29" i="3"/>
  <c r="C27" i="3"/>
  <c r="AE29" i="3"/>
  <c r="D23" i="4"/>
  <c r="D21" i="3"/>
  <c r="D52" i="6" s="1"/>
  <c r="C9" i="3"/>
  <c r="C5" i="2"/>
  <c r="F23" i="4"/>
  <c r="F7" i="6" s="1"/>
  <c r="F33" i="6" s="1"/>
  <c r="F34" i="6" s="1"/>
  <c r="J23" i="4"/>
  <c r="J7" i="6" s="1"/>
  <c r="J33" i="6" s="1"/>
  <c r="J34" i="6" s="1"/>
  <c r="N23" i="4"/>
  <c r="N7" i="6" s="1"/>
  <c r="N33" i="6" s="1"/>
  <c r="N34" i="6" s="1"/>
  <c r="R23" i="4"/>
  <c r="R7" i="6" s="1"/>
  <c r="R33" i="6" s="1"/>
  <c r="R34" i="6" s="1"/>
  <c r="V23" i="4"/>
  <c r="V7" i="6" s="1"/>
  <c r="V33" i="6" s="1"/>
  <c r="V34" i="6" s="1"/>
  <c r="Z23" i="4"/>
  <c r="Z7" i="6" s="1"/>
  <c r="Z33" i="6" s="1"/>
  <c r="Z34" i="6" s="1"/>
  <c r="AD23" i="4"/>
  <c r="AD7" i="6" s="1"/>
  <c r="AD33" i="6" s="1"/>
  <c r="AD34" i="6" s="1"/>
  <c r="E21" i="6" l="1"/>
  <c r="E13" i="10"/>
  <c r="F11" i="10"/>
  <c r="AA12" i="10"/>
  <c r="F84" i="1"/>
  <c r="D13" i="42"/>
  <c r="D14" i="42" s="1"/>
  <c r="D13" i="10"/>
  <c r="D14" i="10" s="1"/>
  <c r="D7" i="19" s="1"/>
  <c r="H82" i="1"/>
  <c r="F11" i="42"/>
  <c r="AB83" i="1"/>
  <c r="Z12" i="42"/>
  <c r="C25" i="9"/>
  <c r="J14" i="44"/>
  <c r="J4" i="44" s="1"/>
  <c r="G5" i="10" s="1"/>
  <c r="K14" i="44"/>
  <c r="K4" i="44" s="1"/>
  <c r="H5" i="10" s="1"/>
  <c r="C16" i="9"/>
  <c r="J15" i="2"/>
  <c r="J12" i="2"/>
  <c r="J13" i="2" s="1"/>
  <c r="J17" i="2" s="1"/>
  <c r="I15" i="2"/>
  <c r="I12" i="2"/>
  <c r="I13" i="2" s="1"/>
  <c r="I17" i="2" s="1"/>
  <c r="G34" i="6"/>
  <c r="G35" i="6"/>
  <c r="C5" i="6"/>
  <c r="L52" i="6"/>
  <c r="L54" i="6" s="1"/>
  <c r="L55" i="6" s="1"/>
  <c r="L54" i="36"/>
  <c r="L55" i="36" s="1"/>
  <c r="V52" i="6"/>
  <c r="V54" i="6" s="1"/>
  <c r="V55" i="6" s="1"/>
  <c r="V54" i="36"/>
  <c r="V55" i="36" s="1"/>
  <c r="AB52" i="6"/>
  <c r="AB54" i="6" s="1"/>
  <c r="AB55" i="6" s="1"/>
  <c r="AB54" i="36"/>
  <c r="AB55" i="36" s="1"/>
  <c r="AD52" i="6"/>
  <c r="AD54" i="6" s="1"/>
  <c r="AD55" i="6" s="1"/>
  <c r="AD54" i="36"/>
  <c r="AD55" i="36" s="1"/>
  <c r="AE52" i="6"/>
  <c r="AE54" i="6" s="1"/>
  <c r="AE55" i="6" s="1"/>
  <c r="AE54" i="36"/>
  <c r="AE55" i="36" s="1"/>
  <c r="O52" i="6"/>
  <c r="O54" i="6" s="1"/>
  <c r="O55" i="6" s="1"/>
  <c r="O54" i="36"/>
  <c r="O55" i="36" s="1"/>
  <c r="Z52" i="6"/>
  <c r="Z54" i="6" s="1"/>
  <c r="Z55" i="6" s="1"/>
  <c r="Z54" i="36"/>
  <c r="Z55" i="36" s="1"/>
  <c r="Q52" i="6"/>
  <c r="Q54" i="6" s="1"/>
  <c r="Q55" i="6" s="1"/>
  <c r="Q54" i="36"/>
  <c r="Q55" i="36" s="1"/>
  <c r="N52" i="6"/>
  <c r="N54" i="6" s="1"/>
  <c r="N55" i="6" s="1"/>
  <c r="N54" i="36"/>
  <c r="N55" i="36" s="1"/>
  <c r="S52" i="6"/>
  <c r="S54" i="6" s="1"/>
  <c r="S55" i="6" s="1"/>
  <c r="S54" i="36"/>
  <c r="S55" i="36" s="1"/>
  <c r="I52" i="6"/>
  <c r="I54" i="6" s="1"/>
  <c r="I55" i="6" s="1"/>
  <c r="I54" i="36"/>
  <c r="I55" i="36" s="1"/>
  <c r="T52" i="6"/>
  <c r="T54" i="6" s="1"/>
  <c r="T55" i="6" s="1"/>
  <c r="T54" i="36"/>
  <c r="T55" i="36" s="1"/>
  <c r="AG52" i="6"/>
  <c r="AG54" i="6" s="1"/>
  <c r="AG55" i="6" s="1"/>
  <c r="AG54" i="36"/>
  <c r="AG55" i="36" s="1"/>
  <c r="AA52" i="6"/>
  <c r="AA54" i="6" s="1"/>
  <c r="AA55" i="6" s="1"/>
  <c r="AA54" i="36"/>
  <c r="AA55" i="36" s="1"/>
  <c r="K52" i="6"/>
  <c r="K54" i="6" s="1"/>
  <c r="K55" i="6" s="1"/>
  <c r="K54" i="36"/>
  <c r="K55" i="36" s="1"/>
  <c r="R52" i="6"/>
  <c r="R54" i="6" s="1"/>
  <c r="R55" i="6" s="1"/>
  <c r="R54" i="36"/>
  <c r="R55" i="36" s="1"/>
  <c r="Y52" i="6"/>
  <c r="Y54" i="6" s="1"/>
  <c r="Y55" i="6" s="1"/>
  <c r="Y54" i="36"/>
  <c r="Y55" i="36" s="1"/>
  <c r="X52" i="6"/>
  <c r="X54" i="6" s="1"/>
  <c r="X55" i="6" s="1"/>
  <c r="X54" i="36"/>
  <c r="X55" i="36" s="1"/>
  <c r="AF52" i="6"/>
  <c r="AF54" i="6" s="1"/>
  <c r="AF55" i="6" s="1"/>
  <c r="AF54" i="36"/>
  <c r="AF55" i="36" s="1"/>
  <c r="M52" i="6"/>
  <c r="M54" i="6" s="1"/>
  <c r="M55" i="6" s="1"/>
  <c r="M54" i="36"/>
  <c r="M55" i="36" s="1"/>
  <c r="P52" i="6"/>
  <c r="P54" i="6" s="1"/>
  <c r="P55" i="6" s="1"/>
  <c r="P54" i="36"/>
  <c r="P55" i="36" s="1"/>
  <c r="AC52" i="6"/>
  <c r="AC54" i="6" s="1"/>
  <c r="AC55" i="6" s="1"/>
  <c r="AC54" i="36"/>
  <c r="AC55" i="36" s="1"/>
  <c r="W52" i="6"/>
  <c r="W54" i="6" s="1"/>
  <c r="W55" i="6" s="1"/>
  <c r="W54" i="36"/>
  <c r="W55" i="36" s="1"/>
  <c r="G52" i="6"/>
  <c r="J52" i="6"/>
  <c r="J54" i="6" s="1"/>
  <c r="J55" i="6" s="1"/>
  <c r="J54" i="36"/>
  <c r="J55" i="36" s="1"/>
  <c r="U52" i="6"/>
  <c r="U54" i="6" s="1"/>
  <c r="U55" i="6" s="1"/>
  <c r="U54" i="36"/>
  <c r="U55" i="36" s="1"/>
  <c r="H52" i="6"/>
  <c r="H54" i="6" s="1"/>
  <c r="H55" i="6" s="1"/>
  <c r="H54" i="36"/>
  <c r="H55" i="36" s="1"/>
  <c r="G54" i="36"/>
  <c r="F52" i="6"/>
  <c r="F54" i="36"/>
  <c r="E52" i="6"/>
  <c r="E54" i="36"/>
  <c r="C16" i="2"/>
  <c r="E15" i="2"/>
  <c r="E12" i="2"/>
  <c r="E13" i="2" s="1"/>
  <c r="D15" i="2"/>
  <c r="D12" i="2"/>
  <c r="D13" i="2" s="1"/>
  <c r="D51" i="36"/>
  <c r="D9" i="36"/>
  <c r="D3" i="35"/>
  <c r="D35" i="36"/>
  <c r="H7" i="34"/>
  <c r="I4" i="34"/>
  <c r="I7" i="34" s="1"/>
  <c r="AD21" i="6"/>
  <c r="G21" i="6"/>
  <c r="T21" i="6"/>
  <c r="S21" i="6"/>
  <c r="V21" i="6"/>
  <c r="F21" i="6"/>
  <c r="D7" i="6"/>
  <c r="D21" i="9" s="1"/>
  <c r="D21" i="6"/>
  <c r="AF21" i="6"/>
  <c r="P21" i="6"/>
  <c r="AE21" i="6"/>
  <c r="O21" i="6"/>
  <c r="N21" i="6"/>
  <c r="X21" i="6"/>
  <c r="W21" i="6"/>
  <c r="Z21" i="6"/>
  <c r="J21" i="6"/>
  <c r="R21" i="6"/>
  <c r="AB21" i="6"/>
  <c r="L21" i="6"/>
  <c r="AA21" i="6"/>
  <c r="K21" i="6"/>
  <c r="AC43" i="3"/>
  <c r="AC6" i="19" s="1"/>
  <c r="I43" i="3"/>
  <c r="I6" i="19" s="1"/>
  <c r="M43" i="3"/>
  <c r="M6" i="19" s="1"/>
  <c r="AG32" i="3"/>
  <c r="Q43" i="3"/>
  <c r="Q6" i="19" s="1"/>
  <c r="AE43" i="3"/>
  <c r="AE6" i="19" s="1"/>
  <c r="AG43" i="3"/>
  <c r="AG6" i="19" s="1"/>
  <c r="AB43" i="3"/>
  <c r="AB6" i="19" s="1"/>
  <c r="L43" i="3"/>
  <c r="L6" i="19" s="1"/>
  <c r="O43" i="3"/>
  <c r="O6" i="19" s="1"/>
  <c r="Y43" i="3"/>
  <c r="Y6" i="19" s="1"/>
  <c r="X43" i="3"/>
  <c r="X6" i="19" s="1"/>
  <c r="H43" i="3"/>
  <c r="H6" i="19" s="1"/>
  <c r="S32" i="3"/>
  <c r="G43" i="3"/>
  <c r="G6" i="19" s="1"/>
  <c r="AA43" i="3"/>
  <c r="AA6" i="19" s="1"/>
  <c r="AD32" i="3"/>
  <c r="C31" i="3"/>
  <c r="AA32" i="3"/>
  <c r="W32" i="3"/>
  <c r="AC32" i="3"/>
  <c r="M32" i="3"/>
  <c r="K32" i="3"/>
  <c r="U43" i="3"/>
  <c r="U6" i="19" s="1"/>
  <c r="S43" i="3"/>
  <c r="S6" i="19" s="1"/>
  <c r="E43" i="3"/>
  <c r="E6" i="19" s="1"/>
  <c r="T43" i="3"/>
  <c r="T6" i="19" s="1"/>
  <c r="AF43" i="3"/>
  <c r="AF6" i="19" s="1"/>
  <c r="P43" i="3"/>
  <c r="P6" i="19" s="1"/>
  <c r="AE32" i="3"/>
  <c r="G32" i="3"/>
  <c r="C41" i="3"/>
  <c r="W43" i="3"/>
  <c r="W6" i="19" s="1"/>
  <c r="Y32" i="3"/>
  <c r="Q32" i="3"/>
  <c r="AF32" i="3"/>
  <c r="X32" i="3"/>
  <c r="P32" i="3"/>
  <c r="H32" i="3"/>
  <c r="D42" i="3"/>
  <c r="C42" i="3" s="1"/>
  <c r="Z32" i="3"/>
  <c r="J32" i="3"/>
  <c r="E32" i="3"/>
  <c r="C38" i="3"/>
  <c r="K40" i="3"/>
  <c r="K43" i="3" s="1"/>
  <c r="K6" i="19" s="1"/>
  <c r="O32" i="3"/>
  <c r="U32" i="3"/>
  <c r="I32" i="3"/>
  <c r="AB32" i="3"/>
  <c r="T32" i="3"/>
  <c r="L32" i="3"/>
  <c r="D40" i="3"/>
  <c r="F11" i="2"/>
  <c r="G11" i="2"/>
  <c r="E51" i="6"/>
  <c r="E54" i="6" s="1"/>
  <c r="D48" i="6"/>
  <c r="D32" i="6"/>
  <c r="D51" i="6"/>
  <c r="D35" i="6"/>
  <c r="J141" i="1"/>
  <c r="J143" i="1"/>
  <c r="J106" i="1"/>
  <c r="J108" i="1"/>
  <c r="J107" i="1"/>
  <c r="J144" i="1"/>
  <c r="J102" i="1"/>
  <c r="J104" i="1"/>
  <c r="J140" i="1"/>
  <c r="J103" i="1"/>
  <c r="J142" i="1"/>
  <c r="J139" i="1"/>
  <c r="C27" i="2"/>
  <c r="H7" i="9"/>
  <c r="I7" i="9"/>
  <c r="C10" i="3"/>
  <c r="V32" i="3"/>
  <c r="C21" i="3"/>
  <c r="N32" i="3"/>
  <c r="F32" i="3"/>
  <c r="R32" i="3"/>
  <c r="D32" i="3"/>
  <c r="D19" i="6" s="1"/>
  <c r="C29" i="3"/>
  <c r="C23" i="4"/>
  <c r="C5" i="7" s="1"/>
  <c r="C9" i="2"/>
  <c r="D7" i="41" l="1"/>
  <c r="E21" i="9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G84" i="1"/>
  <c r="E13" i="42"/>
  <c r="E14" i="42" s="1"/>
  <c r="E7" i="41" s="1"/>
  <c r="E9" i="41" s="1"/>
  <c r="AC83" i="1"/>
  <c r="AA12" i="42"/>
  <c r="I82" i="1"/>
  <c r="G11" i="42"/>
  <c r="H7" i="10"/>
  <c r="H12" i="10" s="1"/>
  <c r="H8" i="10"/>
  <c r="H6" i="10"/>
  <c r="C5" i="10"/>
  <c r="G8" i="10"/>
  <c r="G6" i="10"/>
  <c r="G7" i="10"/>
  <c r="F6" i="6"/>
  <c r="F19" i="6"/>
  <c r="E6" i="6"/>
  <c r="E19" i="6"/>
  <c r="G6" i="6"/>
  <c r="G9" i="6" s="1"/>
  <c r="G19" i="6"/>
  <c r="AG6" i="6"/>
  <c r="AG36" i="6" s="1"/>
  <c r="AG38" i="6" s="1"/>
  <c r="AG39" i="6" s="1"/>
  <c r="AG19" i="6"/>
  <c r="AF6" i="6"/>
  <c r="AF19" i="6"/>
  <c r="AF23" i="6" s="1"/>
  <c r="AE6" i="6"/>
  <c r="AE9" i="6" s="1"/>
  <c r="AE19" i="6"/>
  <c r="AE23" i="6" s="1"/>
  <c r="AD6" i="6"/>
  <c r="AD36" i="6" s="1"/>
  <c r="AD38" i="6" s="1"/>
  <c r="AD39" i="6" s="1"/>
  <c r="AD19" i="6"/>
  <c r="AD23" i="6" s="1"/>
  <c r="AC6" i="6"/>
  <c r="AC9" i="6" s="1"/>
  <c r="AC19" i="6"/>
  <c r="AC23" i="6" s="1"/>
  <c r="AB6" i="6"/>
  <c r="AB19" i="6"/>
  <c r="AB23" i="6" s="1"/>
  <c r="AA6" i="6"/>
  <c r="AA9" i="6" s="1"/>
  <c r="AA19" i="6"/>
  <c r="AA23" i="6" s="1"/>
  <c r="Z6" i="6"/>
  <c r="Z19" i="6"/>
  <c r="Z23" i="6" s="1"/>
  <c r="Y6" i="6"/>
  <c r="Y36" i="6" s="1"/>
  <c r="Y38" i="6" s="1"/>
  <c r="Y39" i="6" s="1"/>
  <c r="Y19" i="6"/>
  <c r="X6" i="6"/>
  <c r="X9" i="6" s="1"/>
  <c r="X19" i="6"/>
  <c r="X23" i="6" s="1"/>
  <c r="W6" i="6"/>
  <c r="W36" i="6" s="1"/>
  <c r="W38" i="6" s="1"/>
  <c r="W39" i="6" s="1"/>
  <c r="W19" i="6"/>
  <c r="W23" i="6" s="1"/>
  <c r="V6" i="6"/>
  <c r="V19" i="6"/>
  <c r="V23" i="6" s="1"/>
  <c r="U6" i="6"/>
  <c r="U19" i="6"/>
  <c r="T6" i="6"/>
  <c r="T19" i="6"/>
  <c r="T23" i="6" s="1"/>
  <c r="S6" i="6"/>
  <c r="S36" i="6" s="1"/>
  <c r="S38" i="6" s="1"/>
  <c r="S39" i="6" s="1"/>
  <c r="S19" i="6"/>
  <c r="S23" i="6" s="1"/>
  <c r="R6" i="6"/>
  <c r="R19" i="6"/>
  <c r="R23" i="6" s="1"/>
  <c r="Q6" i="6"/>
  <c r="Q9" i="6" s="1"/>
  <c r="Q19" i="6"/>
  <c r="P6" i="6"/>
  <c r="P19" i="6"/>
  <c r="P23" i="6" s="1"/>
  <c r="O6" i="6"/>
  <c r="O19" i="6"/>
  <c r="O23" i="6" s="1"/>
  <c r="N6" i="6"/>
  <c r="N19" i="6"/>
  <c r="N23" i="6" s="1"/>
  <c r="M6" i="6"/>
  <c r="M19" i="6"/>
  <c r="M23" i="6" s="1"/>
  <c r="L6" i="6"/>
  <c r="L19" i="6"/>
  <c r="L23" i="6" s="1"/>
  <c r="K6" i="6"/>
  <c r="K36" i="6" s="1"/>
  <c r="K38" i="6" s="1"/>
  <c r="K39" i="6" s="1"/>
  <c r="K19" i="6"/>
  <c r="K23" i="6" s="1"/>
  <c r="J6" i="6"/>
  <c r="J19" i="6"/>
  <c r="J23" i="6" s="1"/>
  <c r="I6" i="6"/>
  <c r="I19" i="6"/>
  <c r="I23" i="6" s="1"/>
  <c r="H6" i="6"/>
  <c r="H19" i="6"/>
  <c r="D33" i="6"/>
  <c r="C33" i="6" s="1"/>
  <c r="C7" i="6"/>
  <c r="C21" i="6"/>
  <c r="C52" i="6"/>
  <c r="D17" i="2"/>
  <c r="G15" i="2"/>
  <c r="G12" i="2"/>
  <c r="G13" i="2" s="1"/>
  <c r="N23" i="36"/>
  <c r="O23" i="36"/>
  <c r="K23" i="36"/>
  <c r="AA23" i="36"/>
  <c r="Y23" i="36"/>
  <c r="M36" i="6"/>
  <c r="M38" i="6" s="1"/>
  <c r="M39" i="6" s="1"/>
  <c r="M23" i="36"/>
  <c r="R23" i="36"/>
  <c r="I23" i="36"/>
  <c r="J23" i="36"/>
  <c r="AC23" i="36"/>
  <c r="AD23" i="36"/>
  <c r="T23" i="36"/>
  <c r="Q23" i="36"/>
  <c r="AB23" i="36"/>
  <c r="P23" i="36"/>
  <c r="AE23" i="36"/>
  <c r="S23" i="36"/>
  <c r="V23" i="36"/>
  <c r="X23" i="36"/>
  <c r="L23" i="36"/>
  <c r="U23" i="36"/>
  <c r="Z23" i="36"/>
  <c r="AF23" i="36"/>
  <c r="W23" i="36"/>
  <c r="AG23" i="36"/>
  <c r="C52" i="36"/>
  <c r="F15" i="2"/>
  <c r="F12" i="2"/>
  <c r="E17" i="2"/>
  <c r="D34" i="36"/>
  <c r="D50" i="36"/>
  <c r="D54" i="36"/>
  <c r="C54" i="36" s="1"/>
  <c r="C51" i="36"/>
  <c r="C3" i="7"/>
  <c r="E50" i="36"/>
  <c r="E55" i="36" s="1"/>
  <c r="E34" i="36"/>
  <c r="D38" i="36"/>
  <c r="C35" i="36"/>
  <c r="C11" i="2"/>
  <c r="AF9" i="6"/>
  <c r="Q23" i="6"/>
  <c r="Y23" i="6"/>
  <c r="C32" i="3"/>
  <c r="D6" i="6"/>
  <c r="Q36" i="6"/>
  <c r="Q38" i="6" s="1"/>
  <c r="Q39" i="6" s="1"/>
  <c r="D43" i="3"/>
  <c r="D6" i="19" s="1"/>
  <c r="D30" i="9" s="1"/>
  <c r="C40" i="3"/>
  <c r="P9" i="6"/>
  <c r="P36" i="6"/>
  <c r="P38" i="6" s="1"/>
  <c r="P39" i="6" s="1"/>
  <c r="F36" i="6"/>
  <c r="U23" i="6"/>
  <c r="Y9" i="6"/>
  <c r="F51" i="6"/>
  <c r="F54" i="6" s="1"/>
  <c r="G51" i="6"/>
  <c r="G54" i="6" s="1"/>
  <c r="E48" i="6"/>
  <c r="E50" i="6" s="1"/>
  <c r="E55" i="6" s="1"/>
  <c r="D54" i="6"/>
  <c r="D50" i="6"/>
  <c r="K139" i="1"/>
  <c r="K103" i="1"/>
  <c r="K144" i="1"/>
  <c r="K107" i="1"/>
  <c r="K143" i="1"/>
  <c r="K108" i="1"/>
  <c r="K140" i="1"/>
  <c r="K142" i="1"/>
  <c r="K104" i="1"/>
  <c r="K102" i="1"/>
  <c r="K106" i="1"/>
  <c r="K141" i="1"/>
  <c r="C5" i="19"/>
  <c r="E14" i="10"/>
  <c r="E7" i="19" s="1"/>
  <c r="H84" i="1" l="1"/>
  <c r="F13" i="42"/>
  <c r="F14" i="42" s="1"/>
  <c r="F7" i="41" s="1"/>
  <c r="F9" i="41" s="1"/>
  <c r="F13" i="10"/>
  <c r="F14" i="10" s="1"/>
  <c r="F7" i="19" s="1"/>
  <c r="AD83" i="1"/>
  <c r="AB12" i="42"/>
  <c r="AB12" i="10"/>
  <c r="S9" i="6"/>
  <c r="J82" i="1"/>
  <c r="H11" i="42"/>
  <c r="C21" i="9"/>
  <c r="D34" i="6"/>
  <c r="H11" i="10"/>
  <c r="D9" i="41"/>
  <c r="AC36" i="6"/>
  <c r="AC38" i="6" s="1"/>
  <c r="AC39" i="6" s="1"/>
  <c r="E30" i="9"/>
  <c r="F30" i="9" s="1"/>
  <c r="G30" i="9" s="1"/>
  <c r="H30" i="9" s="1"/>
  <c r="I30" i="9" s="1"/>
  <c r="J30" i="9" s="1"/>
  <c r="K30" i="9" s="1"/>
  <c r="L30" i="9" s="1"/>
  <c r="M30" i="9" s="1"/>
  <c r="N30" i="9" s="1"/>
  <c r="O30" i="9" s="1"/>
  <c r="P30" i="9" s="1"/>
  <c r="Q30" i="9" s="1"/>
  <c r="R30" i="9" s="1"/>
  <c r="C30" i="9"/>
  <c r="AE36" i="6"/>
  <c r="AE38" i="6" s="1"/>
  <c r="AE39" i="6" s="1"/>
  <c r="C12" i="2"/>
  <c r="G12" i="10"/>
  <c r="C7" i="10"/>
  <c r="G11" i="10"/>
  <c r="C6" i="10"/>
  <c r="C15" i="2"/>
  <c r="G13" i="10"/>
  <c r="C8" i="10"/>
  <c r="AD9" i="6"/>
  <c r="D20" i="9"/>
  <c r="H36" i="6"/>
  <c r="H38" i="6" s="1"/>
  <c r="H39" i="6" s="1"/>
  <c r="C6" i="6"/>
  <c r="G17" i="2"/>
  <c r="F13" i="2"/>
  <c r="F17" i="2" s="1"/>
  <c r="C19" i="6"/>
  <c r="D5" i="7"/>
  <c r="Z36" i="36"/>
  <c r="Z38" i="36" s="1"/>
  <c r="Z39" i="36" s="1"/>
  <c r="Z9" i="36"/>
  <c r="AB36" i="36"/>
  <c r="AB38" i="36" s="1"/>
  <c r="AB39" i="36" s="1"/>
  <c r="AB9" i="36"/>
  <c r="K9" i="36"/>
  <c r="K36" i="36"/>
  <c r="K38" i="36" s="1"/>
  <c r="K39" i="36" s="1"/>
  <c r="AF36" i="36"/>
  <c r="AF38" i="36" s="1"/>
  <c r="AF39" i="36" s="1"/>
  <c r="AF9" i="36"/>
  <c r="L36" i="36"/>
  <c r="L38" i="36" s="1"/>
  <c r="L39" i="36" s="1"/>
  <c r="L9" i="36"/>
  <c r="V36" i="36"/>
  <c r="V38" i="36" s="1"/>
  <c r="V39" i="36" s="1"/>
  <c r="V9" i="36"/>
  <c r="P36" i="36"/>
  <c r="P38" i="36" s="1"/>
  <c r="P39" i="36" s="1"/>
  <c r="P9" i="36"/>
  <c r="Q36" i="36"/>
  <c r="Q38" i="36" s="1"/>
  <c r="Q39" i="36" s="1"/>
  <c r="Q9" i="36"/>
  <c r="T36" i="36"/>
  <c r="T38" i="36" s="1"/>
  <c r="T39" i="36" s="1"/>
  <c r="T9" i="36"/>
  <c r="AC36" i="36"/>
  <c r="AC38" i="36" s="1"/>
  <c r="AC39" i="36" s="1"/>
  <c r="AC9" i="36"/>
  <c r="R9" i="36"/>
  <c r="R36" i="36"/>
  <c r="R38" i="36" s="1"/>
  <c r="R39" i="36" s="1"/>
  <c r="Y36" i="36"/>
  <c r="Y38" i="36" s="1"/>
  <c r="Y39" i="36" s="1"/>
  <c r="Y9" i="36"/>
  <c r="AA9" i="36"/>
  <c r="AA36" i="36"/>
  <c r="AA38" i="36" s="1"/>
  <c r="AA39" i="36" s="1"/>
  <c r="O36" i="36"/>
  <c r="O38" i="36" s="1"/>
  <c r="O39" i="36" s="1"/>
  <c r="O9" i="36"/>
  <c r="G36" i="6"/>
  <c r="G38" i="6" s="1"/>
  <c r="M9" i="6"/>
  <c r="AG36" i="36"/>
  <c r="AG38" i="36" s="1"/>
  <c r="AG39" i="36" s="1"/>
  <c r="AG9" i="36"/>
  <c r="W9" i="36"/>
  <c r="W36" i="36"/>
  <c r="W38" i="36" s="1"/>
  <c r="W39" i="36" s="1"/>
  <c r="U36" i="36"/>
  <c r="U38" i="36" s="1"/>
  <c r="U39" i="36" s="1"/>
  <c r="U9" i="36"/>
  <c r="AE36" i="36"/>
  <c r="AE38" i="36" s="1"/>
  <c r="AE39" i="36" s="1"/>
  <c r="AE9" i="36"/>
  <c r="I36" i="36"/>
  <c r="I38" i="36" s="1"/>
  <c r="I39" i="36" s="1"/>
  <c r="I9" i="36"/>
  <c r="M36" i="36"/>
  <c r="M38" i="36" s="1"/>
  <c r="M39" i="36" s="1"/>
  <c r="M9" i="36"/>
  <c r="H36" i="36"/>
  <c r="H38" i="36" s="1"/>
  <c r="H39" i="36" s="1"/>
  <c r="H9" i="36"/>
  <c r="N9" i="36"/>
  <c r="N36" i="36"/>
  <c r="N38" i="36" s="1"/>
  <c r="N39" i="36" s="1"/>
  <c r="S36" i="36"/>
  <c r="S38" i="36" s="1"/>
  <c r="S39" i="36" s="1"/>
  <c r="S9" i="36"/>
  <c r="J9" i="36"/>
  <c r="J36" i="36"/>
  <c r="J38" i="36" s="1"/>
  <c r="J39" i="36" s="1"/>
  <c r="X36" i="36"/>
  <c r="X38" i="36" s="1"/>
  <c r="X39" i="36" s="1"/>
  <c r="X9" i="36"/>
  <c r="AD36" i="36"/>
  <c r="AD38" i="36" s="1"/>
  <c r="AD39" i="36" s="1"/>
  <c r="AD9" i="36"/>
  <c r="G36" i="36"/>
  <c r="G38" i="36" s="1"/>
  <c r="G9" i="36"/>
  <c r="F36" i="36"/>
  <c r="F38" i="36" s="1"/>
  <c r="F9" i="36"/>
  <c r="C6" i="7"/>
  <c r="E36" i="36"/>
  <c r="E9" i="36"/>
  <c r="D55" i="36"/>
  <c r="D39" i="36"/>
  <c r="C18" i="35"/>
  <c r="C12" i="7"/>
  <c r="C12" i="35"/>
  <c r="G50" i="36"/>
  <c r="G55" i="36" s="1"/>
  <c r="G34" i="36"/>
  <c r="D3" i="7"/>
  <c r="W9" i="6"/>
  <c r="F9" i="19"/>
  <c r="X36" i="6"/>
  <c r="X38" i="6" s="1"/>
  <c r="X39" i="6" s="1"/>
  <c r="K9" i="6"/>
  <c r="AA36" i="6"/>
  <c r="AA38" i="6" s="1"/>
  <c r="AA39" i="6" s="1"/>
  <c r="H9" i="6"/>
  <c r="AF36" i="6"/>
  <c r="AF38" i="6" s="1"/>
  <c r="AF39" i="6" s="1"/>
  <c r="F38" i="6"/>
  <c r="F9" i="6"/>
  <c r="L9" i="6"/>
  <c r="L36" i="6"/>
  <c r="L38" i="6" s="1"/>
  <c r="L39" i="6" s="1"/>
  <c r="I9" i="6"/>
  <c r="I36" i="6"/>
  <c r="I38" i="6" s="1"/>
  <c r="I39" i="6" s="1"/>
  <c r="AB9" i="6"/>
  <c r="AB36" i="6"/>
  <c r="AB38" i="6" s="1"/>
  <c r="AB39" i="6" s="1"/>
  <c r="J9" i="6"/>
  <c r="J36" i="6"/>
  <c r="J38" i="6" s="1"/>
  <c r="J39" i="6" s="1"/>
  <c r="R9" i="6"/>
  <c r="R36" i="6"/>
  <c r="R38" i="6" s="1"/>
  <c r="R39" i="6" s="1"/>
  <c r="T9" i="6"/>
  <c r="T36" i="6"/>
  <c r="T38" i="6" s="1"/>
  <c r="T39" i="6" s="1"/>
  <c r="D36" i="6"/>
  <c r="D38" i="6" s="1"/>
  <c r="D39" i="6" s="1"/>
  <c r="D40" i="6" s="1"/>
  <c r="D41" i="6" s="1"/>
  <c r="D9" i="6"/>
  <c r="U9" i="6"/>
  <c r="U36" i="6"/>
  <c r="U38" i="6" s="1"/>
  <c r="U39" i="6" s="1"/>
  <c r="C6" i="19"/>
  <c r="C43" i="3"/>
  <c r="O9" i="6"/>
  <c r="O36" i="6"/>
  <c r="O38" i="6" s="1"/>
  <c r="O39" i="6" s="1"/>
  <c r="Z9" i="6"/>
  <c r="Z36" i="6"/>
  <c r="Z38" i="6" s="1"/>
  <c r="Z39" i="6" s="1"/>
  <c r="E36" i="6"/>
  <c r="E38" i="6" s="1"/>
  <c r="E39" i="6" s="1"/>
  <c r="E9" i="6"/>
  <c r="V9" i="6"/>
  <c r="V36" i="6"/>
  <c r="V38" i="6" s="1"/>
  <c r="V39" i="6" s="1"/>
  <c r="N9" i="6"/>
  <c r="N36" i="6"/>
  <c r="N38" i="6" s="1"/>
  <c r="N39" i="6" s="1"/>
  <c r="C35" i="6"/>
  <c r="C51" i="6"/>
  <c r="C54" i="6"/>
  <c r="G48" i="6"/>
  <c r="G50" i="6" s="1"/>
  <c r="G55" i="6" s="1"/>
  <c r="D55" i="6"/>
  <c r="D56" i="6" s="1"/>
  <c r="D57" i="6" s="1"/>
  <c r="L104" i="1"/>
  <c r="L140" i="1"/>
  <c r="L143" i="1"/>
  <c r="L103" i="1"/>
  <c r="L141" i="1"/>
  <c r="L144" i="1"/>
  <c r="L102" i="1"/>
  <c r="L142" i="1"/>
  <c r="L108" i="1"/>
  <c r="L139" i="1"/>
  <c r="L106" i="1"/>
  <c r="L107" i="1"/>
  <c r="E9" i="19"/>
  <c r="AE83" i="1" l="1"/>
  <c r="AC12" i="42"/>
  <c r="AC12" i="10"/>
  <c r="K82" i="1"/>
  <c r="I11" i="42"/>
  <c r="I11" i="10"/>
  <c r="C17" i="2"/>
  <c r="I84" i="1"/>
  <c r="G13" i="42"/>
  <c r="G14" i="42" s="1"/>
  <c r="D22" i="9"/>
  <c r="E20" i="9"/>
  <c r="E22" i="9" s="1"/>
  <c r="G14" i="10"/>
  <c r="C13" i="2"/>
  <c r="G39" i="36"/>
  <c r="C9" i="36"/>
  <c r="C11" i="36"/>
  <c r="D6" i="35"/>
  <c r="D7" i="35" s="1"/>
  <c r="D8" i="35" s="1"/>
  <c r="D9" i="35" s="1"/>
  <c r="C12" i="36"/>
  <c r="C36" i="36"/>
  <c r="E38" i="36"/>
  <c r="D56" i="36"/>
  <c r="D57" i="36" s="1"/>
  <c r="D40" i="36"/>
  <c r="D41" i="36" s="1"/>
  <c r="C36" i="6"/>
  <c r="D6" i="7"/>
  <c r="G39" i="6"/>
  <c r="F48" i="6"/>
  <c r="C18" i="7"/>
  <c r="D58" i="6"/>
  <c r="E56" i="6"/>
  <c r="E57" i="6" s="1"/>
  <c r="D42" i="6"/>
  <c r="E40" i="6"/>
  <c r="E41" i="6" s="1"/>
  <c r="C38" i="6"/>
  <c r="M106" i="1"/>
  <c r="M108" i="1"/>
  <c r="M144" i="1"/>
  <c r="M103" i="1"/>
  <c r="M142" i="1"/>
  <c r="M141" i="1"/>
  <c r="M140" i="1"/>
  <c r="M139" i="1"/>
  <c r="M107" i="1"/>
  <c r="M102" i="1"/>
  <c r="M143" i="1"/>
  <c r="M104" i="1"/>
  <c r="G7" i="41" l="1"/>
  <c r="L82" i="1"/>
  <c r="J11" i="42"/>
  <c r="J11" i="10"/>
  <c r="J84" i="1"/>
  <c r="H13" i="42"/>
  <c r="H14" i="42" s="1"/>
  <c r="H7" i="41" s="1"/>
  <c r="H9" i="41" s="1"/>
  <c r="H13" i="10"/>
  <c r="AF83" i="1"/>
  <c r="AD12" i="42"/>
  <c r="AD12" i="10"/>
  <c r="F20" i="9"/>
  <c r="G7" i="19"/>
  <c r="E28" i="9"/>
  <c r="G20" i="9"/>
  <c r="E20" i="35"/>
  <c r="I20" i="35"/>
  <c r="M20" i="35"/>
  <c r="Q20" i="35"/>
  <c r="U20" i="35"/>
  <c r="Y20" i="35"/>
  <c r="AC20" i="35"/>
  <c r="AG20" i="35"/>
  <c r="T20" i="35"/>
  <c r="F20" i="35"/>
  <c r="J20" i="35"/>
  <c r="N20" i="35"/>
  <c r="R20" i="35"/>
  <c r="V20" i="35"/>
  <c r="Z20" i="35"/>
  <c r="AD20" i="35"/>
  <c r="H20" i="35"/>
  <c r="P20" i="35"/>
  <c r="AB20" i="35"/>
  <c r="AF20" i="35"/>
  <c r="G20" i="35"/>
  <c r="K20" i="35"/>
  <c r="O20" i="35"/>
  <c r="S20" i="35"/>
  <c r="W20" i="35"/>
  <c r="AA20" i="35"/>
  <c r="AE20" i="35"/>
  <c r="L20" i="35"/>
  <c r="X20" i="35"/>
  <c r="D20" i="35"/>
  <c r="C38" i="36"/>
  <c r="E39" i="36"/>
  <c r="E40" i="36" s="1"/>
  <c r="E41" i="36" s="1"/>
  <c r="F34" i="36"/>
  <c r="C32" i="36"/>
  <c r="F50" i="36"/>
  <c r="C48" i="36"/>
  <c r="D58" i="36"/>
  <c r="E56" i="36"/>
  <c r="E57" i="36" s="1"/>
  <c r="D42" i="36"/>
  <c r="F50" i="6"/>
  <c r="C48" i="6"/>
  <c r="C32" i="6"/>
  <c r="E58" i="6"/>
  <c r="E42" i="6"/>
  <c r="N107" i="1"/>
  <c r="N140" i="1"/>
  <c r="N106" i="1"/>
  <c r="N143" i="1"/>
  <c r="N102" i="1"/>
  <c r="N139" i="1"/>
  <c r="N103" i="1"/>
  <c r="N141" i="1"/>
  <c r="N142" i="1"/>
  <c r="N108" i="1"/>
  <c r="N104" i="1"/>
  <c r="N144" i="1"/>
  <c r="D9" i="19"/>
  <c r="AG83" i="1" l="1"/>
  <c r="AE12" i="42"/>
  <c r="AE12" i="10"/>
  <c r="M82" i="1"/>
  <c r="K11" i="42"/>
  <c r="K11" i="10"/>
  <c r="H14" i="10"/>
  <c r="G9" i="41"/>
  <c r="K84" i="1"/>
  <c r="I13" i="42"/>
  <c r="I14" i="42" s="1"/>
  <c r="I13" i="10"/>
  <c r="I14" i="10" s="1"/>
  <c r="I7" i="19" s="1"/>
  <c r="I9" i="19" s="1"/>
  <c r="F22" i="9"/>
  <c r="G9" i="19"/>
  <c r="H20" i="9"/>
  <c r="I20" i="9" s="1"/>
  <c r="G22" i="9"/>
  <c r="F28" i="9"/>
  <c r="C20" i="35"/>
  <c r="C21" i="35"/>
  <c r="G23" i="6"/>
  <c r="G23" i="36"/>
  <c r="E23" i="6"/>
  <c r="E23" i="36"/>
  <c r="D23" i="36"/>
  <c r="E58" i="36"/>
  <c r="H23" i="6"/>
  <c r="H23" i="36"/>
  <c r="F55" i="36"/>
  <c r="C55" i="36" s="1"/>
  <c r="C50" i="36"/>
  <c r="F23" i="6"/>
  <c r="F23" i="36"/>
  <c r="E42" i="36"/>
  <c r="F39" i="36"/>
  <c r="C39" i="36" s="1"/>
  <c r="C34" i="36"/>
  <c r="F39" i="6"/>
  <c r="C34" i="6"/>
  <c r="F55" i="6"/>
  <c r="C50" i="6"/>
  <c r="C21" i="7"/>
  <c r="O108" i="1"/>
  <c r="O103" i="1"/>
  <c r="O102" i="1"/>
  <c r="O106" i="1"/>
  <c r="O107" i="1"/>
  <c r="O141" i="1"/>
  <c r="O140" i="1"/>
  <c r="O104" i="1"/>
  <c r="O142" i="1"/>
  <c r="O139" i="1"/>
  <c r="O143" i="1"/>
  <c r="O144" i="1"/>
  <c r="I7" i="41" l="1"/>
  <c r="N82" i="1"/>
  <c r="L11" i="42"/>
  <c r="L11" i="10"/>
  <c r="AH83" i="1"/>
  <c r="AF12" i="42"/>
  <c r="AF12" i="10"/>
  <c r="L84" i="1"/>
  <c r="J13" i="42"/>
  <c r="J14" i="42" s="1"/>
  <c r="J7" i="41" s="1"/>
  <c r="J9" i="41" s="1"/>
  <c r="J13" i="10"/>
  <c r="J14" i="10" s="1"/>
  <c r="J7" i="19" s="1"/>
  <c r="J9" i="19" s="1"/>
  <c r="H7" i="19"/>
  <c r="J20" i="9"/>
  <c r="I22" i="9"/>
  <c r="G28" i="9"/>
  <c r="H28" i="9"/>
  <c r="H22" i="9"/>
  <c r="C18" i="6"/>
  <c r="C25" i="36"/>
  <c r="C23" i="36"/>
  <c r="F56" i="36"/>
  <c r="F40" i="36"/>
  <c r="C26" i="36"/>
  <c r="F40" i="6"/>
  <c r="F41" i="6" s="1"/>
  <c r="C39" i="6"/>
  <c r="C55" i="6"/>
  <c r="F56" i="6"/>
  <c r="F57" i="6" s="1"/>
  <c r="D23" i="6"/>
  <c r="P141" i="1"/>
  <c r="P142" i="1"/>
  <c r="P107" i="1"/>
  <c r="P102" i="1"/>
  <c r="P103" i="1"/>
  <c r="P144" i="1"/>
  <c r="P143" i="1"/>
  <c r="P139" i="1"/>
  <c r="P104" i="1"/>
  <c r="P140" i="1"/>
  <c r="P106" i="1"/>
  <c r="P108" i="1"/>
  <c r="AI83" i="1" l="1"/>
  <c r="AJ83" i="1" s="1"/>
  <c r="AK83" i="1" s="1"/>
  <c r="AL83" i="1" s="1"/>
  <c r="AM83" i="1" s="1"/>
  <c r="AN83" i="1" s="1"/>
  <c r="AO83" i="1" s="1"/>
  <c r="AP83" i="1" s="1"/>
  <c r="AQ83" i="1" s="1"/>
  <c r="AG12" i="42"/>
  <c r="C12" i="42" s="1"/>
  <c r="AG12" i="10"/>
  <c r="C12" i="10"/>
  <c r="O82" i="1"/>
  <c r="M11" i="42"/>
  <c r="M11" i="10"/>
  <c r="H9" i="19"/>
  <c r="M84" i="1"/>
  <c r="K13" i="42"/>
  <c r="K14" i="42" s="1"/>
  <c r="K7" i="41" s="1"/>
  <c r="K9" i="41" s="1"/>
  <c r="K13" i="10"/>
  <c r="I9" i="41"/>
  <c r="K20" i="9"/>
  <c r="J22" i="9"/>
  <c r="F57" i="36"/>
  <c r="F41" i="36"/>
  <c r="F42" i="36" s="1"/>
  <c r="G56" i="36"/>
  <c r="G40" i="36"/>
  <c r="F42" i="6"/>
  <c r="G40" i="6"/>
  <c r="G41" i="6" s="1"/>
  <c r="F58" i="6"/>
  <c r="G56" i="6"/>
  <c r="G57" i="6" s="1"/>
  <c r="Q106" i="1"/>
  <c r="Q107" i="1"/>
  <c r="Q140" i="1"/>
  <c r="Q139" i="1"/>
  <c r="Q144" i="1"/>
  <c r="Q102" i="1"/>
  <c r="Q142" i="1"/>
  <c r="Q141" i="1"/>
  <c r="Q108" i="1"/>
  <c r="Q104" i="1"/>
  <c r="Q143" i="1"/>
  <c r="Q103" i="1"/>
  <c r="N84" i="1" l="1"/>
  <c r="L13" i="42"/>
  <c r="L14" i="42" s="1"/>
  <c r="L7" i="41" s="1"/>
  <c r="L9" i="41" s="1"/>
  <c r="L13" i="10"/>
  <c r="L14" i="10" s="1"/>
  <c r="L7" i="19" s="1"/>
  <c r="L9" i="19" s="1"/>
  <c r="K14" i="10"/>
  <c r="P82" i="1"/>
  <c r="N11" i="42"/>
  <c r="N11" i="10"/>
  <c r="L20" i="9"/>
  <c r="K22" i="9"/>
  <c r="H56" i="36"/>
  <c r="H57" i="36" s="1"/>
  <c r="H58" i="36" s="1"/>
  <c r="G57" i="36"/>
  <c r="G58" i="36" s="1"/>
  <c r="F58" i="36"/>
  <c r="H40" i="36"/>
  <c r="H41" i="36" s="1"/>
  <c r="H42" i="36" s="1"/>
  <c r="G41" i="36"/>
  <c r="G42" i="36" s="1"/>
  <c r="I56" i="36"/>
  <c r="I57" i="36" s="1"/>
  <c r="G42" i="6"/>
  <c r="H40" i="6"/>
  <c r="H41" i="6" s="1"/>
  <c r="G58" i="6"/>
  <c r="H56" i="6"/>
  <c r="H57" i="6" s="1"/>
  <c r="R108" i="1"/>
  <c r="R141" i="1"/>
  <c r="R139" i="1"/>
  <c r="R140" i="1"/>
  <c r="R107" i="1"/>
  <c r="R143" i="1"/>
  <c r="R103" i="1"/>
  <c r="R104" i="1"/>
  <c r="R142" i="1"/>
  <c r="R102" i="1"/>
  <c r="R144" i="1"/>
  <c r="R106" i="1"/>
  <c r="Q82" i="1" l="1"/>
  <c r="O11" i="42"/>
  <c r="O11" i="10"/>
  <c r="O84" i="1"/>
  <c r="M13" i="42"/>
  <c r="M14" i="42" s="1"/>
  <c r="M7" i="41" s="1"/>
  <c r="M13" i="10"/>
  <c r="M14" i="10" s="1"/>
  <c r="M7" i="19" s="1"/>
  <c r="M9" i="19" s="1"/>
  <c r="K7" i="19"/>
  <c r="M20" i="9"/>
  <c r="L22" i="9"/>
  <c r="I40" i="36"/>
  <c r="I41" i="36" s="1"/>
  <c r="I42" i="36" s="1"/>
  <c r="J56" i="36"/>
  <c r="J57" i="36" s="1"/>
  <c r="I58" i="36"/>
  <c r="H42" i="6"/>
  <c r="I40" i="6"/>
  <c r="I41" i="6" s="1"/>
  <c r="H58" i="6"/>
  <c r="I56" i="6"/>
  <c r="I57" i="6" s="1"/>
  <c r="S106" i="1"/>
  <c r="S144" i="1"/>
  <c r="S104" i="1"/>
  <c r="S141" i="1"/>
  <c r="S142" i="1"/>
  <c r="S140" i="1"/>
  <c r="S143" i="1"/>
  <c r="S102" i="1"/>
  <c r="S103" i="1"/>
  <c r="S107" i="1"/>
  <c r="S139" i="1"/>
  <c r="S108" i="1"/>
  <c r="P84" i="1" l="1"/>
  <c r="N13" i="42"/>
  <c r="N14" i="42" s="1"/>
  <c r="N7" i="41" s="1"/>
  <c r="N9" i="41" s="1"/>
  <c r="N13" i="10"/>
  <c r="N14" i="10" s="1"/>
  <c r="R82" i="1"/>
  <c r="P11" i="42"/>
  <c r="P11" i="10"/>
  <c r="K9" i="19"/>
  <c r="M9" i="41"/>
  <c r="N20" i="9"/>
  <c r="M22" i="9"/>
  <c r="J40" i="36"/>
  <c r="J41" i="36" s="1"/>
  <c r="K56" i="36"/>
  <c r="K57" i="36" s="1"/>
  <c r="J58" i="36"/>
  <c r="I58" i="6"/>
  <c r="J56" i="6"/>
  <c r="J57" i="6" s="1"/>
  <c r="J40" i="6"/>
  <c r="J41" i="6" s="1"/>
  <c r="I42" i="6"/>
  <c r="T142" i="1"/>
  <c r="T144" i="1"/>
  <c r="T108" i="1"/>
  <c r="T139" i="1"/>
  <c r="T140" i="1"/>
  <c r="T141" i="1"/>
  <c r="T104" i="1"/>
  <c r="T106" i="1"/>
  <c r="T107" i="1"/>
  <c r="T103" i="1"/>
  <c r="T102" i="1"/>
  <c r="T143" i="1"/>
  <c r="N7" i="19" l="1"/>
  <c r="Q84" i="1"/>
  <c r="O13" i="42"/>
  <c r="O14" i="42" s="1"/>
  <c r="O7" i="41" s="1"/>
  <c r="O9" i="41" s="1"/>
  <c r="O13" i="10"/>
  <c r="O14" i="10" s="1"/>
  <c r="O7" i="19" s="1"/>
  <c r="O9" i="19" s="1"/>
  <c r="S82" i="1"/>
  <c r="Q11" i="42"/>
  <c r="Q11" i="10"/>
  <c r="K40" i="36"/>
  <c r="K41" i="36" s="1"/>
  <c r="J42" i="36"/>
  <c r="O20" i="9"/>
  <c r="N22" i="9"/>
  <c r="L56" i="36"/>
  <c r="L57" i="36" s="1"/>
  <c r="K58" i="36"/>
  <c r="K56" i="6"/>
  <c r="K57" i="6" s="1"/>
  <c r="J58" i="6"/>
  <c r="K40" i="6"/>
  <c r="K41" i="6" s="1"/>
  <c r="J42" i="6"/>
  <c r="U144" i="1"/>
  <c r="U103" i="1"/>
  <c r="U104" i="1"/>
  <c r="U140" i="1"/>
  <c r="U108" i="1"/>
  <c r="U139" i="1"/>
  <c r="U143" i="1"/>
  <c r="U102" i="1"/>
  <c r="U107" i="1"/>
  <c r="U106" i="1"/>
  <c r="U141" i="1"/>
  <c r="U142" i="1"/>
  <c r="R84" i="1" l="1"/>
  <c r="P13" i="42"/>
  <c r="P14" i="42" s="1"/>
  <c r="P7" i="41" s="1"/>
  <c r="P9" i="41" s="1"/>
  <c r="P13" i="10"/>
  <c r="P14" i="10" s="1"/>
  <c r="P7" i="19" s="1"/>
  <c r="P9" i="19" s="1"/>
  <c r="N9" i="19"/>
  <c r="T82" i="1"/>
  <c r="R11" i="42"/>
  <c r="R11" i="10"/>
  <c r="K42" i="36"/>
  <c r="L40" i="36"/>
  <c r="L41" i="36" s="1"/>
  <c r="L42" i="36" s="1"/>
  <c r="P20" i="9"/>
  <c r="O22" i="9"/>
  <c r="L58" i="36"/>
  <c r="M56" i="36"/>
  <c r="M57" i="36" s="1"/>
  <c r="K58" i="6"/>
  <c r="L56" i="6"/>
  <c r="L57" i="6" s="1"/>
  <c r="L40" i="6"/>
  <c r="L41" i="6" s="1"/>
  <c r="K42" i="6"/>
  <c r="V142" i="1"/>
  <c r="V140" i="1"/>
  <c r="V141" i="1"/>
  <c r="V107" i="1"/>
  <c r="V143" i="1"/>
  <c r="V108" i="1"/>
  <c r="V104" i="1"/>
  <c r="V103" i="1"/>
  <c r="V144" i="1"/>
  <c r="V106" i="1"/>
  <c r="V102" i="1"/>
  <c r="V139" i="1"/>
  <c r="U82" i="1" l="1"/>
  <c r="S11" i="42"/>
  <c r="S11" i="10"/>
  <c r="S84" i="1"/>
  <c r="Q13" i="42"/>
  <c r="Q14" i="42" s="1"/>
  <c r="Q7" i="41" s="1"/>
  <c r="Q9" i="41" s="1"/>
  <c r="Q13" i="10"/>
  <c r="Q14" i="10" s="1"/>
  <c r="Q7" i="19" s="1"/>
  <c r="M40" i="36"/>
  <c r="M41" i="36" s="1"/>
  <c r="Q20" i="9"/>
  <c r="P22" i="9"/>
  <c r="N56" i="36"/>
  <c r="N57" i="36" s="1"/>
  <c r="M58" i="36"/>
  <c r="M56" i="6"/>
  <c r="M57" i="6" s="1"/>
  <c r="L58" i="6"/>
  <c r="L42" i="6"/>
  <c r="M40" i="6"/>
  <c r="M41" i="6" s="1"/>
  <c r="W108" i="1"/>
  <c r="W143" i="1"/>
  <c r="W141" i="1"/>
  <c r="W142" i="1"/>
  <c r="W102" i="1"/>
  <c r="W104" i="1"/>
  <c r="W107" i="1"/>
  <c r="W140" i="1"/>
  <c r="W139" i="1"/>
  <c r="W106" i="1"/>
  <c r="W144" i="1"/>
  <c r="W103" i="1"/>
  <c r="M42" i="36" l="1"/>
  <c r="T84" i="1"/>
  <c r="R13" i="42"/>
  <c r="R14" i="42" s="1"/>
  <c r="R7" i="41" s="1"/>
  <c r="R9" i="41" s="1"/>
  <c r="R13" i="10"/>
  <c r="R14" i="10" s="1"/>
  <c r="R7" i="19" s="1"/>
  <c r="R9" i="19" s="1"/>
  <c r="V82" i="1"/>
  <c r="T11" i="42"/>
  <c r="T11" i="10"/>
  <c r="Q9" i="19"/>
  <c r="N40" i="36"/>
  <c r="N41" i="36" s="1"/>
  <c r="R20" i="9"/>
  <c r="Q22" i="9"/>
  <c r="O56" i="36"/>
  <c r="O57" i="36" s="1"/>
  <c r="N58" i="36"/>
  <c r="N56" i="6"/>
  <c r="N57" i="6" s="1"/>
  <c r="M58" i="6"/>
  <c r="N40" i="6"/>
  <c r="N41" i="6" s="1"/>
  <c r="M42" i="6"/>
  <c r="X103" i="1"/>
  <c r="X106" i="1"/>
  <c r="X107" i="1"/>
  <c r="X102" i="1"/>
  <c r="X142" i="1"/>
  <c r="X143" i="1"/>
  <c r="X144" i="1"/>
  <c r="X139" i="1"/>
  <c r="X140" i="1"/>
  <c r="X104" i="1"/>
  <c r="X141" i="1"/>
  <c r="X108" i="1"/>
  <c r="W82" i="1" l="1"/>
  <c r="U11" i="42"/>
  <c r="U11" i="10"/>
  <c r="U84" i="1"/>
  <c r="S13" i="42"/>
  <c r="S14" i="42" s="1"/>
  <c r="S7" i="41" s="1"/>
  <c r="S9" i="41" s="1"/>
  <c r="S13" i="10"/>
  <c r="S14" i="10" s="1"/>
  <c r="S7" i="19" s="1"/>
  <c r="N42" i="36"/>
  <c r="O40" i="36"/>
  <c r="O41" i="36" s="1"/>
  <c r="R22" i="9"/>
  <c r="C22" i="9" s="1"/>
  <c r="C12" i="9" s="1"/>
  <c r="AG8" i="6" s="1"/>
  <c r="C20" i="9"/>
  <c r="P56" i="36"/>
  <c r="P57" i="36" s="1"/>
  <c r="O58" i="36"/>
  <c r="N58" i="6"/>
  <c r="O56" i="6"/>
  <c r="O57" i="6" s="1"/>
  <c r="O40" i="6"/>
  <c r="O41" i="6" s="1"/>
  <c r="N42" i="6"/>
  <c r="Y141" i="1"/>
  <c r="Y104" i="1"/>
  <c r="Y139" i="1"/>
  <c r="Y143" i="1"/>
  <c r="Y142" i="1"/>
  <c r="Y106" i="1"/>
  <c r="Y108" i="1"/>
  <c r="Y140" i="1"/>
  <c r="Y144" i="1"/>
  <c r="Y102" i="1"/>
  <c r="Y107" i="1"/>
  <c r="Y103" i="1"/>
  <c r="S9" i="19" l="1"/>
  <c r="V84" i="1"/>
  <c r="T13" i="42"/>
  <c r="T14" i="42" s="1"/>
  <c r="T7" i="41" s="1"/>
  <c r="T9" i="41" s="1"/>
  <c r="T13" i="10"/>
  <c r="T14" i="10" s="1"/>
  <c r="T7" i="19" s="1"/>
  <c r="T9" i="19" s="1"/>
  <c r="X82" i="1"/>
  <c r="V11" i="42"/>
  <c r="V11" i="10"/>
  <c r="O42" i="36"/>
  <c r="P40" i="36"/>
  <c r="P41" i="36" s="1"/>
  <c r="P42" i="36" s="1"/>
  <c r="C4" i="7"/>
  <c r="C8" i="6"/>
  <c r="D4" i="7" s="1"/>
  <c r="D7" i="7" s="1"/>
  <c r="D8" i="7" s="1"/>
  <c r="D9" i="7" s="1"/>
  <c r="AG9" i="6"/>
  <c r="AG22" i="6"/>
  <c r="P58" i="36"/>
  <c r="Q56" i="36"/>
  <c r="Q57" i="36" s="1"/>
  <c r="P40" i="6"/>
  <c r="P41" i="6" s="1"/>
  <c r="O42" i="6"/>
  <c r="P56" i="6"/>
  <c r="P57" i="6" s="1"/>
  <c r="O58" i="6"/>
  <c r="Z139" i="1"/>
  <c r="Z141" i="1"/>
  <c r="Z103" i="1"/>
  <c r="Z140" i="1"/>
  <c r="Z143" i="1"/>
  <c r="Z102" i="1"/>
  <c r="Z144" i="1"/>
  <c r="Z106" i="1"/>
  <c r="Z142" i="1"/>
  <c r="Z104" i="1"/>
  <c r="Z107" i="1"/>
  <c r="Z108" i="1"/>
  <c r="Y82" i="1" l="1"/>
  <c r="W11" i="42"/>
  <c r="W11" i="10"/>
  <c r="W84" i="1"/>
  <c r="U13" i="42"/>
  <c r="U14" i="42" s="1"/>
  <c r="U7" i="41" s="1"/>
  <c r="U9" i="41" s="1"/>
  <c r="U13" i="10"/>
  <c r="U14" i="10" s="1"/>
  <c r="U7" i="19" s="1"/>
  <c r="U9" i="19" s="1"/>
  <c r="Q40" i="36"/>
  <c r="Q41" i="36" s="1"/>
  <c r="Q42" i="36" s="1"/>
  <c r="T20" i="7"/>
  <c r="X20" i="7"/>
  <c r="AB20" i="7"/>
  <c r="F20" i="7"/>
  <c r="AF20" i="7"/>
  <c r="Q20" i="7"/>
  <c r="K20" i="7"/>
  <c r="V20" i="7"/>
  <c r="U20" i="7"/>
  <c r="Y20" i="7"/>
  <c r="AC20" i="7"/>
  <c r="N20" i="7"/>
  <c r="G20" i="7"/>
  <c r="E20" i="7"/>
  <c r="L20" i="7"/>
  <c r="S20" i="7"/>
  <c r="W20" i="7"/>
  <c r="AA20" i="7"/>
  <c r="AE20" i="7"/>
  <c r="M20" i="7"/>
  <c r="J20" i="7"/>
  <c r="H20" i="7"/>
  <c r="O20" i="7"/>
  <c r="AG20" i="7"/>
  <c r="R20" i="7"/>
  <c r="I20" i="7"/>
  <c r="P20" i="7"/>
  <c r="Z20" i="7"/>
  <c r="AD20" i="7"/>
  <c r="D20" i="7"/>
  <c r="C20" i="7" s="1"/>
  <c r="C22" i="6"/>
  <c r="AG23" i="6"/>
  <c r="C9" i="6"/>
  <c r="C12" i="6"/>
  <c r="C11" i="6"/>
  <c r="Q58" i="36"/>
  <c r="R56" i="36"/>
  <c r="R57" i="36" s="1"/>
  <c r="P58" i="6"/>
  <c r="Q56" i="6"/>
  <c r="Q57" i="6" s="1"/>
  <c r="P42" i="6"/>
  <c r="Q40" i="6"/>
  <c r="Q41" i="6" s="1"/>
  <c r="AA104" i="1"/>
  <c r="AA102" i="1"/>
  <c r="AA143" i="1"/>
  <c r="AA141" i="1"/>
  <c r="AA107" i="1"/>
  <c r="AA142" i="1"/>
  <c r="AA144" i="1"/>
  <c r="AA140" i="1"/>
  <c r="AA103" i="1"/>
  <c r="AA139" i="1"/>
  <c r="AA108" i="1"/>
  <c r="AA106" i="1"/>
  <c r="R40" i="36" l="1"/>
  <c r="R41" i="36" s="1"/>
  <c r="X84" i="1"/>
  <c r="V13" i="42"/>
  <c r="V14" i="42" s="1"/>
  <c r="V7" i="41" s="1"/>
  <c r="V9" i="41" s="1"/>
  <c r="V13" i="10"/>
  <c r="V14" i="10" s="1"/>
  <c r="V7" i="19" s="1"/>
  <c r="V9" i="19" s="1"/>
  <c r="Z82" i="1"/>
  <c r="X11" i="42"/>
  <c r="X11" i="10"/>
  <c r="C23" i="6"/>
  <c r="C25" i="6"/>
  <c r="C26" i="6"/>
  <c r="R58" i="36"/>
  <c r="S56" i="36"/>
  <c r="S57" i="36" s="1"/>
  <c r="R56" i="6"/>
  <c r="R57" i="6" s="1"/>
  <c r="Q58" i="6"/>
  <c r="R40" i="6"/>
  <c r="R41" i="6" s="1"/>
  <c r="Q42" i="6"/>
  <c r="AB106" i="1"/>
  <c r="AB140" i="1"/>
  <c r="AB107" i="1"/>
  <c r="AB102" i="1"/>
  <c r="AB144" i="1"/>
  <c r="AB108" i="1"/>
  <c r="AB103" i="1"/>
  <c r="AB142" i="1"/>
  <c r="AB139" i="1"/>
  <c r="AB141" i="1"/>
  <c r="AB143" i="1"/>
  <c r="AB104" i="1"/>
  <c r="S40" i="36" l="1"/>
  <c r="S41" i="36" s="1"/>
  <c r="R42" i="36"/>
  <c r="AA82" i="1"/>
  <c r="Y11" i="42"/>
  <c r="Y11" i="10"/>
  <c r="Y84" i="1"/>
  <c r="W13" i="42"/>
  <c r="W14" i="42" s="1"/>
  <c r="W7" i="41" s="1"/>
  <c r="W9" i="41" s="1"/>
  <c r="W13" i="10"/>
  <c r="W14" i="10" s="1"/>
  <c r="W7" i="19" s="1"/>
  <c r="W9" i="19" s="1"/>
  <c r="T56" i="36"/>
  <c r="T57" i="36" s="1"/>
  <c r="S58" i="36"/>
  <c r="T40" i="36"/>
  <c r="T41" i="36" s="1"/>
  <c r="S42" i="36"/>
  <c r="R42" i="6"/>
  <c r="S40" i="6"/>
  <c r="S41" i="6" s="1"/>
  <c r="S56" i="6"/>
  <c r="S57" i="6" s="1"/>
  <c r="R58" i="6"/>
  <c r="AC144" i="1"/>
  <c r="AC102" i="1"/>
  <c r="AC107" i="1"/>
  <c r="AC106" i="1"/>
  <c r="AC143" i="1"/>
  <c r="AC139" i="1"/>
  <c r="AC103" i="1"/>
  <c r="AC140" i="1"/>
  <c r="AC104" i="1"/>
  <c r="AC141" i="1"/>
  <c r="AC142" i="1"/>
  <c r="AC108" i="1"/>
  <c r="Z84" i="1" l="1"/>
  <c r="X13" i="42"/>
  <c r="X14" i="42" s="1"/>
  <c r="X7" i="41" s="1"/>
  <c r="X9" i="41" s="1"/>
  <c r="X13" i="10"/>
  <c r="X14" i="10" s="1"/>
  <c r="X7" i="19" s="1"/>
  <c r="X9" i="19" s="1"/>
  <c r="AB82" i="1"/>
  <c r="Z11" i="42"/>
  <c r="Z11" i="10"/>
  <c r="U40" i="36"/>
  <c r="U41" i="36" s="1"/>
  <c r="T42" i="36"/>
  <c r="U56" i="36"/>
  <c r="U57" i="36" s="1"/>
  <c r="T58" i="36"/>
  <c r="S58" i="6"/>
  <c r="T56" i="6"/>
  <c r="T57" i="6" s="1"/>
  <c r="S42" i="6"/>
  <c r="T40" i="6"/>
  <c r="T41" i="6" s="1"/>
  <c r="AD108" i="1"/>
  <c r="AD141" i="1"/>
  <c r="AD107" i="1"/>
  <c r="AD142" i="1"/>
  <c r="AD104" i="1"/>
  <c r="AD139" i="1"/>
  <c r="AD106" i="1"/>
  <c r="AD102" i="1"/>
  <c r="AD140" i="1"/>
  <c r="AD103" i="1"/>
  <c r="AD143" i="1"/>
  <c r="AD144" i="1"/>
  <c r="AC82" i="1" l="1"/>
  <c r="AA11" i="42"/>
  <c r="AA11" i="10"/>
  <c r="AA84" i="1"/>
  <c r="Y13" i="42"/>
  <c r="Y14" i="42" s="1"/>
  <c r="Y7" i="41" s="1"/>
  <c r="Y9" i="41" s="1"/>
  <c r="Y13" i="10"/>
  <c r="Y14" i="10" s="1"/>
  <c r="Y7" i="19" s="1"/>
  <c r="Y9" i="19" s="1"/>
  <c r="U58" i="36"/>
  <c r="V56" i="36"/>
  <c r="V57" i="36" s="1"/>
  <c r="U42" i="36"/>
  <c r="V40" i="36"/>
  <c r="V41" i="36" s="1"/>
  <c r="U56" i="6"/>
  <c r="U57" i="6" s="1"/>
  <c r="T58" i="6"/>
  <c r="T42" i="6"/>
  <c r="U40" i="6"/>
  <c r="U41" i="6" s="1"/>
  <c r="AE144" i="1"/>
  <c r="AE103" i="1"/>
  <c r="AE106" i="1"/>
  <c r="AE104" i="1"/>
  <c r="AE142" i="1"/>
  <c r="AE107" i="1"/>
  <c r="AE141" i="1"/>
  <c r="AE143" i="1"/>
  <c r="AE140" i="1"/>
  <c r="AE102" i="1"/>
  <c r="AE139" i="1"/>
  <c r="AE108" i="1"/>
  <c r="AB84" i="1" l="1"/>
  <c r="Z13" i="42"/>
  <c r="Z14" i="42" s="1"/>
  <c r="Z7" i="41" s="1"/>
  <c r="Z9" i="41" s="1"/>
  <c r="Z13" i="10"/>
  <c r="Z14" i="10" s="1"/>
  <c r="Z7" i="19" s="1"/>
  <c r="Z9" i="19" s="1"/>
  <c r="AD82" i="1"/>
  <c r="AB11" i="42"/>
  <c r="AB11" i="10"/>
  <c r="V42" i="36"/>
  <c r="W40" i="36"/>
  <c r="W41" i="36" s="1"/>
  <c r="W56" i="36"/>
  <c r="W57" i="36" s="1"/>
  <c r="V58" i="36"/>
  <c r="U42" i="6"/>
  <c r="V40" i="6"/>
  <c r="V41" i="6" s="1"/>
  <c r="V56" i="6"/>
  <c r="V57" i="6" s="1"/>
  <c r="U58" i="6"/>
  <c r="AF108" i="1"/>
  <c r="AF139" i="1"/>
  <c r="AF140" i="1"/>
  <c r="AF141" i="1"/>
  <c r="AF107" i="1"/>
  <c r="AF142" i="1"/>
  <c r="AF106" i="1"/>
  <c r="AF103" i="1"/>
  <c r="AF102" i="1"/>
  <c r="AF143" i="1"/>
  <c r="AF104" i="1"/>
  <c r="AF144" i="1"/>
  <c r="AE82" i="1" l="1"/>
  <c r="AC11" i="42"/>
  <c r="AC11" i="10"/>
  <c r="AC84" i="1"/>
  <c r="AA13" i="42"/>
  <c r="AA14" i="42" s="1"/>
  <c r="AA7" i="41" s="1"/>
  <c r="AA9" i="41" s="1"/>
  <c r="AA13" i="10"/>
  <c r="AA14" i="10" s="1"/>
  <c r="AA7" i="19" s="1"/>
  <c r="AA9" i="19" s="1"/>
  <c r="X56" i="36"/>
  <c r="X57" i="36" s="1"/>
  <c r="W58" i="36"/>
  <c r="X40" i="36"/>
  <c r="X41" i="36" s="1"/>
  <c r="W42" i="36"/>
  <c r="V42" i="6"/>
  <c r="W40" i="6"/>
  <c r="W41" i="6" s="1"/>
  <c r="W56" i="6"/>
  <c r="W57" i="6" s="1"/>
  <c r="V58" i="6"/>
  <c r="AG104" i="1"/>
  <c r="AH104" i="1" s="1"/>
  <c r="AI104" i="1" s="1"/>
  <c r="AJ104" i="1" s="1"/>
  <c r="AK104" i="1" s="1"/>
  <c r="AL104" i="1" s="1"/>
  <c r="AM104" i="1" s="1"/>
  <c r="AN104" i="1" s="1"/>
  <c r="AO104" i="1" s="1"/>
  <c r="AP104" i="1" s="1"/>
  <c r="AQ104" i="1" s="1"/>
  <c r="AG106" i="1"/>
  <c r="AH106" i="1" s="1"/>
  <c r="AI106" i="1" s="1"/>
  <c r="AJ106" i="1" s="1"/>
  <c r="AK106" i="1" s="1"/>
  <c r="AL106" i="1" s="1"/>
  <c r="AM106" i="1" s="1"/>
  <c r="AN106" i="1" s="1"/>
  <c r="AO106" i="1" s="1"/>
  <c r="AP106" i="1" s="1"/>
  <c r="AQ106" i="1" s="1"/>
  <c r="AG141" i="1"/>
  <c r="AH141" i="1" s="1"/>
  <c r="AI141" i="1" s="1"/>
  <c r="AJ141" i="1" s="1"/>
  <c r="AK141" i="1" s="1"/>
  <c r="AL141" i="1" s="1"/>
  <c r="AM141" i="1" s="1"/>
  <c r="AN141" i="1" s="1"/>
  <c r="AO141" i="1" s="1"/>
  <c r="AP141" i="1" s="1"/>
  <c r="AQ141" i="1" s="1"/>
  <c r="AG139" i="1"/>
  <c r="AH139" i="1" s="1"/>
  <c r="AI139" i="1" s="1"/>
  <c r="AJ139" i="1" s="1"/>
  <c r="AK139" i="1" s="1"/>
  <c r="AL139" i="1" s="1"/>
  <c r="AM139" i="1" s="1"/>
  <c r="AN139" i="1" s="1"/>
  <c r="AO139" i="1" s="1"/>
  <c r="AP139" i="1" s="1"/>
  <c r="AQ139" i="1" s="1"/>
  <c r="AG108" i="1"/>
  <c r="AH108" i="1" s="1"/>
  <c r="AI108" i="1" s="1"/>
  <c r="AJ108" i="1" s="1"/>
  <c r="AK108" i="1" s="1"/>
  <c r="AL108" i="1" s="1"/>
  <c r="AM108" i="1" s="1"/>
  <c r="AN108" i="1" s="1"/>
  <c r="AO108" i="1" s="1"/>
  <c r="AP108" i="1" s="1"/>
  <c r="AQ108" i="1" s="1"/>
  <c r="AG143" i="1"/>
  <c r="AH143" i="1" s="1"/>
  <c r="AI143" i="1" s="1"/>
  <c r="AJ143" i="1" s="1"/>
  <c r="AK143" i="1" s="1"/>
  <c r="AL143" i="1" s="1"/>
  <c r="AM143" i="1" s="1"/>
  <c r="AN143" i="1" s="1"/>
  <c r="AO143" i="1" s="1"/>
  <c r="AP143" i="1" s="1"/>
  <c r="AQ143" i="1" s="1"/>
  <c r="AQ105" i="1"/>
  <c r="AG144" i="1"/>
  <c r="AH144" i="1" s="1"/>
  <c r="AI144" i="1" s="1"/>
  <c r="AJ144" i="1" s="1"/>
  <c r="AK144" i="1" s="1"/>
  <c r="AL144" i="1" s="1"/>
  <c r="AM144" i="1" s="1"/>
  <c r="AN144" i="1" s="1"/>
  <c r="AO144" i="1" s="1"/>
  <c r="AP144" i="1" s="1"/>
  <c r="AQ144" i="1" s="1"/>
  <c r="AG103" i="1"/>
  <c r="AH103" i="1" s="1"/>
  <c r="AI103" i="1" s="1"/>
  <c r="AJ103" i="1" s="1"/>
  <c r="AK103" i="1" s="1"/>
  <c r="AL103" i="1" s="1"/>
  <c r="AM103" i="1" s="1"/>
  <c r="AN103" i="1" s="1"/>
  <c r="AO103" i="1" s="1"/>
  <c r="AP103" i="1" s="1"/>
  <c r="AQ103" i="1" s="1"/>
  <c r="AG107" i="1"/>
  <c r="AH107" i="1" s="1"/>
  <c r="AI107" i="1" s="1"/>
  <c r="AJ107" i="1" s="1"/>
  <c r="AK107" i="1" s="1"/>
  <c r="AL107" i="1" s="1"/>
  <c r="AM107" i="1" s="1"/>
  <c r="AN107" i="1" s="1"/>
  <c r="AO107" i="1" s="1"/>
  <c r="AP107" i="1" s="1"/>
  <c r="AQ107" i="1" s="1"/>
  <c r="AG140" i="1"/>
  <c r="AH140" i="1" s="1"/>
  <c r="AI140" i="1" s="1"/>
  <c r="AJ140" i="1" s="1"/>
  <c r="AK140" i="1" s="1"/>
  <c r="AL140" i="1" s="1"/>
  <c r="AM140" i="1" s="1"/>
  <c r="AN140" i="1" s="1"/>
  <c r="AO140" i="1" s="1"/>
  <c r="AP140" i="1" s="1"/>
  <c r="AQ140" i="1" s="1"/>
  <c r="AG102" i="1"/>
  <c r="AH102" i="1" s="1"/>
  <c r="AI102" i="1" s="1"/>
  <c r="AJ102" i="1" s="1"/>
  <c r="AK102" i="1" s="1"/>
  <c r="AL102" i="1" s="1"/>
  <c r="AM102" i="1" s="1"/>
  <c r="AN102" i="1" s="1"/>
  <c r="AO102" i="1" s="1"/>
  <c r="AP102" i="1" s="1"/>
  <c r="AQ102" i="1" s="1"/>
  <c r="AG142" i="1"/>
  <c r="AH142" i="1" s="1"/>
  <c r="AI142" i="1" s="1"/>
  <c r="AJ142" i="1" s="1"/>
  <c r="AK142" i="1" s="1"/>
  <c r="AL142" i="1" s="1"/>
  <c r="AM142" i="1" s="1"/>
  <c r="AN142" i="1" s="1"/>
  <c r="AO142" i="1" s="1"/>
  <c r="AP142" i="1" s="1"/>
  <c r="AQ142" i="1" s="1"/>
  <c r="AD84" i="1" l="1"/>
  <c r="AB13" i="42"/>
  <c r="AB14" i="42" s="1"/>
  <c r="AB7" i="41" s="1"/>
  <c r="AB9" i="41" s="1"/>
  <c r="AB13" i="10"/>
  <c r="AB14" i="10" s="1"/>
  <c r="AB7" i="19" s="1"/>
  <c r="AB9" i="19" s="1"/>
  <c r="AF82" i="1"/>
  <c r="AD11" i="42"/>
  <c r="AD11" i="10"/>
  <c r="Y40" i="36"/>
  <c r="Y41" i="36" s="1"/>
  <c r="X42" i="36"/>
  <c r="X58" i="36"/>
  <c r="Y56" i="36"/>
  <c r="Y57" i="36" s="1"/>
  <c r="W42" i="6"/>
  <c r="X40" i="6"/>
  <c r="X41" i="6" s="1"/>
  <c r="X56" i="6"/>
  <c r="X57" i="6" s="1"/>
  <c r="W58" i="6"/>
  <c r="AG82" i="1" l="1"/>
  <c r="AE11" i="42"/>
  <c r="AE11" i="10"/>
  <c r="AE84" i="1"/>
  <c r="AC13" i="42"/>
  <c r="AC14" i="42" s="1"/>
  <c r="AC7" i="41" s="1"/>
  <c r="AC9" i="41" s="1"/>
  <c r="AC13" i="10"/>
  <c r="AC14" i="10" s="1"/>
  <c r="AC7" i="19" s="1"/>
  <c r="AC9" i="19" s="1"/>
  <c r="Y58" i="36"/>
  <c r="Z56" i="36"/>
  <c r="Z57" i="36" s="1"/>
  <c r="Y42" i="36"/>
  <c r="Z40" i="36"/>
  <c r="Z41" i="36" s="1"/>
  <c r="Y40" i="6"/>
  <c r="Y41" i="6" s="1"/>
  <c r="X42" i="6"/>
  <c r="Y56" i="6"/>
  <c r="Y57" i="6" s="1"/>
  <c r="X58" i="6"/>
  <c r="AF84" i="1" l="1"/>
  <c r="AD13" i="42"/>
  <c r="AD14" i="42" s="1"/>
  <c r="AD7" i="41" s="1"/>
  <c r="AD9" i="41" s="1"/>
  <c r="AD13" i="10"/>
  <c r="AD14" i="10" s="1"/>
  <c r="AD7" i="19" s="1"/>
  <c r="AD9" i="19" s="1"/>
  <c r="AH82" i="1"/>
  <c r="AF11" i="42"/>
  <c r="AF11" i="10"/>
  <c r="Z42" i="36"/>
  <c r="AA40" i="36"/>
  <c r="AA41" i="36" s="1"/>
  <c r="AA56" i="36"/>
  <c r="AA57" i="36" s="1"/>
  <c r="Z58" i="36"/>
  <c r="Z40" i="6"/>
  <c r="Z41" i="6" s="1"/>
  <c r="Y42" i="6"/>
  <c r="Y58" i="6"/>
  <c r="Z56" i="6"/>
  <c r="Z57" i="6" s="1"/>
  <c r="AG84" i="1" l="1"/>
  <c r="AE13" i="42"/>
  <c r="AE14" i="42" s="1"/>
  <c r="AE7" i="41" s="1"/>
  <c r="AE9" i="41" s="1"/>
  <c r="AE13" i="10"/>
  <c r="AE14" i="10" s="1"/>
  <c r="AE7" i="19" s="1"/>
  <c r="AE9" i="19" s="1"/>
  <c r="AI82" i="1"/>
  <c r="AJ82" i="1" s="1"/>
  <c r="AK82" i="1" s="1"/>
  <c r="AL82" i="1" s="1"/>
  <c r="AM82" i="1" s="1"/>
  <c r="AN82" i="1" s="1"/>
  <c r="AO82" i="1" s="1"/>
  <c r="AP82" i="1" s="1"/>
  <c r="AQ82" i="1" s="1"/>
  <c r="AG11" i="42"/>
  <c r="AG11" i="10"/>
  <c r="AB56" i="36"/>
  <c r="AB57" i="36" s="1"/>
  <c r="AA58" i="36"/>
  <c r="AB40" i="36"/>
  <c r="AB41" i="36" s="1"/>
  <c r="AA42" i="36"/>
  <c r="Z58" i="6"/>
  <c r="AA56" i="6"/>
  <c r="AA57" i="6" s="1"/>
  <c r="AA40" i="6"/>
  <c r="AA41" i="6" s="1"/>
  <c r="Z42" i="6"/>
  <c r="C11" i="42" l="1"/>
  <c r="AH84" i="1"/>
  <c r="AF13" i="42"/>
  <c r="AF14" i="42" s="1"/>
  <c r="AF7" i="41" s="1"/>
  <c r="AF9" i="41" s="1"/>
  <c r="AF13" i="10"/>
  <c r="AF14" i="10" s="1"/>
  <c r="AF7" i="19" s="1"/>
  <c r="AF9" i="19" s="1"/>
  <c r="C11" i="10"/>
  <c r="AC40" i="36"/>
  <c r="AC41" i="36" s="1"/>
  <c r="AB42" i="36"/>
  <c r="AB58" i="36"/>
  <c r="AC56" i="36"/>
  <c r="AC57" i="36" s="1"/>
  <c r="AA58" i="6"/>
  <c r="AB56" i="6"/>
  <c r="AB57" i="6" s="1"/>
  <c r="AB40" i="6"/>
  <c r="AB41" i="6" s="1"/>
  <c r="AA42" i="6"/>
  <c r="AI84" i="1" l="1"/>
  <c r="AJ84" i="1" s="1"/>
  <c r="AK84" i="1" s="1"/>
  <c r="AL84" i="1" s="1"/>
  <c r="AM84" i="1" s="1"/>
  <c r="AN84" i="1" s="1"/>
  <c r="AO84" i="1" s="1"/>
  <c r="AP84" i="1" s="1"/>
  <c r="AQ84" i="1" s="1"/>
  <c r="AG13" i="42"/>
  <c r="AG13" i="10"/>
  <c r="AC58" i="36"/>
  <c r="AD56" i="36"/>
  <c r="AD57" i="36" s="1"/>
  <c r="AC42" i="36"/>
  <c r="AD40" i="36"/>
  <c r="AD41" i="36" s="1"/>
  <c r="AB58" i="6"/>
  <c r="AC56" i="6"/>
  <c r="AC57" i="6" s="1"/>
  <c r="AC40" i="6"/>
  <c r="AC41" i="6" s="1"/>
  <c r="AB42" i="6"/>
  <c r="C13" i="10" l="1"/>
  <c r="AG14" i="10"/>
  <c r="C13" i="42"/>
  <c r="AG14" i="42"/>
  <c r="AD42" i="36"/>
  <c r="AE40" i="36"/>
  <c r="AE41" i="36" s="1"/>
  <c r="AE56" i="36"/>
  <c r="AE57" i="36" s="1"/>
  <c r="AD58" i="36"/>
  <c r="AC58" i="6"/>
  <c r="AD56" i="6"/>
  <c r="AD57" i="6" s="1"/>
  <c r="AD40" i="6"/>
  <c r="AD41" i="6" s="1"/>
  <c r="AC42" i="6"/>
  <c r="AG7" i="41" l="1"/>
  <c r="C14" i="42"/>
  <c r="AG7" i="19"/>
  <c r="C14" i="10"/>
  <c r="AE58" i="36"/>
  <c r="AF56" i="36"/>
  <c r="AF57" i="36" s="1"/>
  <c r="AE42" i="36"/>
  <c r="AF40" i="36"/>
  <c r="AF41" i="36" s="1"/>
  <c r="AE56" i="6"/>
  <c r="AE57" i="6" s="1"/>
  <c r="AD58" i="6"/>
  <c r="AE40" i="6"/>
  <c r="AE41" i="6" s="1"/>
  <c r="AD42" i="6"/>
  <c r="D31" i="9" l="1"/>
  <c r="C7" i="19"/>
  <c r="C7" i="41"/>
  <c r="D31" i="34"/>
  <c r="AG40" i="36"/>
  <c r="AF42" i="36"/>
  <c r="AG56" i="36"/>
  <c r="AF58" i="36"/>
  <c r="AF56" i="6"/>
  <c r="AF57" i="6" s="1"/>
  <c r="AE58" i="6"/>
  <c r="AF40" i="6"/>
  <c r="AF41" i="6" s="1"/>
  <c r="AE42" i="6"/>
  <c r="E31" i="34" l="1"/>
  <c r="D32" i="34"/>
  <c r="E31" i="9"/>
  <c r="D32" i="9"/>
  <c r="AG57" i="36"/>
  <c r="C57" i="36" s="1"/>
  <c r="AG41" i="36"/>
  <c r="C41" i="36" s="1"/>
  <c r="AG56" i="6"/>
  <c r="AF58" i="6"/>
  <c r="AG40" i="6"/>
  <c r="AF42" i="6"/>
  <c r="F31" i="9" l="1"/>
  <c r="E32" i="9"/>
  <c r="E32" i="34"/>
  <c r="F31" i="34"/>
  <c r="AG58" i="36"/>
  <c r="AG42" i="36"/>
  <c r="AG41" i="6"/>
  <c r="C41" i="6" s="1"/>
  <c r="AG57" i="6"/>
  <c r="C57" i="6" s="1"/>
  <c r="G31" i="34" l="1"/>
  <c r="F32" i="34"/>
  <c r="F32" i="9"/>
  <c r="G31" i="9"/>
  <c r="AG58" i="6"/>
  <c r="AG42" i="6"/>
  <c r="H31" i="9" l="1"/>
  <c r="G32" i="9"/>
  <c r="G32" i="34"/>
  <c r="H31" i="34"/>
  <c r="I31" i="34" l="1"/>
  <c r="H32" i="34"/>
  <c r="I31" i="9"/>
  <c r="H32" i="9"/>
  <c r="I32" i="9" l="1"/>
  <c r="J31" i="9"/>
  <c r="J31" i="34"/>
  <c r="I32" i="34"/>
  <c r="K31" i="34" l="1"/>
  <c r="J32" i="34"/>
  <c r="K31" i="9"/>
  <c r="J32" i="9"/>
  <c r="K32" i="9" l="1"/>
  <c r="L31" i="9"/>
  <c r="L31" i="34"/>
  <c r="K32" i="34"/>
  <c r="L32" i="34" l="1"/>
  <c r="C32" i="34" s="1"/>
  <c r="C13" i="34" s="1"/>
  <c r="C31" i="34"/>
  <c r="L32" i="9"/>
  <c r="M31" i="9"/>
  <c r="AG8" i="41" l="1"/>
  <c r="C8" i="41" s="1"/>
  <c r="C14" i="41" s="1"/>
  <c r="M32" i="9"/>
  <c r="N31" i="9"/>
  <c r="AG9" i="41" l="1"/>
  <c r="C9" i="41" s="1"/>
  <c r="C11" i="41"/>
  <c r="C13" i="41"/>
  <c r="O31" i="9"/>
  <c r="N32" i="9"/>
  <c r="C12" i="41" l="1"/>
  <c r="P31" i="9"/>
  <c r="O32" i="9"/>
  <c r="Q31" i="9" l="1"/>
  <c r="P32" i="9"/>
  <c r="Q32" i="9" l="1"/>
  <c r="R31" i="9"/>
  <c r="R32" i="9" l="1"/>
  <c r="C32" i="9" s="1"/>
  <c r="C13" i="9" s="1"/>
  <c r="AG8" i="19" s="1"/>
  <c r="C31" i="9"/>
  <c r="C8" i="19" l="1"/>
  <c r="C14" i="19" s="1"/>
  <c r="AG9" i="19"/>
  <c r="C13" i="19" l="1"/>
  <c r="C11" i="19"/>
  <c r="C12" i="19"/>
  <c r="C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Smolka</author>
  </authors>
  <commentList>
    <comment ref="D56" authorId="0" shapeId="0" xr:uid="{DC763836-9508-314A-9B94-604E36C73525}">
      <text>
        <r>
          <rPr>
            <b/>
            <sz val="10"/>
            <color rgb="FF000000"/>
            <rFont val="Tahoma"/>
            <family val="2"/>
          </rPr>
          <t>Autor: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na trase jazdia modernejšie lôžkové vozne takže len minimálne benfeity</t>
        </r>
      </text>
    </comment>
    <comment ref="E56" authorId="0" shapeId="0" xr:uid="{2E550343-E7EA-4245-A201-9211B292BCEB}">
      <text>
        <r>
          <rPr>
            <b/>
            <sz val="10"/>
            <color rgb="FF000000"/>
            <rFont val="Tahoma"/>
            <family val="2"/>
          </rPr>
          <t>Autor: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2 zo 3 radených lôžkových vozňov bolo WLABee
</t>
        </r>
        <r>
          <rPr>
            <sz val="10"/>
            <color rgb="FF000000"/>
            <rFont val="Calibri"/>
            <family val="2"/>
          </rPr>
          <t xml:space="preserve">1 zo 3 radených lôžkových vozňov bol WLABmee
</t>
        </r>
      </text>
    </comment>
    <comment ref="F56" authorId="0" shapeId="0" xr:uid="{1F1F6066-D4D4-4A4B-84A7-14495551F3D8}">
      <text>
        <r>
          <rPr>
            <b/>
            <sz val="10"/>
            <color rgb="FF000000"/>
            <rFont val="Tahoma"/>
            <family val="2"/>
          </rPr>
          <t>Autor: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 zo 6 radených lôžkových vozňov bolo WLAB a WLABee
</t>
        </r>
        <r>
          <rPr>
            <sz val="10"/>
            <color rgb="FF000000"/>
            <rFont val="Calibri"/>
            <family val="2"/>
          </rPr>
          <t xml:space="preserve">1 zo 6 radených lôžkových vozňov bol WLABmee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Smolka</author>
  </authors>
  <commentList>
    <comment ref="D56" authorId="0" shapeId="0" xr:uid="{F6AA028C-67FD-5C48-A59E-B2C82878AF4A}">
      <text>
        <r>
          <rPr>
            <b/>
            <sz val="10"/>
            <color rgb="FF000000"/>
            <rFont val="Tahoma"/>
            <family val="2"/>
          </rPr>
          <t>Autor: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na trase jazdia modernejšie lôžkové vozne takže len minimálne benfeity</t>
        </r>
      </text>
    </comment>
    <comment ref="E56" authorId="0" shapeId="0" xr:uid="{6C722515-25DA-3146-96CB-4FD07D134157}">
      <text>
        <r>
          <rPr>
            <b/>
            <sz val="10"/>
            <color rgb="FF000000"/>
            <rFont val="Tahoma"/>
            <family val="2"/>
          </rPr>
          <t>Autor: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2 zo 3 radených lôžkových vozňov bolo WLABee
</t>
        </r>
        <r>
          <rPr>
            <sz val="10"/>
            <color rgb="FF000000"/>
            <rFont val="Calibri"/>
            <family val="2"/>
          </rPr>
          <t xml:space="preserve">1 zo 3 radených lôžkových vozňov bol WLABmee
</t>
        </r>
      </text>
    </comment>
    <comment ref="F56" authorId="0" shapeId="0" xr:uid="{325A4946-F2CC-3844-A88A-D0FB355FE125}">
      <text>
        <r>
          <rPr>
            <b/>
            <sz val="10"/>
            <color rgb="FF000000"/>
            <rFont val="Tahoma"/>
            <family val="2"/>
          </rPr>
          <t>Autor: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 zo 6 radených lôžkových vozňov bolo WLAB a WLABee
</t>
        </r>
        <r>
          <rPr>
            <sz val="10"/>
            <color rgb="FF000000"/>
            <rFont val="Calibri"/>
            <family val="2"/>
          </rPr>
          <t xml:space="preserve">1 zo 6 radených lôžkových vozňov bol WLABmee
</t>
        </r>
      </text>
    </comment>
  </commentList>
</comments>
</file>

<file path=xl/sharedStrings.xml><?xml version="1.0" encoding="utf-8"?>
<sst xmlns="http://schemas.openxmlformats.org/spreadsheetml/2006/main" count="1224" uniqueCount="534">
  <si>
    <t>EUR</t>
  </si>
  <si>
    <t>B/C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</si>
  <si>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</si>
  <si>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</si>
  <si>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</si>
  <si>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</si>
  <si>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</si>
  <si>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</si>
  <si>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</si>
  <si>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</si>
  <si>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</si>
  <si>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</si>
  <si>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</si>
  <si>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Príjmy</t>
  </si>
  <si>
    <t>Investičné náklady</t>
  </si>
  <si>
    <t>5.1 Výpočet finančnej medzery</t>
  </si>
  <si>
    <t>Zostatková hodnota</t>
  </si>
  <si>
    <t>Finančná čistá súčasná hodnota investície (FRR_C)</t>
  </si>
  <si>
    <t>Finančné vnútorné výnosové percento investície  (FIRR_C)</t>
  </si>
  <si>
    <t>Finančná čistá súčasná hodnota kapitálu (FNPV_K)</t>
  </si>
  <si>
    <t>Finančné vnútorné výnosové percento kapitálu (FIRR_K)</t>
  </si>
  <si>
    <t>6.1 Finančná čistá súčasná hodnota investície  (FRR_C)</t>
  </si>
  <si>
    <t>6.2 Finančná čistá súčasná hodnota kapitálu  (FNPV_K)</t>
  </si>
  <si>
    <t>Celkové výdavky</t>
  </si>
  <si>
    <t>Kumulovaný čistý peňažný tok</t>
  </si>
  <si>
    <t>Nediskontované</t>
  </si>
  <si>
    <t>Diskontované</t>
  </si>
  <si>
    <t>Životnosť (vrátane výmeny)</t>
  </si>
  <si>
    <t>Nevyhnutnosť výmeny</t>
  </si>
  <si>
    <t>Zostávajúca životnosť v %*</t>
  </si>
  <si>
    <t>Infraštrukturálny prvok</t>
  </si>
  <si>
    <t xml:space="preserve">Zostatková hodnota na základe finančných peňažných tokoch </t>
  </si>
  <si>
    <t>BEZ PROJEKTU</t>
  </si>
  <si>
    <t>S PROJEKTOM</t>
  </si>
  <si>
    <t>Celkom (diskontované)</t>
  </si>
  <si>
    <t>Rast HDP (%)</t>
  </si>
  <si>
    <t>1.2 Investičné náklady (EUR) - ekonomické</t>
  </si>
  <si>
    <t>Peňažné toky</t>
  </si>
  <si>
    <t>Čisté peňažné toky</t>
  </si>
  <si>
    <t>Ekonomická čistá súčasná hodnota investície (ENPV)</t>
  </si>
  <si>
    <t>Ekonomická vnútorná miera návratnosti (EIRR)</t>
  </si>
  <si>
    <t>Inkrementálne (PRÍRASTKOVÉ)</t>
  </si>
  <si>
    <t>Zostatková hodnota na základe socio-ekonomických peňažných tokoch</t>
  </si>
  <si>
    <t>Rezerva na nepredvídané výdavky</t>
  </si>
  <si>
    <t>Celkové investičné náklady</t>
  </si>
  <si>
    <t>Všeobecné parametre</t>
  </si>
  <si>
    <t>Celkové peňažné toky</t>
  </si>
  <si>
    <t>.......</t>
  </si>
  <si>
    <t>........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</si>
  <si>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</si>
  <si>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</si>
  <si>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</si>
  <si>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</si>
  <si>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</si>
  <si>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</si>
  <si>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</si>
  <si>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</si>
  <si>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</si>
  <si>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</si>
  <si>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</si>
  <si>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</si>
  <si>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Smrteľné zranenie</t>
  </si>
  <si>
    <t>Ťažké zranenie</t>
  </si>
  <si>
    <t>Ľahké zranenie</t>
  </si>
  <si>
    <t>Obdobie prevádzky v rámci referenčného obdobia</t>
  </si>
  <si>
    <t>Personálne výdavky</t>
  </si>
  <si>
    <t>Materiál a ostané zdroje</t>
  </si>
  <si>
    <t>Auto</t>
  </si>
  <si>
    <t>Rozdelenie cestovania podľa účelu cesty</t>
  </si>
  <si>
    <t>Dochádzanie 
do práce</t>
  </si>
  <si>
    <t>Iné (súkromné)</t>
  </si>
  <si>
    <t>Mestská hromadná doprava</t>
  </si>
  <si>
    <t>Inflácia</t>
  </si>
  <si>
    <t>CPI - ročná % zmena</t>
  </si>
  <si>
    <t>Index pre úpravu cenovej úrovne</t>
  </si>
  <si>
    <t>Príručka CBA, Tabuľka 25</t>
  </si>
  <si>
    <t>Príručka CBA, Tabuľka 23</t>
  </si>
  <si>
    <t>Autobusy</t>
  </si>
  <si>
    <t>Príručka CBA, Tabuľka 26</t>
  </si>
  <si>
    <t>Typ pozemnej komunikácie</t>
  </si>
  <si>
    <t>2.1 Zostatková hodnota na základe životnosti infraštruktrálnych prvkov (alebo tzv. účtovné odpisy)</t>
  </si>
  <si>
    <t>finančná</t>
  </si>
  <si>
    <t>ekonomická</t>
  </si>
  <si>
    <t>2.2 Zostatková hodnota ako čistá súčasná hodnota peňažných tokov zostávajúcej životnosti po uplynutí referenčného obdobia</t>
  </si>
  <si>
    <t>pozn.: výpočet môže vyžadovať pomocný hárok resp. sa výpočet môže uviesť nižšie v tomto hárku</t>
  </si>
  <si>
    <t>Príručka CBA, Tabuľka 32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</si>
  <si>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</si>
  <si>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</si>
  <si>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nový tunel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</si>
  <si>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</si>
  <si>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</si>
  <si>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</si>
  <si>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</si>
  <si>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</si>
  <si>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existujúci most (stavebný stav 5 a horšie) odľahčený</t>
  </si>
  <si>
    <t>nová cesta alebo existujúca cesta v dobrom stave (asfaltový povrch)</t>
  </si>
  <si>
    <t>nová cesta alebo existujúca cesta v dobrom stave (betónový povrch)</t>
  </si>
  <si>
    <t>nový most alebo existujúci most v dobrom stave</t>
  </si>
  <si>
    <t>Stavebný objekt</t>
  </si>
  <si>
    <t>EUR/m²/rok</t>
  </si>
  <si>
    <t>Príručka CBA, Tabuľka 5</t>
  </si>
  <si>
    <t>! JC sa aplikujú pre každý rok prevádzky projektu v rámci referenčného obdobia</t>
  </si>
  <si>
    <t>Kategória vozidla</t>
  </si>
  <si>
    <t>Pohonné hmoty - Nafta</t>
  </si>
  <si>
    <t>Príručka CBA, časť 5.2.1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</si>
  <si>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</si>
  <si>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</si>
  <si>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</si>
  <si>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</si>
  <si>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</si>
  <si>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</si>
  <si>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</si>
  <si>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</si>
  <si>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</si>
  <si>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</si>
  <si>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</si>
  <si>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</si>
  <si>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 xml:space="preserve">Tovar s nízkou hodnotou </t>
  </si>
  <si>
    <t xml:space="preserve">Bežný tovar </t>
  </si>
  <si>
    <t>Podiel komodity na preprave</t>
  </si>
  <si>
    <t>Typ komodity</t>
  </si>
  <si>
    <t>Priemerné množstvo tovaru na jedno SNV/ŤNV (v tonách)</t>
  </si>
  <si>
    <t>Hodnota času tovaru na jedno SNV/ŤNV (v EUR)</t>
  </si>
  <si>
    <t>Rýchlosti</t>
  </si>
  <si>
    <t>Osobné vozidlá (benzín)</t>
  </si>
  <si>
    <t>Osobné vozidlá (nafta)</t>
  </si>
  <si>
    <t>Ľahké nákladné vozidlá</t>
  </si>
  <si>
    <t>Stredne ťažké nákladné vozidlá</t>
  </si>
  <si>
    <t>Ťažké nákladné vozidlá</t>
  </si>
  <si>
    <t>Benzín</t>
  </si>
  <si>
    <t>Nafta</t>
  </si>
  <si>
    <t>Skladba osobných áut podľa PHM</t>
  </si>
  <si>
    <t>!Neupravuje sa o rast HDP</t>
  </si>
  <si>
    <t>Priemerná spotreba pohonných hmôt v závislosti od kategórie vozidla a rýchlosti v litroch/km</t>
  </si>
  <si>
    <t>Dodatočná spotreba pohonných hmôt v závislosti od kategórie vozidla a rýchlostného obmedzenia v litroch</t>
  </si>
  <si>
    <t>Rýchlostné obmedzenie</t>
  </si>
  <si>
    <t>Príručka CBA, tabuľka 27</t>
  </si>
  <si>
    <t>JC pohonných hmôt pre použitie v ekonomickej analýze</t>
  </si>
  <si>
    <t>v EUR</t>
  </si>
  <si>
    <t>!JC sa neeskalujú a neupravujú o rast HDP</t>
  </si>
  <si>
    <t>Príručka CBA, časť 5.2.2.4</t>
  </si>
  <si>
    <t>EUR/km</t>
  </si>
  <si>
    <t>EUR/hod.</t>
  </si>
  <si>
    <t>Priemerné náklady na prevádzku cestných vozidiel</t>
  </si>
  <si>
    <t>Príručka CBA, Tabuľka 28</t>
  </si>
  <si>
    <t>! Do 3,5t</t>
  </si>
  <si>
    <t>! Nad 3,5t do 12t</t>
  </si>
  <si>
    <t>! Nad 12t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</si>
  <si>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</si>
  <si>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</si>
  <si>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</si>
  <si>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</si>
  <si>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</si>
  <si>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</si>
  <si>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</si>
  <si>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</si>
  <si>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</si>
  <si>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</si>
  <si>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</si>
  <si>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</si>
  <si>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</si>
  <si>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</si>
  <si>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</si>
  <si>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</si>
  <si>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Príručka CBA, časť 5.2.2.6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</si>
  <si>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</si>
  <si>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</si>
  <si>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</si>
  <si>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</si>
  <si>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</si>
  <si>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Ľahké nákladné vozidlá (nafta)</t>
  </si>
  <si>
    <t>Stredne ťažké nákladné vozidlá (nafta)</t>
  </si>
  <si>
    <t>Ťažké nákladné vozidlá (nafta)</t>
  </si>
  <si>
    <t>Autobusy (nafta)</t>
  </si>
  <si>
    <t>Príručka CBA, tabuľka 35</t>
  </si>
  <si>
    <t>Náklady znečisťujúcich látok z dopravy (EUR/kg) podľa typu látky a územia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</si>
  <si>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</si>
  <si>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</si>
  <si>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t>NMVOC - Všetky územia</t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</si>
  <si>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</si>
  <si>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</si>
  <si>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</si>
  <si>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</si>
  <si>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</si>
  <si>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</si>
  <si>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</si>
  <si>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</si>
  <si>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</si>
  <si>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</si>
  <si>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t>Príručka CBA, tabuľka 38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</si>
  <si>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</si>
  <si>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Príručka CBA, časť 5.2.2.7</t>
  </si>
  <si>
    <t>Jednotková cena tony CO2e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</si>
  <si>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86 EUR/t)</t>
    </r>
  </si>
  <si>
    <t>Jednotkové náklady hluku (v EUR na vozidlový kilometer) podľa kategórie vozidla a územia</t>
  </si>
  <si>
    <t>Osobné vozidlá - centrum mesta</t>
  </si>
  <si>
    <t>Ľahké nákladné vozidlá - centrum mesta</t>
  </si>
  <si>
    <t>Stredne ťažké nákladné vozidlá - centrum mesta</t>
  </si>
  <si>
    <t>Ťažké nákladné vozidlá- centrum mesta</t>
  </si>
  <si>
    <t>Autobusy- centrum mesta</t>
  </si>
  <si>
    <t>Osobné vozidlá - intravilán mesta</t>
  </si>
  <si>
    <t>Ľahké nákladné vozidlá - intravilán mesta</t>
  </si>
  <si>
    <t>Stredne ťažké nákladné vozidlá - intravilán mesta</t>
  </si>
  <si>
    <t>Ťažké nákladné vozidlá - intravilán mesta</t>
  </si>
  <si>
    <t>Autobusy - intravilán mesta</t>
  </si>
  <si>
    <t>Osobné vozidlá - intravilán obce</t>
  </si>
  <si>
    <t>Ľahké nákladné vozidlá - intravilán obce</t>
  </si>
  <si>
    <t>Stredne ťažké nákladné vozidlá - intravilán obce</t>
  </si>
  <si>
    <t>Ťažké nákladné vozidlá - intravilán obce</t>
  </si>
  <si>
    <t>Autobusy - intravilán obce</t>
  </si>
  <si>
    <t>Príručka CBA, tabuľka 42</t>
  </si>
  <si>
    <t>Iné služby</t>
  </si>
  <si>
    <t>Rezerva na nepredvídateľné výdavky</t>
  </si>
  <si>
    <t>Položka sa stanovuje a uplatňuje v súlade s pravidlami oprávnenosti príslušného programu;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</si>
  <si>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</si>
  <si>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</si>
  <si>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</si>
  <si>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</si>
  <si>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</si>
  <si>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</si>
  <si>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Prevádzkové príjmy</t>
  </si>
  <si>
    <t>Oprávnené výdavky</t>
  </si>
  <si>
    <t>Časový horizont (referenčné obdobie)</t>
  </si>
  <si>
    <t>Začiatočný rok referenčného obdobia</t>
  </si>
  <si>
    <t>Rok uvedenia do prevádzky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</si>
  <si>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</si>
  <si>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</si>
  <si>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</si>
  <si>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</si>
  <si>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</si>
  <si>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</si>
  <si>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</si>
  <si>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</si>
  <si>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</si>
  <si>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</si>
  <si>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z toho: Verejné zdroje SR</t>
  </si>
  <si>
    <t>! Bez DPH, bez rezervy, bez cenových úprav (valorizácia)</t>
  </si>
  <si>
    <t>Celkové investičné výdavky</t>
  </si>
  <si>
    <t>* bez zahrnutia DPH, rezervy a cenových úprav (valorizácia)</t>
  </si>
  <si>
    <t>5.3 Štruktúra financovania*</t>
  </si>
  <si>
    <t>z toho: Úver**</t>
  </si>
  <si>
    <t>**predpoklad nevyužitia úverových zdrojov, ak naopak, potrebné doplniť čerpanie úveru po rokoch</t>
  </si>
  <si>
    <t>Celkové finančné zdroje</t>
  </si>
  <si>
    <t>Splátky úverov (vrátane úrokov)*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</si>
  <si>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</si>
  <si>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</si>
  <si>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</si>
  <si>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</si>
  <si>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</si>
  <si>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Služobná cesta</t>
  </si>
  <si>
    <t>4.1 Príjmy</t>
  </si>
  <si>
    <t>4.2 Príjmy</t>
  </si>
  <si>
    <t>4.3 Príjmy</t>
  </si>
  <si>
    <t>PRÍRASTKOVÉ</t>
  </si>
  <si>
    <t>Čas cestujúcich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</si>
  <si>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</si>
  <si>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</si>
  <si>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</si>
  <si>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</si>
  <si>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</si>
  <si>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</si>
  <si>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</si>
  <si>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</si>
  <si>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</si>
  <si>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</si>
  <si>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</si>
  <si>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</si>
  <si>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</si>
  <si>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</si>
  <si>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</si>
  <si>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</si>
  <si>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</si>
  <si>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</si>
  <si>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</si>
  <si>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</si>
  <si>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t>Typ vozidla</t>
  </si>
  <si>
    <t>EUR/vlkm</t>
  </si>
  <si>
    <t>EUR/vlhod.</t>
  </si>
  <si>
    <t>Trakcia</t>
  </si>
  <si>
    <t>EL</t>
  </si>
  <si>
    <t>Poschodová jednotka</t>
  </si>
  <si>
    <t>Súprava typu Push-pull</t>
  </si>
  <si>
    <t xml:space="preserve">D </t>
  </si>
  <si>
    <t>Motorová jednotka</t>
  </si>
  <si>
    <t>Trakčná nafta</t>
  </si>
  <si>
    <t>liter/vlkm</t>
  </si>
  <si>
    <t>-</t>
  </si>
  <si>
    <t>Trakčná elektrina</t>
  </si>
  <si>
    <t>kWh/vlkm</t>
  </si>
  <si>
    <t>Rýchliková súprava</t>
  </si>
  <si>
    <t>Súprava Osobný vlak</t>
  </si>
  <si>
    <t>Priemerná spotreba osobných železničných koľajových vozidiel</t>
  </si>
  <si>
    <t>Príručka CBA, Tabuľka 33</t>
  </si>
  <si>
    <t>Emisné faktory znečisťujúcich látok pre železničné koľajové vozidlá (g/kg)</t>
  </si>
  <si>
    <t>Traťová lokomotíva</t>
  </si>
  <si>
    <t>Posunovacia lokomotíva</t>
  </si>
  <si>
    <r>
      <t>PM</t>
    </r>
    <r>
      <rPr>
        <b/>
        <vertAlign val="subscript"/>
        <sz val="8"/>
        <rFont val="Arial"/>
        <family val="2"/>
        <charset val="238"/>
      </rPr>
      <t>2,5</t>
    </r>
  </si>
  <si>
    <r>
      <t>NO</t>
    </r>
    <r>
      <rPr>
        <b/>
        <vertAlign val="subscript"/>
        <sz val="8"/>
        <rFont val="Arial"/>
        <family val="2"/>
        <charset val="238"/>
      </rPr>
      <t>X</t>
    </r>
  </si>
  <si>
    <r>
      <t>SO</t>
    </r>
    <r>
      <rPr>
        <b/>
        <vertAlign val="subscript"/>
        <sz val="8"/>
        <rFont val="Arial"/>
        <family val="2"/>
        <charset val="238"/>
      </rPr>
      <t>2</t>
    </r>
  </si>
  <si>
    <r>
      <t>NH</t>
    </r>
    <r>
      <rPr>
        <b/>
        <vertAlign val="subscript"/>
        <sz val="8"/>
        <rFont val="Arial"/>
        <family val="2"/>
        <charset val="238"/>
      </rPr>
      <t>3</t>
    </r>
  </si>
  <si>
    <t>Príručka CBA, tabuľka 36</t>
  </si>
  <si>
    <t>Priemerné ročné jednotkové prevádzkové výdavky (bežné+periodické) pre všetky cesty</t>
  </si>
  <si>
    <t>Emisné faktory skleníkových plynov železničných koľajových vozidiel (tradičné palivá) (g/kg)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</si>
  <si>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</si>
  <si>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</si>
  <si>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</si>
  <si>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</si>
  <si>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</si>
  <si>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</si>
  <si>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</si>
  <si>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t>Príručka CBA, tabuľka 39</t>
  </si>
  <si>
    <t>Príručka CBA, tabuľka 40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</si>
  <si>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</si>
  <si>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</si>
  <si>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</si>
  <si>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</si>
  <si>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Nákladný vlak - centrum mesta</t>
  </si>
  <si>
    <t>Nákladný vlak - intravilán mesta</t>
  </si>
  <si>
    <t>Nákladný vlak - intravilán obce</t>
  </si>
  <si>
    <t>Príručka CBA, Tabuľka 31</t>
  </si>
  <si>
    <t>Parametre pre kvantifikáciu nerealizovaných nákladov plynúcich z cestnej dopravy v prípade "modal shift"</t>
  </si>
  <si>
    <t>! Potrebné upraviť o konverzný faktor</t>
  </si>
  <si>
    <t xml:space="preserve">Stroje a zariadenia </t>
  </si>
  <si>
    <t>Rok začiatku</t>
  </si>
  <si>
    <t>Rok dodania</t>
  </si>
  <si>
    <t>Údržba a oprava</t>
  </si>
  <si>
    <t>Čistenie</t>
  </si>
  <si>
    <t>Trakčná elektrina energia</t>
  </si>
  <si>
    <t>Správa a réžia</t>
  </si>
  <si>
    <t xml:space="preserve">Ostatné </t>
  </si>
  <si>
    <t>Poplatok za ŽDC</t>
  </si>
  <si>
    <t>Mzdy personálu</t>
  </si>
  <si>
    <t>Priemerné prevádzkové výdavky na vlakové súpravy/jednotky podľa kategórií</t>
  </si>
  <si>
    <t>Diaľková doprava</t>
  </si>
  <si>
    <t>Regionálna doprava</t>
  </si>
  <si>
    <t>Doprava celkom</t>
  </si>
  <si>
    <t>Osobná železničná doprava - príjmy z cestovného</t>
  </si>
  <si>
    <t>Sadzba v EUR/osobokilometer</t>
  </si>
  <si>
    <t>*</t>
  </si>
  <si>
    <t xml:space="preserve">Kategória investičných výdavkov* </t>
  </si>
  <si>
    <t>Stroje a zariadenia</t>
  </si>
  <si>
    <t>Vozidlá</t>
  </si>
  <si>
    <t>Celkové investičné výdavky vrátane rezervy</t>
  </si>
  <si>
    <t>Oprávnené investičné výdavky bez DPH, rezervy</t>
  </si>
  <si>
    <t>Výdavky na doplnkové vybavenie vozdiel, napr. ETCS;</t>
  </si>
  <si>
    <t>Výdavky na nákup nových koľajových vozidiel, revitalizáciu existujúcich, leasing vozidiel a pod., v delení podľa typu;</t>
  </si>
  <si>
    <t>Výdavky súvisiace so štúdiami, publicita, externé riadenie a technická pomoc a pod.;</t>
  </si>
  <si>
    <t>pozn.: v prípade, že niektoré infraštrukturálne prvky budú musieť byť vymenené, zostatková hodnota by mala byť vypočítaná z posledných vynaložených investičných výdavkov.</t>
  </si>
  <si>
    <t>Životnosť v rokoch*</t>
  </si>
  <si>
    <t>* životnosť je možné upraviť podľa údajov od dodávateľa</t>
  </si>
  <si>
    <t>Celkové prevádzkové výdavky na údržbu vozidiel</t>
  </si>
  <si>
    <t>Výmeny/Obnovy/Generálne opravy</t>
  </si>
  <si>
    <t>Celkové prevádzkové náklady na údržbu vozidiel</t>
  </si>
  <si>
    <t>Prevádzkové výdavky vozidiel</t>
  </si>
  <si>
    <t>Príjmy z cestovného</t>
  </si>
  <si>
    <t>Celkom úspora času cestujúcich v peňažnom vyjadrení</t>
  </si>
  <si>
    <t>Táto jednoduchá štruktúra je vhodná pre projekty, pri ktorých sa v scenároch BEZ PROJEKTU a S PROJEKTOM nemení počet cestujúcich</t>
  </si>
  <si>
    <t>V prípade nových cestujúcich (modal split) sa primearne použijú ustanovenia Príručky (napr. pravidlo polovice) a štruktúra hárku sa môže upraviť</t>
  </si>
  <si>
    <t>11.1 Spoločenská čistá súčasná hodnota investície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</si>
  <si>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</si>
  <si>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</si>
  <si>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</si>
  <si>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</si>
  <si>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(môže byť modifikované v prípade dodania na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</si>
  <si>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</si>
  <si>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Vozidlo typu WLABm</t>
  </si>
  <si>
    <t>Cenová inflácia</t>
  </si>
  <si>
    <t>Percentuálna zmena, pokiaľ nie je uvedené inak</t>
  </si>
  <si>
    <t>skut.</t>
  </si>
  <si>
    <t>prog.</t>
  </si>
  <si>
    <t>Spotrebiteľská inflácia</t>
  </si>
  <si>
    <t xml:space="preserve">Spotrebiteľská inflácia (CPI) </t>
  </si>
  <si>
    <t xml:space="preserve">   Inflácia regulovaných cien</t>
  </si>
  <si>
    <t>Jadrová inflácia</t>
  </si>
  <si>
    <t xml:space="preserve">   Inflácia cien potravín</t>
  </si>
  <si>
    <t>Čistá inflácia</t>
  </si>
  <si>
    <t xml:space="preserve">   Inflácia cien palív</t>
  </si>
  <si>
    <t xml:space="preserve">   Inflácia obchodovateľných tovarov</t>
  </si>
  <si>
    <t xml:space="preserve">   Inflácia trhových služieb</t>
  </si>
  <si>
    <t xml:space="preserve">Spotrebiteľská inflácia (HICP) </t>
  </si>
  <si>
    <t>Dôchodcovská inflácia</t>
  </si>
  <si>
    <t>Nízkopríjmová inflácia (apríl (t)/apríl (t-1))</t>
  </si>
  <si>
    <t>Cenové deflátory</t>
  </si>
  <si>
    <t>Deflátor hrubého domáceho produktu</t>
  </si>
  <si>
    <t>Deflátor súkromnej spotreby</t>
  </si>
  <si>
    <t>Deflátor vládnej spotreby</t>
  </si>
  <si>
    <t>Deflátor tvorby fixného kapitálu</t>
  </si>
  <si>
    <t>Deflátor exportu tovarov a služieb</t>
  </si>
  <si>
    <t>Deflátor importu tovarov a služieb</t>
  </si>
  <si>
    <t>Terms of trade tovarov a služieb</t>
  </si>
  <si>
    <t>Aktuálna váha jednotlivých zložiek na indexe spotrebiteľských cien (CPI)</t>
  </si>
  <si>
    <t>Regulované ceny</t>
  </si>
  <si>
    <t>Ceny potravín</t>
  </si>
  <si>
    <t>Ceny palív</t>
  </si>
  <si>
    <t>Obchodovateľné tovary</t>
  </si>
  <si>
    <t>Trhové služby</t>
  </si>
  <si>
    <t>Hrubý domáci produkt</t>
  </si>
  <si>
    <t>HDP v stálych cenách</t>
  </si>
  <si>
    <t>Hrubý domáci produkt (mld. €)</t>
  </si>
  <si>
    <t xml:space="preserve">   rast</t>
  </si>
  <si>
    <t>Spotreba domácností (mld. €)</t>
  </si>
  <si>
    <t>Spotreba NISD (mld. €)</t>
  </si>
  <si>
    <t>Vládna spotreba (mld. €)</t>
  </si>
  <si>
    <t>Tvorba fixného kapitálu (mld. €)</t>
  </si>
  <si>
    <t>Export tovarov a služieb (mld. €)</t>
  </si>
  <si>
    <t>Import tovarov a služieb (mld. €)</t>
  </si>
  <si>
    <t>HDP v bežných cenách</t>
  </si>
  <si>
    <t>HDP - príspevok k rastu</t>
  </si>
  <si>
    <t>Domáci dopyt</t>
  </si>
  <si>
    <t>Súkromná spotreba</t>
  </si>
  <si>
    <t>Vládna spotreba</t>
  </si>
  <si>
    <t>Tvorba fixného kapitálu</t>
  </si>
  <si>
    <t>Zmena stavu zásob</t>
  </si>
  <si>
    <t>Zahraničný dopyt</t>
  </si>
  <si>
    <t>THFK - príspevok k rastu</t>
  </si>
  <si>
    <t>Súkromné investície</t>
  </si>
  <si>
    <t>Jadrové investície</t>
  </si>
  <si>
    <t>EU fondy</t>
  </si>
  <si>
    <t>Plán obnovy a odolnosti</t>
  </si>
  <si>
    <t>Volkswagen</t>
  </si>
  <si>
    <t>Volvo</t>
  </si>
  <si>
    <t>Vládne investície</t>
  </si>
  <si>
    <t>62. zasadnutie Výboru pre makroekonomické prognózy, 1.2.2023</t>
  </si>
  <si>
    <t>Príručka CBA, Tabuľka 20 (2027 - 2060) + 62. zasadnutie Výboru pre makroekonomické prognózy, 1.2.2023 (2022 - 2026)</t>
  </si>
  <si>
    <t>2023-2022</t>
  </si>
  <si>
    <t>2023-2021</t>
  </si>
  <si>
    <t>2023-2020</t>
  </si>
  <si>
    <t>2023-2019</t>
  </si>
  <si>
    <t>2023-2018</t>
  </si>
  <si>
    <t>2023-2017</t>
  </si>
  <si>
    <t>2023-2016</t>
  </si>
  <si>
    <t>2023-2015</t>
  </si>
  <si>
    <t>2023-2014</t>
  </si>
  <si>
    <t>2023-2013</t>
  </si>
  <si>
    <t>2023-2012</t>
  </si>
  <si>
    <t>2023-2011</t>
  </si>
  <si>
    <t>2023-2010</t>
  </si>
  <si>
    <t>2023-2009</t>
  </si>
  <si>
    <t>Príručka CBA, Tabuľka 16, CÚ 2023</t>
  </si>
  <si>
    <t>Príručka CBA, Tabuľka 19, CÚ 2023</t>
  </si>
  <si>
    <t>Príručka CBA, Tabuľka 23, CÚ 2023</t>
  </si>
  <si>
    <t>Príručka CBA, tabuľka 37, CÚ 2023</t>
  </si>
  <si>
    <t>Príručka CBA, tabuľka 41, CÚ 2023</t>
  </si>
  <si>
    <t>Príručka CBA, tabuľka 42, CÚ 2023</t>
  </si>
  <si>
    <t>Priemerná životnosť po skončení referenčného obdobia (počet rokov) - finančná analýza</t>
  </si>
  <si>
    <t>Zostatková hodnota na základe finančných peňažných tokov</t>
  </si>
  <si>
    <t xml:space="preserve">Peňažný tok - náklady na prevádzku a údržbu </t>
  </si>
  <si>
    <t xml:space="preserve">Peňažný tok - príjmy </t>
  </si>
  <si>
    <t>Súčasná hodnota peňažných tokov</t>
  </si>
  <si>
    <t>Priemerná životnosť po skončení referenčného obdobia (počet rokov) - ekonomická analýza</t>
  </si>
  <si>
    <t>Zostatková hodnota na základe ekonomických peňažných tokov</t>
  </si>
  <si>
    <t>7.1 Vnímaná úspora času cestujúcich (hodiny)</t>
  </si>
  <si>
    <t>Vnímaná úspora času, z toho:</t>
  </si>
  <si>
    <t>Vnímaná úspora času v peňažnom vyjadrení (v EUR)</t>
  </si>
  <si>
    <t>Rok &gt;&gt;&gt;</t>
  </si>
  <si>
    <t>Sumárna tabuľka</t>
  </si>
  <si>
    <t xml:space="preserve">Vnímaná úspora času v osobohod.  existujúci cestujúci </t>
  </si>
  <si>
    <t>osobná doprava</t>
  </si>
  <si>
    <t xml:space="preserve">Existujúci cestujúci vlakom </t>
  </si>
  <si>
    <t>Koeficienty</t>
  </si>
  <si>
    <t xml:space="preserve">Existujúci cestujúci </t>
  </si>
  <si>
    <t>Úspora času v osobohod.  existujúci cestujúci</t>
  </si>
  <si>
    <t>Osobná doprava</t>
  </si>
  <si>
    <t>Implementácia projektu</t>
  </si>
  <si>
    <t>dĺžka cesty - železničná doprava  [km]</t>
  </si>
  <si>
    <t>vnímaná úspora času železničná doprava [hod.]</t>
  </si>
  <si>
    <t>Humenné  &lt;=&gt;  Žilina &lt;=&gt;  Praha</t>
  </si>
  <si>
    <t xml:space="preserve">Prešov &lt;=&gt;  Košice &lt;=&gt;  Zvolen &lt;=&gt; Bratislava &lt;=&gt;  Praha </t>
  </si>
  <si>
    <t xml:space="preserve">Humenné &lt;=&gt;   Košice &lt;=&gt;   Žilina &lt;=&gt;  Bratislava </t>
  </si>
  <si>
    <t xml:space="preserve">Train Attribute </t>
  </si>
  <si>
    <t>Onboard</t>
  </si>
  <si>
    <t xml:space="preserve">Time mins </t>
  </si>
  <si>
    <t xml:space="preserve">Train Outside Appearance </t>
  </si>
  <si>
    <t xml:space="preserve">Ease of Train Boarding </t>
  </si>
  <si>
    <t xml:space="preserve">Seat Comfort </t>
  </si>
  <si>
    <t xml:space="preserve">Smoothness of Ride </t>
  </si>
  <si>
    <t xml:space="preserve">Quietness </t>
  </si>
  <si>
    <t xml:space="preserve">Heating &amp; Air Conditioning </t>
  </si>
  <si>
    <t xml:space="preserve">Lighting </t>
  </si>
  <si>
    <t xml:space="preserve">Cleanliness </t>
  </si>
  <si>
    <t xml:space="preserve">Grafitti </t>
  </si>
  <si>
    <t xml:space="preserve">On-train Announcements </t>
  </si>
  <si>
    <t xml:space="preserve">Layout &amp; Design </t>
  </si>
  <si>
    <t xml:space="preserve">Sum of Attributes </t>
  </si>
  <si>
    <t xml:space="preserve">Overall Train </t>
  </si>
  <si>
    <t>Zdroj: Douglas Economics, Table 6.6: Value of Train Improvement</t>
  </si>
  <si>
    <t>Koeficient</t>
  </si>
  <si>
    <t>Splátky úveru</t>
  </si>
  <si>
    <t>spolu</t>
  </si>
  <si>
    <t xml:space="preserve">Relácia </t>
  </si>
  <si>
    <t>Druh</t>
  </si>
  <si>
    <t>Počet</t>
  </si>
  <si>
    <t>Počet jázd</t>
  </si>
  <si>
    <t>vlkm</t>
  </si>
  <si>
    <t>Prebeh vzkm</t>
  </si>
  <si>
    <t>Poznámka</t>
  </si>
  <si>
    <t>Humenné - Praha</t>
  </si>
  <si>
    <t>lôžko</t>
  </si>
  <si>
    <t xml:space="preserve">Košice - Zvolen - Bratislava </t>
  </si>
  <si>
    <t>Košice - Zvolen -Praha</t>
  </si>
  <si>
    <t xml:space="preserve">Humenné - Bratislava </t>
  </si>
  <si>
    <t>Košice - Bratislava</t>
  </si>
  <si>
    <t>SPOLU</t>
  </si>
  <si>
    <t>Priemerný denný Beh</t>
  </si>
  <si>
    <t>Lôžkové vozne</t>
  </si>
  <si>
    <t>318 KD/KR</t>
  </si>
  <si>
    <t>cena /  výkon</t>
  </si>
  <si>
    <t>počet vzkm/rok</t>
  </si>
  <si>
    <t>cena/rok/na 1 vozeň</t>
  </si>
  <si>
    <t>rok</t>
  </si>
  <si>
    <t>ES</t>
  </si>
  <si>
    <t>542 vzkm/KD</t>
  </si>
  <si>
    <t>index aktuálny rok</t>
  </si>
  <si>
    <t xml:space="preserve">kumulovaný index </t>
  </si>
  <si>
    <t>Údržba a oprava   (interná/externá)</t>
  </si>
  <si>
    <t>EUR/vzkm</t>
  </si>
  <si>
    <t>Údržba a oprava   (servisná zmluva)</t>
  </si>
  <si>
    <t>Čistenie (interier/exterier)</t>
  </si>
  <si>
    <t>Správa a réžia</t>
  </si>
  <si>
    <t>Ostatné (IT systemy, poškodenia,...)</t>
  </si>
  <si>
    <t>Mzdy personálu (v zmysle zmluvy WGS)</t>
  </si>
  <si>
    <t>Humenné - Bratislava - Viedeň</t>
  </si>
  <si>
    <t>318 KD/KR staré 349KD/KR nové</t>
  </si>
  <si>
    <t>cena/rok/na 1 starý vozeň</t>
  </si>
  <si>
    <t>cena/rok/na 1  nový vozeň</t>
  </si>
  <si>
    <t>ES staré</t>
  </si>
  <si>
    <t>ES nové</t>
  </si>
  <si>
    <t>542 vzkm/KD staré 657 vzkm/KD nové</t>
  </si>
  <si>
    <t>staré</t>
  </si>
  <si>
    <t>nové</t>
  </si>
  <si>
    <t>318 KD/KR staré 349KD/KR jazdené</t>
  </si>
  <si>
    <t>cena/rok/na 1  jazdený vozeň</t>
  </si>
  <si>
    <t>542 vzkm/KD staré 657 vzkm/KD jazdené</t>
  </si>
  <si>
    <t>jazdené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</si>
</sst>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_ ;[Red]\-#,##0\ "/>
    <numFmt numFmtId="165" formatCode="0.0"/>
    <numFmt numFmtId="166" formatCode="#,##0.0"/>
    <numFmt numFmtId="167" formatCode="0.0%"/>
    <numFmt numFmtId="168" formatCode="#,##0.00_ ;[Red]\-#,##0.00\ "/>
    <numFmt numFmtId="169" formatCode="0.000"/>
    <numFmt numFmtId="170" formatCode="0.0000"/>
    <numFmt numFmtId="171" formatCode="#,##0.0000"/>
    <numFmt numFmtId="172" formatCode="0.00000"/>
    <numFmt numFmtId="173" formatCode="#,##0.000"/>
    <numFmt numFmtId="174" formatCode="#,##0.000000"/>
    <numFmt numFmtId="175" formatCode="#,##0\ _€"/>
  </numFmts>
  <fonts count="79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26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Calibri"/>
      <family val="2"/>
    </font>
    <font>
      <b/>
      <sz val="16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CC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0" fontId="17" fillId="0" borderId="0"/>
    <xf numFmtId="0" fontId="34" fillId="0" borderId="0"/>
    <xf numFmtId="9" fontId="34" fillId="0" borderId="0" applyFont="0" applyFill="0" applyBorder="0" applyAlignment="0" applyProtection="0"/>
    <xf numFmtId="0" fontId="17" fillId="0" borderId="0"/>
    <xf numFmtId="0" fontId="54" fillId="0" borderId="0"/>
    <xf numFmtId="0" fontId="2" fillId="0" borderId="0"/>
    <xf numFmtId="0" fontId="55" fillId="0" borderId="0"/>
    <xf numFmtId="0" fontId="3" fillId="0" borderId="0"/>
    <xf numFmtId="9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585">
    <xf numFmtId="0" fontId="0" fillId="0" borderId="0" xfId="0"/>
    <xf numFmtId="0" fontId="7" fillId="0" borderId="0" xfId="0" applyFont="1"/>
    <xf numFmtId="0" fontId="5" fillId="0" borderId="0" xfId="0" applyFont="1"/>
    <xf numFmtId="0" fontId="5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8" fillId="3" borderId="1" xfId="0" applyFont="1" applyFill="1" applyBorder="1"/>
    <xf numFmtId="0" fontId="7" fillId="3" borderId="1" xfId="0" applyFont="1" applyFill="1" applyBorder="1"/>
    <xf numFmtId="0" fontId="8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3" borderId="1" xfId="0" applyFont="1" applyFill="1" applyBorder="1"/>
    <xf numFmtId="0" fontId="8" fillId="0" borderId="2" xfId="0" applyFont="1" applyBorder="1"/>
    <xf numFmtId="0" fontId="8" fillId="0" borderId="3" xfId="0" applyFont="1" applyBorder="1"/>
    <xf numFmtId="3" fontId="5" fillId="0" borderId="0" xfId="0" applyNumberFormat="1" applyFont="1"/>
    <xf numFmtId="164" fontId="5" fillId="0" borderId="0" xfId="0" applyNumberFormat="1" applyFont="1"/>
    <xf numFmtId="0" fontId="5" fillId="0" borderId="4" xfId="0" applyFont="1" applyBorder="1"/>
    <xf numFmtId="0" fontId="5" fillId="0" borderId="2" xfId="0" applyFont="1" applyBorder="1"/>
    <xf numFmtId="0" fontId="8" fillId="4" borderId="1" xfId="0" applyFont="1" applyFill="1" applyBorder="1"/>
    <xf numFmtId="0" fontId="5" fillId="0" borderId="3" xfId="0" applyFont="1" applyBorder="1"/>
    <xf numFmtId="0" fontId="5" fillId="0" borderId="0" xfId="1" applyFont="1"/>
    <xf numFmtId="0" fontId="5" fillId="0" borderId="1" xfId="1" applyFont="1" applyBorder="1"/>
    <xf numFmtId="0" fontId="8" fillId="0" borderId="1" xfId="1" applyFont="1" applyBorder="1"/>
    <xf numFmtId="0" fontId="7" fillId="0" borderId="1" xfId="1" applyFont="1" applyBorder="1"/>
    <xf numFmtId="0" fontId="8" fillId="3" borderId="1" xfId="1" applyFont="1" applyFill="1" applyBorder="1"/>
    <xf numFmtId="0" fontId="7" fillId="3" borderId="1" xfId="1" applyFont="1" applyFill="1" applyBorder="1"/>
    <xf numFmtId="0" fontId="8" fillId="0" borderId="0" xfId="1" applyFont="1"/>
    <xf numFmtId="164" fontId="5" fillId="0" borderId="1" xfId="1" applyNumberFormat="1" applyFont="1" applyBorder="1"/>
    <xf numFmtId="2" fontId="8" fillId="3" borderId="1" xfId="1" applyNumberFormat="1" applyFont="1" applyFill="1" applyBorder="1" applyAlignment="1">
      <alignment horizontal="center" wrapText="1"/>
    </xf>
    <xf numFmtId="0" fontId="5" fillId="0" borderId="4" xfId="1" applyFont="1" applyBorder="1"/>
    <xf numFmtId="3" fontId="8" fillId="0" borderId="0" xfId="0" applyNumberFormat="1" applyFont="1"/>
    <xf numFmtId="0" fontId="7" fillId="0" borderId="0" xfId="0" applyFont="1" applyAlignment="1">
      <alignment vertical="center"/>
    </xf>
    <xf numFmtId="0" fontId="5" fillId="2" borderId="1" xfId="0" applyFont="1" applyFill="1" applyBorder="1"/>
    <xf numFmtId="9" fontId="5" fillId="0" borderId="3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9" fontId="5" fillId="0" borderId="4" xfId="2" applyFont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7" borderId="10" xfId="0" applyFont="1" applyFill="1" applyBorder="1"/>
    <xf numFmtId="0" fontId="5" fillId="7" borderId="12" xfId="0" applyFont="1" applyFill="1" applyBorder="1"/>
    <xf numFmtId="0" fontId="5" fillId="7" borderId="11" xfId="0" applyFont="1" applyFill="1" applyBorder="1"/>
    <xf numFmtId="0" fontId="5" fillId="7" borderId="13" xfId="0" applyFont="1" applyFill="1" applyBorder="1"/>
    <xf numFmtId="0" fontId="5" fillId="7" borderId="0" xfId="0" applyFont="1" applyFill="1"/>
    <xf numFmtId="0" fontId="5" fillId="7" borderId="14" xfId="0" applyFont="1" applyFill="1" applyBorder="1"/>
    <xf numFmtId="0" fontId="5" fillId="7" borderId="15" xfId="0" applyFont="1" applyFill="1" applyBorder="1"/>
    <xf numFmtId="0" fontId="5" fillId="7" borderId="16" xfId="0" applyFont="1" applyFill="1" applyBorder="1"/>
    <xf numFmtId="0" fontId="5" fillId="7" borderId="17" xfId="0" applyFont="1" applyFill="1" applyBorder="1"/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7" fontId="14" fillId="0" borderId="1" xfId="0" applyNumberFormat="1" applyFont="1" applyBorder="1" applyAlignment="1">
      <alignment horizontal="center" vertical="center"/>
    </xf>
    <xf numFmtId="170" fontId="14" fillId="0" borderId="1" xfId="0" applyNumberFormat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8" fillId="0" borderId="0" xfId="0" applyFont="1"/>
    <xf numFmtId="167" fontId="5" fillId="0" borderId="1" xfId="0" applyNumberFormat="1" applyFont="1" applyBorder="1" applyAlignment="1">
      <alignment horizontal="center" vertical="center"/>
    </xf>
    <xf numFmtId="167" fontId="19" fillId="0" borderId="0" xfId="0" applyNumberFormat="1" applyFont="1"/>
    <xf numFmtId="9" fontId="5" fillId="0" borderId="1" xfId="0" applyNumberFormat="1" applyFont="1" applyBorder="1" applyAlignment="1">
      <alignment horizontal="center"/>
    </xf>
    <xf numFmtId="0" fontId="8" fillId="8" borderId="18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169" fontId="5" fillId="6" borderId="1" xfId="0" applyNumberFormat="1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9" fontId="9" fillId="8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7" fontId="12" fillId="0" borderId="1" xfId="2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169" fontId="13" fillId="0" borderId="3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9" fontId="16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169" fontId="16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171" fontId="13" fillId="0" borderId="1" xfId="0" applyNumberFormat="1" applyFont="1" applyBorder="1" applyAlignment="1">
      <alignment horizontal="center"/>
    </xf>
    <xf numFmtId="3" fontId="18" fillId="0" borderId="0" xfId="0" applyNumberFormat="1" applyFont="1"/>
    <xf numFmtId="171" fontId="18" fillId="0" borderId="0" xfId="0" applyNumberFormat="1" applyFont="1"/>
    <xf numFmtId="166" fontId="18" fillId="0" borderId="0" xfId="0" applyNumberFormat="1" applyFont="1"/>
    <xf numFmtId="4" fontId="18" fillId="0" borderId="0" xfId="0" applyNumberFormat="1" applyFont="1"/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right"/>
    </xf>
    <xf numFmtId="0" fontId="25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0" fontId="8" fillId="4" borderId="5" xfId="0" applyFont="1" applyFill="1" applyBorder="1"/>
    <xf numFmtId="0" fontId="5" fillId="5" borderId="1" xfId="0" applyFont="1" applyFill="1" applyBorder="1"/>
    <xf numFmtId="3" fontId="5" fillId="0" borderId="1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5" fillId="0" borderId="5" xfId="0" applyNumberFormat="1" applyFont="1" applyBorder="1"/>
    <xf numFmtId="164" fontId="5" fillId="2" borderId="1" xfId="1" applyNumberFormat="1" applyFont="1" applyFill="1" applyBorder="1"/>
    <xf numFmtId="0" fontId="8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9" fillId="0" borderId="0" xfId="0" applyFont="1"/>
    <xf numFmtId="0" fontId="5" fillId="3" borderId="4" xfId="0" applyFont="1" applyFill="1" applyBorder="1"/>
    <xf numFmtId="0" fontId="26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 wrapText="1"/>
    </xf>
    <xf numFmtId="0" fontId="8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 wrapText="1"/>
    </xf>
    <xf numFmtId="0" fontId="30" fillId="0" borderId="0" xfId="0" applyFont="1"/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 wrapText="1"/>
    </xf>
    <xf numFmtId="0" fontId="8" fillId="10" borderId="1" xfId="0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/>
    <xf numFmtId="0" fontId="9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/>
    </xf>
    <xf numFmtId="9" fontId="9" fillId="10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center" wrapText="1"/>
    </xf>
    <xf numFmtId="166" fontId="13" fillId="9" borderId="1" xfId="0" applyNumberFormat="1" applyFont="1" applyFill="1" applyBorder="1" applyAlignment="1">
      <alignment horizontal="center"/>
    </xf>
    <xf numFmtId="3" fontId="8" fillId="9" borderId="1" xfId="0" applyNumberFormat="1" applyFont="1" applyFill="1" applyBorder="1"/>
    <xf numFmtId="0" fontId="8" fillId="9" borderId="1" xfId="0" applyFont="1" applyFill="1" applyBorder="1"/>
    <xf numFmtId="0" fontId="5" fillId="9" borderId="1" xfId="0" applyFont="1" applyFill="1" applyBorder="1"/>
    <xf numFmtId="9" fontId="5" fillId="9" borderId="1" xfId="0" applyNumberFormat="1" applyFont="1" applyFill="1" applyBorder="1"/>
    <xf numFmtId="164" fontId="8" fillId="9" borderId="1" xfId="1" applyNumberFormat="1" applyFont="1" applyFill="1" applyBorder="1"/>
    <xf numFmtId="0" fontId="8" fillId="9" borderId="1" xfId="1" applyFont="1" applyFill="1" applyBorder="1"/>
    <xf numFmtId="164" fontId="5" fillId="9" borderId="1" xfId="1" applyNumberFormat="1" applyFont="1" applyFill="1" applyBorder="1"/>
    <xf numFmtId="10" fontId="5" fillId="9" borderId="1" xfId="1" applyNumberFormat="1" applyFont="1" applyFill="1" applyBorder="1"/>
    <xf numFmtId="168" fontId="5" fillId="9" borderId="1" xfId="1" applyNumberFormat="1" applyFont="1" applyFill="1" applyBorder="1"/>
    <xf numFmtId="3" fontId="8" fillId="10" borderId="4" xfId="0" applyNumberFormat="1" applyFont="1" applyFill="1" applyBorder="1"/>
    <xf numFmtId="164" fontId="8" fillId="10" borderId="1" xfId="0" applyNumberFormat="1" applyFont="1" applyFill="1" applyBorder="1"/>
    <xf numFmtId="164" fontId="8" fillId="10" borderId="7" xfId="0" applyNumberFormat="1" applyFont="1" applyFill="1" applyBorder="1"/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/>
    <xf numFmtId="4" fontId="5" fillId="0" borderId="1" xfId="0" applyNumberFormat="1" applyFont="1" applyBorder="1"/>
    <xf numFmtId="4" fontId="7" fillId="0" borderId="1" xfId="0" applyNumberFormat="1" applyFont="1" applyBorder="1"/>
    <xf numFmtId="4" fontId="7" fillId="2" borderId="1" xfId="0" applyNumberFormat="1" applyFont="1" applyFill="1" applyBorder="1"/>
    <xf numFmtId="4" fontId="5" fillId="2" borderId="1" xfId="0" applyNumberFormat="1" applyFont="1" applyFill="1" applyBorder="1"/>
    <xf numFmtId="4" fontId="8" fillId="0" borderId="1" xfId="0" applyNumberFormat="1" applyFont="1" applyBorder="1" applyAlignment="1">
      <alignment wrapText="1"/>
    </xf>
    <xf numFmtId="4" fontId="8" fillId="0" borderId="1" xfId="0" applyNumberFormat="1" applyFont="1" applyBorder="1"/>
    <xf numFmtId="4" fontId="5" fillId="0" borderId="0" xfId="0" applyNumberFormat="1" applyFont="1"/>
    <xf numFmtId="4" fontId="25" fillId="0" borderId="1" xfId="0" applyNumberFormat="1" applyFont="1" applyBorder="1"/>
    <xf numFmtId="4" fontId="25" fillId="2" borderId="1" xfId="0" applyNumberFormat="1" applyFont="1" applyFill="1" applyBorder="1"/>
    <xf numFmtId="4" fontId="5" fillId="9" borderId="8" xfId="0" applyNumberFormat="1" applyFont="1" applyFill="1" applyBorder="1"/>
    <xf numFmtId="4" fontId="5" fillId="10" borderId="9" xfId="0" applyNumberFormat="1" applyFont="1" applyFill="1" applyBorder="1"/>
    <xf numFmtId="4" fontId="8" fillId="9" borderId="6" xfId="0" applyNumberFormat="1" applyFont="1" applyFill="1" applyBorder="1"/>
    <xf numFmtId="4" fontId="8" fillId="10" borderId="6" xfId="0" applyNumberFormat="1" applyFont="1" applyFill="1" applyBorder="1"/>
    <xf numFmtId="4" fontId="8" fillId="0" borderId="2" xfId="0" applyNumberFormat="1" applyFont="1" applyBorder="1"/>
    <xf numFmtId="4" fontId="8" fillId="0" borderId="3" xfId="0" applyNumberFormat="1" applyFont="1" applyBorder="1"/>
    <xf numFmtId="2" fontId="8" fillId="3" borderId="1" xfId="0" applyNumberFormat="1" applyFont="1" applyFill="1" applyBorder="1"/>
    <xf numFmtId="2" fontId="5" fillId="0" borderId="1" xfId="0" applyNumberFormat="1" applyFont="1" applyBorder="1"/>
    <xf numFmtId="2" fontId="8" fillId="0" borderId="1" xfId="0" applyNumberFormat="1" applyFont="1" applyBorder="1"/>
    <xf numFmtId="2" fontId="8" fillId="0" borderId="2" xfId="0" applyNumberFormat="1" applyFont="1" applyBorder="1"/>
    <xf numFmtId="2" fontId="5" fillId="0" borderId="0" xfId="0" applyNumberFormat="1" applyFont="1"/>
    <xf numFmtId="2" fontId="8" fillId="9" borderId="1" xfId="0" applyNumberFormat="1" applyFont="1" applyFill="1" applyBorder="1"/>
    <xf numFmtId="4" fontId="5" fillId="4" borderId="1" xfId="0" applyNumberFormat="1" applyFont="1" applyFill="1" applyBorder="1"/>
    <xf numFmtId="4" fontId="5" fillId="4" borderId="2" xfId="0" applyNumberFormat="1" applyFont="1" applyFill="1" applyBorder="1"/>
    <xf numFmtId="4" fontId="5" fillId="0" borderId="2" xfId="0" applyNumberFormat="1" applyFont="1" applyBorder="1"/>
    <xf numFmtId="4" fontId="5" fillId="2" borderId="2" xfId="0" applyNumberFormat="1" applyFont="1" applyFill="1" applyBorder="1"/>
    <xf numFmtId="4" fontId="5" fillId="4" borderId="3" xfId="0" applyNumberFormat="1" applyFont="1" applyFill="1" applyBorder="1"/>
    <xf numFmtId="4" fontId="5" fillId="0" borderId="4" xfId="0" applyNumberFormat="1" applyFont="1" applyBorder="1"/>
    <xf numFmtId="4" fontId="5" fillId="9" borderId="1" xfId="0" applyNumberFormat="1" applyFont="1" applyFill="1" applyBorder="1"/>
    <xf numFmtId="4" fontId="5" fillId="3" borderId="1" xfId="0" applyNumberFormat="1" applyFont="1" applyFill="1" applyBorder="1"/>
    <xf numFmtId="4" fontId="5" fillId="3" borderId="4" xfId="0" applyNumberFormat="1" applyFont="1" applyFill="1" applyBorder="1"/>
    <xf numFmtId="10" fontId="8" fillId="9" borderId="1" xfId="2" applyNumberFormat="1" applyFont="1" applyFill="1" applyBorder="1"/>
    <xf numFmtId="4" fontId="5" fillId="0" borderId="3" xfId="0" applyNumberFormat="1" applyFont="1" applyBorder="1"/>
    <xf numFmtId="4" fontId="8" fillId="4" borderId="3" xfId="0" applyNumberFormat="1" applyFont="1" applyFill="1" applyBorder="1"/>
    <xf numFmtId="4" fontId="8" fillId="4" borderId="5" xfId="0" applyNumberFormat="1" applyFont="1" applyFill="1" applyBorder="1"/>
    <xf numFmtId="4" fontId="8" fillId="4" borderId="1" xfId="0" applyNumberFormat="1" applyFont="1" applyFill="1" applyBorder="1"/>
    <xf numFmtId="4" fontId="5" fillId="5" borderId="1" xfId="0" applyNumberFormat="1" applyFont="1" applyFill="1" applyBorder="1"/>
    <xf numFmtId="168" fontId="5" fillId="9" borderId="1" xfId="0" applyNumberFormat="1" applyFont="1" applyFill="1" applyBorder="1"/>
    <xf numFmtId="0" fontId="33" fillId="0" borderId="0" xfId="0" applyFont="1" applyAlignment="1">
      <alignment wrapText="1"/>
    </xf>
    <xf numFmtId="10" fontId="5" fillId="9" borderId="1" xfId="0" applyNumberFormat="1" applyFont="1" applyFill="1" applyBorder="1"/>
    <xf numFmtId="0" fontId="37" fillId="0" borderId="0" xfId="5" applyFont="1"/>
    <xf numFmtId="0" fontId="38" fillId="0" borderId="0" xfId="5" applyFont="1"/>
    <xf numFmtId="0" fontId="40" fillId="0" borderId="0" xfId="5" applyFont="1"/>
    <xf numFmtId="0" fontId="35" fillId="0" borderId="21" xfId="5" applyFont="1" applyBorder="1" applyAlignment="1">
      <alignment horizontal="center"/>
    </xf>
    <xf numFmtId="0" fontId="38" fillId="0" borderId="22" xfId="5" applyFont="1" applyBorder="1" applyAlignment="1">
      <alignment horizontal="center"/>
    </xf>
    <xf numFmtId="0" fontId="38" fillId="0" borderId="19" xfId="5" applyFont="1" applyBorder="1" applyAlignment="1">
      <alignment horizontal="right"/>
    </xf>
    <xf numFmtId="0" fontId="38" fillId="0" borderId="22" xfId="5" applyFont="1" applyBorder="1" applyAlignment="1">
      <alignment horizontal="right"/>
    </xf>
    <xf numFmtId="0" fontId="38" fillId="0" borderId="18" xfId="5" applyFont="1" applyBorder="1" applyAlignment="1">
      <alignment horizontal="right"/>
    </xf>
    <xf numFmtId="0" fontId="38" fillId="0" borderId="18" xfId="5" applyFont="1" applyBorder="1" applyAlignment="1">
      <alignment horizontal="right" vertical="center"/>
    </xf>
    <xf numFmtId="0" fontId="38" fillId="0" borderId="23" xfId="5" applyFont="1" applyBorder="1" applyAlignment="1">
      <alignment horizontal="center"/>
    </xf>
    <xf numFmtId="0" fontId="38" fillId="0" borderId="24" xfId="5" applyFont="1" applyBorder="1" applyAlignment="1">
      <alignment horizontal="right"/>
    </xf>
    <xf numFmtId="0" fontId="38" fillId="0" borderId="0" xfId="5" applyFont="1" applyAlignment="1">
      <alignment horizontal="center"/>
    </xf>
    <xf numFmtId="0" fontId="38" fillId="0" borderId="24" xfId="5" applyFont="1" applyBorder="1" applyAlignment="1">
      <alignment horizontal="center"/>
    </xf>
    <xf numFmtId="0" fontId="38" fillId="0" borderId="25" xfId="5" applyFont="1" applyBorder="1" applyAlignment="1">
      <alignment horizontal="center"/>
    </xf>
    <xf numFmtId="0" fontId="38" fillId="0" borderId="26" xfId="5" applyFont="1" applyBorder="1" applyAlignment="1">
      <alignment horizontal="center"/>
    </xf>
    <xf numFmtId="0" fontId="41" fillId="0" borderId="25" xfId="5" applyFont="1" applyBorder="1" applyAlignment="1">
      <alignment horizontal="center"/>
    </xf>
    <xf numFmtId="0" fontId="41" fillId="0" borderId="21" xfId="5" applyFont="1" applyBorder="1" applyAlignment="1">
      <alignment horizontal="center"/>
    </xf>
    <xf numFmtId="0" fontId="41" fillId="0" borderId="26" xfId="5" applyFont="1" applyBorder="1" applyAlignment="1">
      <alignment horizontal="center"/>
    </xf>
    <xf numFmtId="0" fontId="42" fillId="0" borderId="22" xfId="5" applyFont="1" applyBorder="1" applyAlignment="1">
      <alignment horizontal="center"/>
    </xf>
    <xf numFmtId="0" fontId="42" fillId="0" borderId="18" xfId="5" applyFont="1" applyBorder="1" applyAlignment="1">
      <alignment horizontal="center"/>
    </xf>
    <xf numFmtId="0" fontId="42" fillId="0" borderId="19" xfId="5" applyFont="1" applyBorder="1" applyAlignment="1">
      <alignment horizontal="center"/>
    </xf>
    <xf numFmtId="0" fontId="43" fillId="7" borderId="24" xfId="5" applyFont="1" applyFill="1" applyBorder="1"/>
    <xf numFmtId="0" fontId="42" fillId="0" borderId="23" xfId="5" applyFont="1" applyBorder="1" applyAlignment="1">
      <alignment horizontal="center"/>
    </xf>
    <xf numFmtId="0" fontId="42" fillId="0" borderId="0" xfId="5" applyFont="1" applyAlignment="1">
      <alignment horizontal="center"/>
    </xf>
    <xf numFmtId="0" fontId="42" fillId="0" borderId="24" xfId="5" applyFont="1" applyBorder="1" applyAlignment="1">
      <alignment horizontal="center"/>
    </xf>
    <xf numFmtId="0" fontId="38" fillId="0" borderId="23" xfId="5" applyFont="1" applyBorder="1" applyAlignment="1">
      <alignment horizontal="center" vertical="center"/>
    </xf>
    <xf numFmtId="0" fontId="44" fillId="0" borderId="24" xfId="5" applyFont="1" applyBorder="1"/>
    <xf numFmtId="165" fontId="38" fillId="0" borderId="23" xfId="5" applyNumberFormat="1" applyFont="1" applyBorder="1" applyAlignment="1">
      <alignment horizontal="center"/>
    </xf>
    <xf numFmtId="165" fontId="38" fillId="0" borderId="0" xfId="5" applyNumberFormat="1" applyFont="1" applyAlignment="1">
      <alignment horizontal="center"/>
    </xf>
    <xf numFmtId="165" fontId="38" fillId="0" borderId="24" xfId="5" applyNumberFormat="1" applyFont="1" applyBorder="1" applyAlignment="1">
      <alignment horizontal="center"/>
    </xf>
    <xf numFmtId="0" fontId="38" fillId="0" borderId="24" xfId="5" applyFont="1" applyBorder="1"/>
    <xf numFmtId="165" fontId="44" fillId="0" borderId="23" xfId="5" applyNumberFormat="1" applyFont="1" applyBorder="1" applyAlignment="1">
      <alignment horizontal="center"/>
    </xf>
    <xf numFmtId="165" fontId="44" fillId="0" borderId="0" xfId="5" applyNumberFormat="1" applyFont="1" applyAlignment="1">
      <alignment horizontal="center"/>
    </xf>
    <xf numFmtId="165" fontId="38" fillId="0" borderId="25" xfId="5" applyNumberFormat="1" applyFont="1" applyBorder="1" applyAlignment="1">
      <alignment horizontal="center"/>
    </xf>
    <xf numFmtId="165" fontId="38" fillId="0" borderId="21" xfId="5" applyNumberFormat="1" applyFont="1" applyBorder="1" applyAlignment="1">
      <alignment horizontal="center"/>
    </xf>
    <xf numFmtId="165" fontId="38" fillId="0" borderId="26" xfId="5" applyNumberFormat="1" applyFont="1" applyBorder="1" applyAlignment="1">
      <alignment horizontal="center"/>
    </xf>
    <xf numFmtId="0" fontId="44" fillId="0" borderId="19" xfId="5" applyFont="1" applyBorder="1"/>
    <xf numFmtId="165" fontId="38" fillId="0" borderId="22" xfId="5" applyNumberFormat="1" applyFont="1" applyBorder="1" applyAlignment="1">
      <alignment horizontal="center"/>
    </xf>
    <xf numFmtId="165" fontId="38" fillId="0" borderId="18" xfId="5" applyNumberFormat="1" applyFont="1" applyBorder="1" applyAlignment="1">
      <alignment horizontal="center"/>
    </xf>
    <xf numFmtId="165" fontId="38" fillId="0" borderId="19" xfId="5" applyNumberFormat="1" applyFont="1" applyBorder="1" applyAlignment="1">
      <alignment horizontal="center"/>
    </xf>
    <xf numFmtId="0" fontId="45" fillId="0" borderId="24" xfId="5" applyFont="1" applyBorder="1"/>
    <xf numFmtId="0" fontId="45" fillId="0" borderId="26" xfId="5" applyFont="1" applyBorder="1"/>
    <xf numFmtId="0" fontId="38" fillId="0" borderId="21" xfId="5" applyFont="1" applyBorder="1" applyAlignment="1">
      <alignment horizontal="center"/>
    </xf>
    <xf numFmtId="0" fontId="46" fillId="0" borderId="0" xfId="5" applyFont="1"/>
    <xf numFmtId="0" fontId="35" fillId="0" borderId="0" xfId="5" applyFont="1"/>
    <xf numFmtId="167" fontId="47" fillId="0" borderId="0" xfId="6" applyNumberFormat="1" applyFont="1" applyAlignment="1">
      <alignment horizontal="center"/>
    </xf>
    <xf numFmtId="0" fontId="38" fillId="0" borderId="0" xfId="5" applyFont="1" applyAlignment="1">
      <alignment horizontal="right"/>
    </xf>
    <xf numFmtId="0" fontId="48" fillId="0" borderId="0" xfId="5" applyFont="1"/>
    <xf numFmtId="0" fontId="44" fillId="0" borderId="0" xfId="5" applyFont="1"/>
    <xf numFmtId="0" fontId="49" fillId="0" borderId="0" xfId="5" applyFont="1"/>
    <xf numFmtId="0" fontId="38" fillId="0" borderId="22" xfId="5" applyFont="1" applyBorder="1"/>
    <xf numFmtId="0" fontId="38" fillId="0" borderId="18" xfId="5" applyFont="1" applyBorder="1"/>
    <xf numFmtId="0" fontId="44" fillId="0" borderId="18" xfId="5" applyFont="1" applyBorder="1" applyAlignment="1">
      <alignment horizontal="right"/>
    </xf>
    <xf numFmtId="0" fontId="44" fillId="0" borderId="19" xfId="5" applyFont="1" applyBorder="1" applyAlignment="1">
      <alignment horizontal="right"/>
    </xf>
    <xf numFmtId="0" fontId="38" fillId="0" borderId="23" xfId="5" applyFont="1" applyBorder="1"/>
    <xf numFmtId="0" fontId="44" fillId="0" borderId="0" xfId="5" applyFont="1" applyAlignment="1">
      <alignment horizontal="center"/>
    </xf>
    <xf numFmtId="0" fontId="44" fillId="0" borderId="24" xfId="5" applyFont="1" applyBorder="1" applyAlignment="1">
      <alignment horizontal="center"/>
    </xf>
    <xf numFmtId="0" fontId="41" fillId="0" borderId="23" xfId="5" applyFont="1" applyBorder="1" applyAlignment="1">
      <alignment horizontal="center"/>
    </xf>
    <xf numFmtId="0" fontId="41" fillId="0" borderId="0" xfId="5" applyFont="1" applyAlignment="1">
      <alignment horizontal="center"/>
    </xf>
    <xf numFmtId="0" fontId="50" fillId="0" borderId="0" xfId="5" applyFont="1" applyAlignment="1">
      <alignment horizontal="center"/>
    </xf>
    <xf numFmtId="0" fontId="50" fillId="0" borderId="24" xfId="5" applyFont="1" applyBorder="1" applyAlignment="1">
      <alignment horizontal="center"/>
    </xf>
    <xf numFmtId="0" fontId="38" fillId="0" borderId="19" xfId="5" applyFont="1" applyBorder="1" applyAlignment="1">
      <alignment horizontal="center"/>
    </xf>
    <xf numFmtId="0" fontId="42" fillId="0" borderId="22" xfId="5" applyFont="1" applyBorder="1" applyAlignment="1">
      <alignment horizontal="center" vertical="center"/>
    </xf>
    <xf numFmtId="0" fontId="42" fillId="0" borderId="18" xfId="5" applyFont="1" applyBorder="1" applyAlignment="1">
      <alignment horizontal="center" vertical="center"/>
    </xf>
    <xf numFmtId="0" fontId="51" fillId="0" borderId="18" xfId="5" applyFont="1" applyBorder="1" applyAlignment="1">
      <alignment horizontal="center" vertical="center"/>
    </xf>
    <xf numFmtId="0" fontId="51" fillId="0" borderId="19" xfId="5" applyFont="1" applyBorder="1" applyAlignment="1">
      <alignment horizontal="center" vertical="center"/>
    </xf>
    <xf numFmtId="0" fontId="43" fillId="0" borderId="24" xfId="5" applyFont="1" applyBorder="1"/>
    <xf numFmtId="0" fontId="43" fillId="0" borderId="23" xfId="5" applyFont="1" applyBorder="1"/>
    <xf numFmtId="0" fontId="43" fillId="0" borderId="0" xfId="5" applyFont="1"/>
    <xf numFmtId="165" fontId="44" fillId="0" borderId="24" xfId="5" applyNumberFormat="1" applyFont="1" applyBorder="1" applyAlignment="1">
      <alignment horizontal="center"/>
    </xf>
    <xf numFmtId="0" fontId="51" fillId="0" borderId="24" xfId="5" applyFont="1" applyBorder="1"/>
    <xf numFmtId="165" fontId="46" fillId="0" borderId="23" xfId="5" applyNumberFormat="1" applyFont="1" applyBorder="1" applyAlignment="1">
      <alignment horizontal="center"/>
    </xf>
    <xf numFmtId="165" fontId="46" fillId="0" borderId="0" xfId="5" applyNumberFormat="1" applyFont="1" applyAlignment="1">
      <alignment horizontal="center"/>
    </xf>
    <xf numFmtId="165" fontId="46" fillId="0" borderId="24" xfId="5" applyNumberFormat="1" applyFont="1" applyBorder="1" applyAlignment="1">
      <alignment horizontal="center"/>
    </xf>
    <xf numFmtId="165" fontId="38" fillId="0" borderId="0" xfId="5" applyNumberFormat="1" applyFont="1"/>
    <xf numFmtId="0" fontId="38" fillId="0" borderId="25" xfId="5" applyFont="1" applyBorder="1"/>
    <xf numFmtId="0" fontId="51" fillId="0" borderId="26" xfId="5" applyFont="1" applyBorder="1"/>
    <xf numFmtId="0" fontId="35" fillId="0" borderId="25" xfId="5" applyFont="1" applyBorder="1" applyAlignment="1">
      <alignment horizontal="center"/>
    </xf>
    <xf numFmtId="0" fontId="46" fillId="0" borderId="21" xfId="5" applyFont="1" applyBorder="1" applyAlignment="1">
      <alignment horizontal="center"/>
    </xf>
    <xf numFmtId="165" fontId="46" fillId="0" borderId="26" xfId="5" applyNumberFormat="1" applyFont="1" applyBorder="1" applyAlignment="1">
      <alignment horizontal="center"/>
    </xf>
    <xf numFmtId="0" fontId="51" fillId="0" borderId="19" xfId="5" applyFont="1" applyBorder="1"/>
    <xf numFmtId="0" fontId="35" fillId="0" borderId="22" xfId="5" applyFont="1" applyBorder="1" applyAlignment="1">
      <alignment horizontal="center"/>
    </xf>
    <xf numFmtId="0" fontId="35" fillId="0" borderId="18" xfId="5" applyFont="1" applyBorder="1" applyAlignment="1">
      <alignment horizontal="center"/>
    </xf>
    <xf numFmtId="165" fontId="46" fillId="0" borderId="18" xfId="5" applyNumberFormat="1" applyFont="1" applyBorder="1" applyAlignment="1">
      <alignment horizontal="center"/>
    </xf>
    <xf numFmtId="165" fontId="46" fillId="0" borderId="19" xfId="5" applyNumberFormat="1" applyFont="1" applyBorder="1" applyAlignment="1">
      <alignment horizontal="center"/>
    </xf>
    <xf numFmtId="165" fontId="44" fillId="0" borderId="24" xfId="5" applyNumberFormat="1" applyFont="1" applyBorder="1"/>
    <xf numFmtId="0" fontId="46" fillId="0" borderId="18" xfId="5" applyFont="1" applyBorder="1" applyAlignment="1">
      <alignment horizontal="center"/>
    </xf>
    <xf numFmtId="0" fontId="52" fillId="0" borderId="24" xfId="5" applyFont="1" applyBorder="1"/>
    <xf numFmtId="0" fontId="35" fillId="0" borderId="23" xfId="5" applyFont="1" applyBorder="1" applyAlignment="1">
      <alignment horizontal="center"/>
    </xf>
    <xf numFmtId="0" fontId="35" fillId="0" borderId="0" xfId="5" applyFont="1" applyAlignment="1">
      <alignment horizontal="center"/>
    </xf>
    <xf numFmtId="0" fontId="46" fillId="0" borderId="0" xfId="5" applyFont="1" applyAlignment="1">
      <alignment horizontal="center"/>
    </xf>
    <xf numFmtId="0" fontId="42" fillId="0" borderId="24" xfId="5" applyFont="1" applyBorder="1" applyAlignment="1">
      <alignment horizontal="left"/>
    </xf>
    <xf numFmtId="0" fontId="46" fillId="0" borderId="24" xfId="5" applyFont="1" applyBorder="1"/>
    <xf numFmtId="0" fontId="38" fillId="0" borderId="19" xfId="5" applyFont="1" applyBorder="1"/>
    <xf numFmtId="0" fontId="44" fillId="0" borderId="18" xfId="5" applyFont="1" applyBorder="1" applyAlignment="1">
      <alignment horizontal="center"/>
    </xf>
    <xf numFmtId="165" fontId="44" fillId="0" borderId="19" xfId="5" applyNumberFormat="1" applyFont="1" applyBorder="1" applyAlignment="1">
      <alignment horizontal="center"/>
    </xf>
    <xf numFmtId="0" fontId="35" fillId="0" borderId="24" xfId="5" applyFont="1" applyBorder="1"/>
    <xf numFmtId="0" fontId="38" fillId="0" borderId="24" xfId="5" applyFont="1" applyBorder="1" applyAlignment="1">
      <alignment horizontal="left"/>
    </xf>
    <xf numFmtId="0" fontId="38" fillId="0" borderId="26" xfId="5" applyFont="1" applyBorder="1"/>
    <xf numFmtId="0" fontId="38" fillId="0" borderId="21" xfId="5" applyFont="1" applyBorder="1"/>
    <xf numFmtId="0" fontId="44" fillId="0" borderId="21" xfId="5" applyFont="1" applyBorder="1"/>
    <xf numFmtId="0" fontId="44" fillId="0" borderId="26" xfId="5" applyFont="1" applyBorder="1"/>
    <xf numFmtId="165" fontId="44" fillId="0" borderId="0" xfId="5" applyNumberFormat="1" applyFont="1"/>
    <xf numFmtId="0" fontId="5" fillId="0" borderId="1" xfId="7" applyFont="1" applyBorder="1"/>
    <xf numFmtId="3" fontId="8" fillId="3" borderId="1" xfId="0" applyNumberFormat="1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vertical="center"/>
    </xf>
    <xf numFmtId="4" fontId="53" fillId="9" borderId="1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57" fillId="0" borderId="0" xfId="8" applyFont="1" applyAlignment="1">
      <alignment horizontal="center" vertical="center"/>
    </xf>
    <xf numFmtId="0" fontId="1" fillId="0" borderId="0" xfId="14"/>
    <xf numFmtId="0" fontId="54" fillId="0" borderId="0" xfId="8"/>
    <xf numFmtId="0" fontId="56" fillId="0" borderId="0" xfId="8" applyFont="1" applyAlignment="1">
      <alignment horizontal="center"/>
    </xf>
    <xf numFmtId="0" fontId="58" fillId="11" borderId="27" xfId="10" applyFont="1" applyFill="1" applyBorder="1" applyAlignment="1">
      <alignment vertical="center"/>
    </xf>
    <xf numFmtId="0" fontId="54" fillId="11" borderId="28" xfId="8" applyFill="1" applyBorder="1"/>
    <xf numFmtId="0" fontId="54" fillId="11" borderId="12" xfId="8" applyFill="1" applyBorder="1"/>
    <xf numFmtId="0" fontId="54" fillId="11" borderId="11" xfId="8" applyFill="1" applyBorder="1"/>
    <xf numFmtId="0" fontId="59" fillId="11" borderId="29" xfId="11" applyFont="1" applyFill="1" applyBorder="1" applyAlignment="1">
      <alignment horizontal="left" vertical="center"/>
    </xf>
    <xf numFmtId="3" fontId="54" fillId="11" borderId="21" xfId="8" applyNumberFormat="1" applyFill="1" applyBorder="1" applyAlignment="1">
      <alignment horizontal="center" vertical="center"/>
    </xf>
    <xf numFmtId="3" fontId="54" fillId="11" borderId="20" xfId="8" applyNumberFormat="1" applyFill="1" applyBorder="1" applyAlignment="1">
      <alignment horizontal="center" vertical="center"/>
    </xf>
    <xf numFmtId="3" fontId="54" fillId="11" borderId="30" xfId="8" applyNumberFormat="1" applyFill="1" applyBorder="1" applyAlignment="1">
      <alignment horizontal="center" vertical="center"/>
    </xf>
    <xf numFmtId="0" fontId="54" fillId="11" borderId="31" xfId="8" applyFill="1" applyBorder="1"/>
    <xf numFmtId="0" fontId="54" fillId="11" borderId="0" xfId="8" applyFill="1"/>
    <xf numFmtId="0" fontId="54" fillId="11" borderId="0" xfId="8" applyFill="1" applyAlignment="1">
      <alignment horizontal="center"/>
    </xf>
    <xf numFmtId="0" fontId="54" fillId="11" borderId="20" xfId="8" applyFill="1" applyBorder="1" applyAlignment="1">
      <alignment horizontal="center"/>
    </xf>
    <xf numFmtId="0" fontId="54" fillId="11" borderId="18" xfId="8" applyFill="1" applyBorder="1"/>
    <xf numFmtId="0" fontId="54" fillId="11" borderId="20" xfId="8" applyFill="1" applyBorder="1"/>
    <xf numFmtId="0" fontId="54" fillId="11" borderId="30" xfId="8" applyFill="1" applyBorder="1"/>
    <xf numFmtId="0" fontId="59" fillId="11" borderId="32" xfId="11" applyFont="1" applyFill="1" applyBorder="1" applyAlignment="1">
      <alignment horizontal="left" vertical="center"/>
    </xf>
    <xf numFmtId="3" fontId="54" fillId="11" borderId="34" xfId="8" applyNumberFormat="1" applyFill="1" applyBorder="1" applyAlignment="1">
      <alignment horizontal="center" vertical="center"/>
    </xf>
    <xf numFmtId="3" fontId="54" fillId="11" borderId="16" xfId="8" applyNumberFormat="1" applyFill="1" applyBorder="1" applyAlignment="1">
      <alignment horizontal="center" vertical="center"/>
    </xf>
    <xf numFmtId="3" fontId="54" fillId="11" borderId="17" xfId="8" applyNumberFormat="1" applyFill="1" applyBorder="1" applyAlignment="1">
      <alignment horizontal="center" vertical="center"/>
    </xf>
    <xf numFmtId="0" fontId="61" fillId="0" borderId="0" xfId="8" applyFont="1" applyAlignment="1">
      <alignment vertical="center"/>
    </xf>
    <xf numFmtId="3" fontId="54" fillId="0" borderId="0" xfId="8" applyNumberFormat="1"/>
    <xf numFmtId="0" fontId="62" fillId="0" borderId="0" xfId="8" applyFont="1"/>
    <xf numFmtId="169" fontId="63" fillId="0" borderId="0" xfId="12" applyNumberFormat="1" applyFont="1" applyFill="1" applyBorder="1" applyAlignment="1">
      <alignment horizontal="center"/>
    </xf>
    <xf numFmtId="169" fontId="64" fillId="0" borderId="0" xfId="8" applyNumberFormat="1" applyFont="1"/>
    <xf numFmtId="0" fontId="65" fillId="0" borderId="0" xfId="10" applyFont="1" applyAlignment="1">
      <alignment horizontal="center"/>
    </xf>
    <xf numFmtId="0" fontId="65" fillId="0" borderId="0" xfId="10" applyFont="1"/>
    <xf numFmtId="0" fontId="65" fillId="0" borderId="0" xfId="10" applyFont="1" applyAlignment="1">
      <alignment horizontal="right"/>
    </xf>
    <xf numFmtId="0" fontId="66" fillId="0" borderId="0" xfId="10" applyFont="1"/>
    <xf numFmtId="0" fontId="59" fillId="0" borderId="0" xfId="11" applyFont="1" applyAlignment="1">
      <alignment horizontal="left" wrapText="1"/>
    </xf>
    <xf numFmtId="173" fontId="65" fillId="0" borderId="0" xfId="10" applyNumberFormat="1" applyFont="1" applyAlignment="1">
      <alignment horizontal="center"/>
    </xf>
    <xf numFmtId="173" fontId="65" fillId="0" borderId="0" xfId="10" applyNumberFormat="1" applyFont="1"/>
    <xf numFmtId="3" fontId="67" fillId="12" borderId="0" xfId="10" applyNumberFormat="1" applyFont="1" applyFill="1" applyAlignment="1">
      <alignment horizontal="center"/>
    </xf>
    <xf numFmtId="0" fontId="68" fillId="0" borderId="0" xfId="8" applyFont="1"/>
    <xf numFmtId="0" fontId="66" fillId="0" borderId="0" xfId="8" applyFont="1" applyAlignment="1">
      <alignment horizontal="center"/>
    </xf>
    <xf numFmtId="0" fontId="62" fillId="0" borderId="1" xfId="8" applyFont="1" applyBorder="1"/>
    <xf numFmtId="2" fontId="63" fillId="0" borderId="1" xfId="12" applyNumberFormat="1" applyFont="1" applyFill="1" applyBorder="1" applyAlignment="1">
      <alignment horizontal="center"/>
    </xf>
    <xf numFmtId="169" fontId="64" fillId="0" borderId="1" xfId="8" applyNumberFormat="1" applyFont="1" applyBorder="1" applyAlignment="1">
      <alignment horizontal="center" vertical="center"/>
    </xf>
    <xf numFmtId="3" fontId="54" fillId="0" borderId="0" xfId="8" applyNumberFormat="1" applyAlignment="1">
      <alignment horizontal="center"/>
    </xf>
    <xf numFmtId="0" fontId="54" fillId="0" borderId="0" xfId="8" applyAlignment="1">
      <alignment horizontal="center"/>
    </xf>
    <xf numFmtId="0" fontId="59" fillId="0" borderId="0" xfId="11" applyFont="1" applyAlignment="1">
      <alignment horizontal="left"/>
    </xf>
    <xf numFmtId="0" fontId="70" fillId="0" borderId="0" xfId="8" applyFont="1"/>
    <xf numFmtId="0" fontId="70" fillId="0" borderId="0" xfId="8" applyFont="1" applyAlignment="1">
      <alignment horizontal="left"/>
    </xf>
    <xf numFmtId="2" fontId="54" fillId="0" borderId="0" xfId="8" applyNumberFormat="1" applyAlignment="1">
      <alignment horizontal="center"/>
    </xf>
    <xf numFmtId="0" fontId="68" fillId="0" borderId="0" xfId="8" applyFont="1" applyAlignment="1">
      <alignment horizontal="center"/>
    </xf>
    <xf numFmtId="169" fontId="64" fillId="0" borderId="0" xfId="8" applyNumberFormat="1" applyFont="1" applyAlignment="1">
      <alignment vertical="center"/>
    </xf>
    <xf numFmtId="43" fontId="54" fillId="0" borderId="0" xfId="15" applyFont="1"/>
    <xf numFmtId="0" fontId="54" fillId="0" borderId="36" xfId="8" applyBorder="1" applyAlignment="1">
      <alignment horizontal="center"/>
    </xf>
    <xf numFmtId="0" fontId="54" fillId="0" borderId="37" xfId="8" applyBorder="1" applyAlignment="1">
      <alignment horizontal="center"/>
    </xf>
    <xf numFmtId="0" fontId="54" fillId="0" borderId="10" xfId="8" applyBorder="1" applyAlignment="1">
      <alignment horizontal="right"/>
    </xf>
    <xf numFmtId="2" fontId="54" fillId="0" borderId="38" xfId="8" applyNumberFormat="1" applyBorder="1" applyAlignment="1">
      <alignment horizontal="center"/>
    </xf>
    <xf numFmtId="0" fontId="54" fillId="0" borderId="13" xfId="8" applyBorder="1" applyAlignment="1">
      <alignment horizontal="right"/>
    </xf>
    <xf numFmtId="2" fontId="54" fillId="0" borderId="39" xfId="8" applyNumberFormat="1" applyBorder="1" applyAlignment="1">
      <alignment horizontal="center"/>
    </xf>
    <xf numFmtId="2" fontId="54" fillId="0" borderId="37" xfId="8" applyNumberFormat="1" applyBorder="1" applyAlignment="1">
      <alignment horizontal="center"/>
    </xf>
    <xf numFmtId="0" fontId="54" fillId="0" borderId="6" xfId="8" applyBorder="1" applyAlignment="1">
      <alignment horizontal="right"/>
    </xf>
    <xf numFmtId="2" fontId="54" fillId="0" borderId="17" xfId="8" applyNumberFormat="1" applyBorder="1" applyAlignment="1">
      <alignment horizontal="center"/>
    </xf>
    <xf numFmtId="2" fontId="54" fillId="0" borderId="6" xfId="8" applyNumberFormat="1" applyBorder="1" applyAlignment="1">
      <alignment horizontal="center"/>
    </xf>
    <xf numFmtId="2" fontId="54" fillId="0" borderId="41" xfId="8" applyNumberFormat="1" applyBorder="1" applyAlignment="1">
      <alignment horizontal="center"/>
    </xf>
    <xf numFmtId="0" fontId="54" fillId="0" borderId="42" xfId="8" applyBorder="1" applyAlignment="1">
      <alignment horizontal="right"/>
    </xf>
    <xf numFmtId="0" fontId="54" fillId="0" borderId="0" xfId="8" applyAlignment="1">
      <alignment vertical="top" wrapText="1"/>
    </xf>
    <xf numFmtId="0" fontId="54" fillId="0" borderId="0" xfId="8" applyAlignment="1">
      <alignment vertical="top"/>
    </xf>
    <xf numFmtId="169" fontId="63" fillId="0" borderId="1" xfId="12" applyNumberFormat="1" applyFont="1" applyFill="1" applyBorder="1" applyAlignment="1">
      <alignment horizontal="center"/>
    </xf>
    <xf numFmtId="2" fontId="54" fillId="0" borderId="40" xfId="8" applyNumberFormat="1" applyBorder="1" applyAlignment="1">
      <alignment horizontal="center"/>
    </xf>
    <xf numFmtId="172" fontId="61" fillId="0" borderId="0" xfId="8" applyNumberFormat="1" applyFont="1" applyAlignment="1">
      <alignment vertical="center"/>
    </xf>
    <xf numFmtId="2" fontId="69" fillId="0" borderId="0" xfId="8" applyNumberFormat="1" applyFont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0" borderId="44" xfId="16" applyFont="1" applyBorder="1"/>
    <xf numFmtId="0" fontId="7" fillId="0" borderId="45" xfId="16" applyFont="1" applyBorder="1"/>
    <xf numFmtId="1" fontId="7" fillId="3" borderId="46" xfId="16" applyNumberFormat="1" applyFont="1" applyFill="1" applyBorder="1"/>
    <xf numFmtId="4" fontId="28" fillId="2" borderId="47" xfId="16" applyNumberFormat="1" applyFont="1" applyFill="1" applyBorder="1"/>
    <xf numFmtId="4" fontId="5" fillId="2" borderId="47" xfId="16" applyNumberFormat="1" applyFont="1" applyFill="1" applyBorder="1"/>
    <xf numFmtId="4" fontId="5" fillId="2" borderId="48" xfId="16" applyNumberFormat="1" applyFont="1" applyFill="1" applyBorder="1"/>
    <xf numFmtId="4" fontId="5" fillId="2" borderId="49" xfId="16" applyNumberFormat="1" applyFont="1" applyFill="1" applyBorder="1"/>
    <xf numFmtId="10" fontId="5" fillId="0" borderId="3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4" fillId="0" borderId="0" xfId="17" applyAlignment="1">
      <alignment vertical="center"/>
    </xf>
    <xf numFmtId="0" fontId="75" fillId="13" borderId="43" xfId="0" applyFont="1" applyFill="1" applyBorder="1" applyAlignment="1">
      <alignment horizontal="justify" vertical="center" wrapText="1"/>
    </xf>
    <xf numFmtId="0" fontId="75" fillId="13" borderId="11" xfId="0" applyFont="1" applyFill="1" applyBorder="1" applyAlignment="1">
      <alignment horizontal="justify" vertical="center" wrapText="1"/>
    </xf>
    <xf numFmtId="0" fontId="76" fillId="7" borderId="8" xfId="0" applyFont="1" applyFill="1" applyBorder="1" applyAlignment="1">
      <alignment horizontal="left" vertical="center" wrapText="1"/>
    </xf>
    <xf numFmtId="0" fontId="76" fillId="7" borderId="1" xfId="0" applyFont="1" applyFill="1" applyBorder="1" applyAlignment="1">
      <alignment horizontal="left" vertical="center" wrapText="1"/>
    </xf>
    <xf numFmtId="0" fontId="76" fillId="0" borderId="1" xfId="0" applyFont="1" applyBorder="1" applyAlignment="1">
      <alignment horizontal="center" vertical="center" wrapText="1"/>
    </xf>
    <xf numFmtId="3" fontId="76" fillId="0" borderId="1" xfId="0" applyNumberFormat="1" applyFont="1" applyBorder="1" applyAlignment="1">
      <alignment horizontal="center" vertical="center" wrapText="1"/>
    </xf>
    <xf numFmtId="0" fontId="76" fillId="7" borderId="9" xfId="0" applyFont="1" applyFill="1" applyBorder="1" applyAlignment="1">
      <alignment horizontal="center"/>
    </xf>
    <xf numFmtId="0" fontId="76" fillId="0" borderId="9" xfId="0" applyFont="1" applyBorder="1" applyAlignment="1">
      <alignment horizontal="center" wrapText="1"/>
    </xf>
    <xf numFmtId="0" fontId="76" fillId="0" borderId="1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/>
    </xf>
    <xf numFmtId="0" fontId="76" fillId="0" borderId="9" xfId="0" applyFont="1" applyBorder="1" applyAlignment="1">
      <alignment horizontal="center"/>
    </xf>
    <xf numFmtId="0" fontId="76" fillId="7" borderId="50" xfId="0" applyFont="1" applyFill="1" applyBorder="1" applyAlignment="1">
      <alignment horizontal="left" vertical="center" wrapText="1"/>
    </xf>
    <xf numFmtId="0" fontId="76" fillId="7" borderId="51" xfId="0" applyFont="1" applyFill="1" applyBorder="1" applyAlignment="1">
      <alignment horizontal="center" vertical="center" wrapText="1"/>
    </xf>
    <xf numFmtId="0" fontId="76" fillId="0" borderId="51" xfId="0" applyFont="1" applyBorder="1" applyAlignment="1">
      <alignment horizontal="center" vertical="center" wrapText="1"/>
    </xf>
    <xf numFmtId="0" fontId="76" fillId="0" borderId="51" xfId="0" applyFont="1" applyBorder="1" applyAlignment="1">
      <alignment horizontal="center"/>
    </xf>
    <xf numFmtId="3" fontId="76" fillId="0" borderId="51" xfId="0" applyNumberFormat="1" applyFont="1" applyBorder="1" applyAlignment="1">
      <alignment horizontal="center" vertical="center" wrapText="1"/>
    </xf>
    <xf numFmtId="0" fontId="4" fillId="0" borderId="52" xfId="0" applyFont="1" applyBorder="1"/>
    <xf numFmtId="3" fontId="4" fillId="0" borderId="0" xfId="17" applyNumberFormat="1" applyAlignment="1">
      <alignment vertical="center"/>
    </xf>
    <xf numFmtId="0" fontId="0" fillId="0" borderId="47" xfId="0" applyBorder="1"/>
    <xf numFmtId="0" fontId="0" fillId="0" borderId="48" xfId="0" applyBorder="1"/>
    <xf numFmtId="0" fontId="28" fillId="0" borderId="48" xfId="0" applyFont="1" applyBorder="1" applyAlignment="1">
      <alignment horizontal="center"/>
    </xf>
    <xf numFmtId="174" fontId="28" fillId="0" borderId="48" xfId="0" applyNumberFormat="1" applyFont="1" applyBorder="1" applyAlignment="1">
      <alignment horizontal="center"/>
    </xf>
    <xf numFmtId="0" fontId="0" fillId="0" borderId="49" xfId="0" applyBorder="1"/>
    <xf numFmtId="170" fontId="0" fillId="0" borderId="0" xfId="0" applyNumberFormat="1"/>
    <xf numFmtId="175" fontId="4" fillId="0" borderId="0" xfId="17" applyNumberFormat="1" applyAlignment="1">
      <alignment vertical="center"/>
    </xf>
    <xf numFmtId="4" fontId="4" fillId="0" borderId="0" xfId="17" applyNumberFormat="1" applyAlignment="1">
      <alignment vertical="center"/>
    </xf>
    <xf numFmtId="0" fontId="28" fillId="14" borderId="44" xfId="17" applyFont="1" applyFill="1" applyBorder="1" applyAlignment="1">
      <alignment horizontal="center" vertical="center"/>
    </xf>
    <xf numFmtId="0" fontId="28" fillId="14" borderId="45" xfId="17" applyFont="1" applyFill="1" applyBorder="1" applyAlignment="1">
      <alignment horizontal="center" vertical="center"/>
    </xf>
    <xf numFmtId="0" fontId="4" fillId="14" borderId="7" xfId="17" applyFill="1" applyBorder="1" applyAlignment="1">
      <alignment horizontal="center" vertical="center"/>
    </xf>
    <xf numFmtId="0" fontId="4" fillId="3" borderId="1" xfId="17" applyFill="1" applyBorder="1" applyAlignment="1">
      <alignment horizontal="center" vertical="center" wrapText="1"/>
    </xf>
    <xf numFmtId="0" fontId="77" fillId="14" borderId="7" xfId="17" applyFont="1" applyFill="1" applyBorder="1" applyAlignment="1">
      <alignment horizontal="center" vertical="center" wrapText="1"/>
    </xf>
    <xf numFmtId="170" fontId="4" fillId="14" borderId="1" xfId="17" applyNumberFormat="1" applyFill="1" applyBorder="1" applyAlignment="1">
      <alignment horizontal="center" vertical="center" wrapText="1"/>
    </xf>
    <xf numFmtId="0" fontId="4" fillId="0" borderId="0" xfId="17" applyAlignment="1">
      <alignment vertical="center" wrapText="1"/>
    </xf>
    <xf numFmtId="0" fontId="53" fillId="14" borderId="42" xfId="17" applyFont="1" applyFill="1" applyBorder="1" applyAlignment="1">
      <alignment horizontal="center" vertical="center" wrapText="1"/>
    </xf>
    <xf numFmtId="0" fontId="4" fillId="14" borderId="42" xfId="17" applyFill="1" applyBorder="1" applyAlignment="1">
      <alignment horizontal="center" vertical="center" wrapText="1"/>
    </xf>
    <xf numFmtId="0" fontId="77" fillId="14" borderId="19" xfId="17" applyFont="1" applyFill="1" applyBorder="1" applyAlignment="1">
      <alignment horizontal="center" vertical="center" wrapText="1"/>
    </xf>
    <xf numFmtId="170" fontId="77" fillId="14" borderId="1" xfId="17" applyNumberFormat="1" applyFont="1" applyFill="1" applyBorder="1" applyAlignment="1">
      <alignment horizontal="center" vertical="center" wrapText="1"/>
    </xf>
    <xf numFmtId="170" fontId="77" fillId="14" borderId="7" xfId="17" applyNumberFormat="1" applyFont="1" applyFill="1" applyBorder="1" applyAlignment="1">
      <alignment horizontal="center" vertical="center" wrapText="1"/>
    </xf>
    <xf numFmtId="0" fontId="28" fillId="0" borderId="53" xfId="17" applyFont="1" applyBorder="1" applyAlignment="1">
      <alignment vertical="center"/>
    </xf>
    <xf numFmtId="0" fontId="28" fillId="0" borderId="45" xfId="17" applyFont="1" applyBorder="1" applyAlignment="1">
      <alignment vertical="center"/>
    </xf>
    <xf numFmtId="2" fontId="28" fillId="0" borderId="45" xfId="17" applyNumberFormat="1" applyFont="1" applyBorder="1" applyAlignment="1">
      <alignment horizontal="center" vertical="center"/>
    </xf>
    <xf numFmtId="3" fontId="28" fillId="0" borderId="45" xfId="17" applyNumberFormat="1" applyFont="1" applyBorder="1" applyAlignment="1">
      <alignment horizontal="right" vertical="center"/>
    </xf>
    <xf numFmtId="3" fontId="28" fillId="0" borderId="54" xfId="17" applyNumberFormat="1" applyFont="1" applyBorder="1" applyAlignment="1">
      <alignment horizontal="right" vertical="center"/>
    </xf>
    <xf numFmtId="0" fontId="4" fillId="3" borderId="19" xfId="17" applyFill="1" applyBorder="1" applyAlignment="1">
      <alignment vertical="center"/>
    </xf>
    <xf numFmtId="175" fontId="4" fillId="0" borderId="1" xfId="17" applyNumberFormat="1" applyBorder="1" applyAlignment="1">
      <alignment horizontal="right" vertical="center" wrapText="1"/>
    </xf>
    <xf numFmtId="0" fontId="28" fillId="0" borderId="8" xfId="17" applyFont="1" applyBorder="1" applyAlignment="1">
      <alignment vertical="center"/>
    </xf>
    <xf numFmtId="0" fontId="28" fillId="0" borderId="1" xfId="17" applyFont="1" applyBorder="1" applyAlignment="1">
      <alignment vertical="center"/>
    </xf>
    <xf numFmtId="0" fontId="28" fillId="3" borderId="1" xfId="17" applyFont="1" applyFill="1" applyBorder="1" applyAlignment="1">
      <alignment vertical="center"/>
    </xf>
    <xf numFmtId="2" fontId="28" fillId="3" borderId="1" xfId="17" applyNumberFormat="1" applyFont="1" applyFill="1" applyBorder="1" applyAlignment="1">
      <alignment horizontal="right" vertical="center"/>
    </xf>
    <xf numFmtId="0" fontId="28" fillId="3" borderId="9" xfId="17" applyFont="1" applyFill="1" applyBorder="1" applyAlignment="1">
      <alignment horizontal="right" vertical="center"/>
    </xf>
    <xf numFmtId="0" fontId="4" fillId="3" borderId="24" xfId="17" applyFill="1" applyBorder="1" applyAlignment="1">
      <alignment vertical="center"/>
    </xf>
    <xf numFmtId="175" fontId="4" fillId="3" borderId="1" xfId="17" applyNumberFormat="1" applyFill="1" applyBorder="1" applyAlignment="1">
      <alignment horizontal="right" vertical="center" wrapText="1"/>
    </xf>
    <xf numFmtId="2" fontId="28" fillId="0" borderId="1" xfId="17" applyNumberFormat="1" applyFont="1" applyBorder="1" applyAlignment="1">
      <alignment horizontal="center" vertical="center"/>
    </xf>
    <xf numFmtId="3" fontId="28" fillId="0" borderId="1" xfId="17" applyNumberFormat="1" applyFont="1" applyBorder="1" applyAlignment="1">
      <alignment horizontal="right" vertical="center"/>
    </xf>
    <xf numFmtId="3" fontId="28" fillId="0" borderId="9" xfId="17" applyNumberFormat="1" applyFont="1" applyBorder="1" applyAlignment="1">
      <alignment horizontal="right" vertical="center"/>
    </xf>
    <xf numFmtId="2" fontId="28" fillId="3" borderId="1" xfId="17" applyNumberFormat="1" applyFont="1" applyFill="1" applyBorder="1" applyAlignment="1">
      <alignment horizontal="center" vertical="center" wrapText="1"/>
    </xf>
    <xf numFmtId="0" fontId="28" fillId="3" borderId="1" xfId="17" applyFont="1" applyFill="1" applyBorder="1" applyAlignment="1">
      <alignment horizontal="right" vertical="center"/>
    </xf>
    <xf numFmtId="0" fontId="28" fillId="3" borderId="1" xfId="17" applyFont="1" applyFill="1" applyBorder="1" applyAlignment="1">
      <alignment horizontal="center" vertical="center"/>
    </xf>
    <xf numFmtId="0" fontId="28" fillId="0" borderId="55" xfId="17" applyFont="1" applyBorder="1" applyAlignment="1">
      <alignment vertical="center"/>
    </xf>
    <xf numFmtId="0" fontId="28" fillId="0" borderId="56" xfId="17" applyFont="1" applyBorder="1" applyAlignment="1">
      <alignment vertical="center"/>
    </xf>
    <xf numFmtId="2" fontId="28" fillId="0" borderId="56" xfId="17" applyNumberFormat="1" applyFont="1" applyBorder="1" applyAlignment="1">
      <alignment horizontal="center" vertical="center"/>
    </xf>
    <xf numFmtId="3" fontId="28" fillId="0" borderId="56" xfId="17" applyNumberFormat="1" applyFont="1" applyBorder="1" applyAlignment="1">
      <alignment horizontal="right" vertical="center"/>
    </xf>
    <xf numFmtId="3" fontId="28" fillId="0" borderId="57" xfId="17" applyNumberFormat="1" applyFont="1" applyBorder="1" applyAlignment="1">
      <alignment horizontal="right" vertical="center"/>
    </xf>
    <xf numFmtId="175" fontId="4" fillId="0" borderId="5" xfId="17" applyNumberFormat="1" applyBorder="1" applyAlignment="1">
      <alignment horizontal="right" vertical="center" wrapText="1"/>
    </xf>
    <xf numFmtId="3" fontId="5" fillId="2" borderId="32" xfId="0" applyNumberFormat="1" applyFont="1" applyFill="1" applyBorder="1"/>
    <xf numFmtId="3" fontId="5" fillId="14" borderId="58" xfId="0" applyNumberFormat="1" applyFont="1" applyFill="1" applyBorder="1"/>
    <xf numFmtId="0" fontId="4" fillId="3" borderId="51" xfId="17" applyFill="1" applyBorder="1" applyAlignment="1">
      <alignment vertical="center"/>
    </xf>
    <xf numFmtId="0" fontId="4" fillId="3" borderId="23" xfId="17" applyFill="1" applyBorder="1" applyAlignment="1">
      <alignment vertical="center"/>
    </xf>
    <xf numFmtId="3" fontId="5" fillId="2" borderId="47" xfId="0" applyNumberFormat="1" applyFont="1" applyFill="1" applyBorder="1"/>
    <xf numFmtId="3" fontId="5" fillId="2" borderId="48" xfId="0" applyNumberFormat="1" applyFont="1" applyFill="1" applyBorder="1"/>
    <xf numFmtId="3" fontId="5" fillId="2" borderId="49" xfId="0" applyNumberFormat="1" applyFont="1" applyFill="1" applyBorder="1"/>
    <xf numFmtId="3" fontId="5" fillId="2" borderId="1" xfId="0" applyNumberFormat="1" applyFont="1" applyFill="1" applyBorder="1"/>
    <xf numFmtId="3" fontId="8" fillId="0" borderId="1" xfId="0" applyNumberFormat="1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0" fontId="76" fillId="7" borderId="29" xfId="0" applyFont="1" applyFill="1" applyBorder="1" applyAlignment="1">
      <alignment horizontal="left" vertical="center" wrapText="1"/>
    </xf>
    <xf numFmtId="0" fontId="76" fillId="7" borderId="5" xfId="0" applyFont="1" applyFill="1" applyBorder="1" applyAlignment="1">
      <alignment horizontal="left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/>
    </xf>
    <xf numFmtId="0" fontId="76" fillId="0" borderId="59" xfId="0" applyFont="1" applyBorder="1" applyAlignment="1">
      <alignment horizontal="center"/>
    </xf>
    <xf numFmtId="0" fontId="76" fillId="7" borderId="47" xfId="0" applyFont="1" applyFill="1" applyBorder="1" applyAlignment="1">
      <alignment horizontal="left" vertical="center" wrapText="1"/>
    </xf>
    <xf numFmtId="0" fontId="76" fillId="7" borderId="48" xfId="0" applyFont="1" applyFill="1" applyBorder="1" applyAlignment="1">
      <alignment horizontal="center" vertical="center" wrapText="1"/>
    </xf>
    <xf numFmtId="0" fontId="76" fillId="0" borderId="48" xfId="0" applyFont="1" applyBorder="1" applyAlignment="1">
      <alignment horizontal="center" vertical="center" wrapText="1"/>
    </xf>
    <xf numFmtId="0" fontId="78" fillId="0" borderId="48" xfId="0" applyFont="1" applyBorder="1" applyAlignment="1">
      <alignment horizontal="center" vertical="center" wrapText="1"/>
    </xf>
    <xf numFmtId="0" fontId="76" fillId="0" borderId="60" xfId="0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/>
    </xf>
    <xf numFmtId="0" fontId="4" fillId="0" borderId="49" xfId="0" applyFont="1" applyBorder="1"/>
    <xf numFmtId="0" fontId="4" fillId="14" borderId="26" xfId="17" applyFill="1" applyBorder="1" applyAlignment="1">
      <alignment horizontal="center" vertical="center"/>
    </xf>
    <xf numFmtId="0" fontId="4" fillId="3" borderId="26" xfId="17" applyFill="1" applyBorder="1" applyAlignment="1">
      <alignment horizontal="center" vertical="center"/>
    </xf>
    <xf numFmtId="0" fontId="4" fillId="3" borderId="3" xfId="17" applyFill="1" applyBorder="1" applyAlignment="1">
      <alignment horizontal="center" vertical="center"/>
    </xf>
    <xf numFmtId="0" fontId="28" fillId="3" borderId="3" xfId="17" applyFont="1" applyFill="1" applyBorder="1" applyAlignment="1">
      <alignment horizontal="center" vertical="center"/>
    </xf>
    <xf numFmtId="3" fontId="28" fillId="3" borderId="61" xfId="17" applyNumberFormat="1" applyFont="1" applyFill="1" applyBorder="1" applyAlignment="1">
      <alignment horizontal="right" vertical="center"/>
    </xf>
    <xf numFmtId="3" fontId="28" fillId="0" borderId="61" xfId="17" applyNumberFormat="1" applyFont="1" applyBorder="1" applyAlignment="1">
      <alignment horizontal="right" vertical="center"/>
    </xf>
    <xf numFmtId="3" fontId="28" fillId="3" borderId="3" xfId="17" applyNumberFormat="1" applyFont="1" applyFill="1" applyBorder="1" applyAlignment="1">
      <alignment vertical="center"/>
    </xf>
    <xf numFmtId="0" fontId="28" fillId="0" borderId="1" xfId="17" applyFont="1" applyBorder="1" applyAlignment="1">
      <alignment horizontal="center" vertical="center"/>
    </xf>
    <xf numFmtId="3" fontId="28" fillId="0" borderId="4" xfId="17" applyNumberFormat="1" applyFont="1" applyBorder="1" applyAlignment="1">
      <alignment horizontal="right" vertical="center"/>
    </xf>
    <xf numFmtId="3" fontId="28" fillId="0" borderId="1" xfId="17" applyNumberFormat="1" applyFont="1" applyBorder="1" applyAlignment="1">
      <alignment vertical="center"/>
    </xf>
    <xf numFmtId="0" fontId="28" fillId="3" borderId="4" xfId="17" applyFont="1" applyFill="1" applyBorder="1" applyAlignment="1">
      <alignment horizontal="right" vertical="center"/>
    </xf>
    <xf numFmtId="3" fontId="28" fillId="0" borderId="33" xfId="17" applyNumberFormat="1" applyFont="1" applyBorder="1" applyAlignment="1">
      <alignment horizontal="right" vertical="center"/>
    </xf>
    <xf numFmtId="3" fontId="5" fillId="14" borderId="1" xfId="0" applyNumberFormat="1" applyFont="1" applyFill="1" applyBorder="1"/>
    <xf numFmtId="14" fontId="35" fillId="0" borderId="0" xfId="5" applyNumberFormat="1" applyFont="1"/>
    <xf numFmtId="0" fontId="36" fillId="0" borderId="0" xfId="5" applyFont="1"/>
    <xf numFmtId="0" fontId="37" fillId="0" borderId="0" xfId="5" applyFont="1"/>
    <xf numFmtId="0" fontId="39" fillId="0" borderId="0" xfId="5" applyFont="1" applyAlignment="1">
      <alignment horizontal="center"/>
    </xf>
    <xf numFmtId="0" fontId="40" fillId="0" borderId="0" xfId="5" applyFont="1"/>
    <xf numFmtId="0" fontId="35" fillId="0" borderId="21" xfId="5" applyFont="1" applyBorder="1" applyAlignment="1">
      <alignment horizontal="center"/>
    </xf>
    <xf numFmtId="0" fontId="37" fillId="0" borderId="21" xfId="5" applyFont="1" applyBorder="1"/>
    <xf numFmtId="0" fontId="46" fillId="0" borderId="0" xfId="5" applyFont="1"/>
    <xf numFmtId="0" fontId="9" fillId="10" borderId="1" xfId="0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left" vertical="center" wrapText="1"/>
    </xf>
    <xf numFmtId="0" fontId="28" fillId="10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/>
    </xf>
    <xf numFmtId="0" fontId="8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29" fillId="10" borderId="4" xfId="0" applyFont="1" applyFill="1" applyBorder="1" applyAlignment="1">
      <alignment horizontal="left" vertical="center" wrapText="1"/>
    </xf>
    <xf numFmtId="0" fontId="28" fillId="10" borderId="20" xfId="0" applyFont="1" applyFill="1" applyBorder="1" applyAlignment="1">
      <alignment vertical="center"/>
    </xf>
    <xf numFmtId="0" fontId="28" fillId="10" borderId="7" xfId="0" applyFont="1" applyFill="1" applyBorder="1" applyAlignment="1">
      <alignment vertical="center"/>
    </xf>
    <xf numFmtId="0" fontId="8" fillId="10" borderId="5" xfId="0" applyFont="1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8" fillId="8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4" fontId="74" fillId="2" borderId="43" xfId="16" applyNumberFormat="1" applyFont="1" applyFill="1" applyBorder="1" applyAlignment="1">
      <alignment horizontal="center" vertical="center"/>
    </xf>
    <xf numFmtId="4" fontId="74" fillId="2" borderId="40" xfId="16" applyNumberFormat="1" applyFont="1" applyFill="1" applyBorder="1" applyAlignment="1">
      <alignment horizontal="center" vertical="center"/>
    </xf>
    <xf numFmtId="4" fontId="74" fillId="2" borderId="42" xfId="16" applyNumberFormat="1" applyFont="1" applyFill="1" applyBorder="1" applyAlignment="1">
      <alignment horizontal="center" vertical="center"/>
    </xf>
    <xf numFmtId="0" fontId="5" fillId="0" borderId="36" xfId="16" applyFont="1" applyBorder="1" applyAlignment="1">
      <alignment horizontal="center"/>
    </xf>
    <xf numFmtId="0" fontId="5" fillId="0" borderId="37" xfId="16" applyFont="1" applyBorder="1" applyAlignment="1">
      <alignment horizontal="center"/>
    </xf>
    <xf numFmtId="0" fontId="54" fillId="0" borderId="36" xfId="8" applyBorder="1" applyAlignment="1">
      <alignment horizontal="center" vertical="center"/>
    </xf>
    <xf numFmtId="0" fontId="54" fillId="0" borderId="37" xfId="8" applyBorder="1" applyAlignment="1">
      <alignment horizontal="center" vertical="center"/>
    </xf>
    <xf numFmtId="0" fontId="56" fillId="0" borderId="0" xfId="8" applyFont="1" applyAlignment="1">
      <alignment horizontal="right"/>
    </xf>
    <xf numFmtId="0" fontId="54" fillId="11" borderId="4" xfId="8" applyFill="1" applyBorder="1" applyAlignment="1">
      <alignment horizontal="center" vertical="center"/>
    </xf>
    <xf numFmtId="0" fontId="54" fillId="11" borderId="20" xfId="8" applyFill="1" applyBorder="1" applyAlignment="1">
      <alignment horizontal="center" vertical="center"/>
    </xf>
    <xf numFmtId="0" fontId="54" fillId="11" borderId="19" xfId="8" applyFill="1" applyBorder="1" applyAlignment="1">
      <alignment horizontal="center" vertical="center"/>
    </xf>
    <xf numFmtId="0" fontId="54" fillId="11" borderId="33" xfId="8" applyFill="1" applyBorder="1" applyAlignment="1">
      <alignment horizontal="center" vertical="center"/>
    </xf>
    <xf numFmtId="0" fontId="54" fillId="11" borderId="34" xfId="8" applyFill="1" applyBorder="1" applyAlignment="1">
      <alignment horizontal="center" vertical="center"/>
    </xf>
    <xf numFmtId="0" fontId="54" fillId="11" borderId="35" xfId="8" applyFill="1" applyBorder="1" applyAlignment="1">
      <alignment horizontal="center" vertical="center"/>
    </xf>
    <xf numFmtId="0" fontId="60" fillId="0" borderId="0" xfId="8" applyFont="1" applyAlignment="1">
      <alignment horizontal="center" vertical="center"/>
    </xf>
    <xf numFmtId="0" fontId="61" fillId="0" borderId="0" xfId="8" applyFont="1" applyAlignment="1">
      <alignment horizontal="center" vertical="center"/>
    </xf>
    <xf numFmtId="0" fontId="62" fillId="0" borderId="4" xfId="8" applyFont="1" applyBorder="1" applyAlignment="1">
      <alignment horizontal="left"/>
    </xf>
    <xf numFmtId="0" fontId="62" fillId="0" borderId="20" xfId="8" applyFont="1" applyBorder="1" applyAlignment="1">
      <alignment horizontal="left"/>
    </xf>
    <xf numFmtId="0" fontId="62" fillId="0" borderId="7" xfId="8" applyFont="1" applyBorder="1" applyAlignment="1">
      <alignment horizontal="left"/>
    </xf>
    <xf numFmtId="0" fontId="70" fillId="0" borderId="4" xfId="8" applyFont="1" applyBorder="1" applyAlignment="1">
      <alignment horizontal="left"/>
    </xf>
    <xf numFmtId="0" fontId="70" fillId="0" borderId="20" xfId="8" applyFont="1" applyBorder="1" applyAlignment="1">
      <alignment horizontal="left"/>
    </xf>
    <xf numFmtId="0" fontId="70" fillId="0" borderId="7" xfId="8" applyFont="1" applyBorder="1" applyAlignment="1">
      <alignment horizontal="left"/>
    </xf>
    <xf numFmtId="0" fontId="54" fillId="0" borderId="10" xfId="8" applyBorder="1" applyAlignment="1">
      <alignment horizontal="center" vertical="center"/>
    </xf>
    <xf numFmtId="0" fontId="54" fillId="0" borderId="15" xfId="8" applyBorder="1" applyAlignment="1">
      <alignment horizontal="center" vertical="center"/>
    </xf>
    <xf numFmtId="0" fontId="54" fillId="0" borderId="28" xfId="8" applyBorder="1" applyAlignment="1">
      <alignment horizontal="center" vertical="center"/>
    </xf>
    <xf numFmtId="0" fontId="54" fillId="0" borderId="34" xfId="8" applyBorder="1" applyAlignment="1">
      <alignment horizontal="center" vertical="center"/>
    </xf>
    <xf numFmtId="0" fontId="4" fillId="0" borderId="18" xfId="17" applyBorder="1" applyAlignment="1">
      <alignment horizontal="center" vertical="center" wrapText="1"/>
    </xf>
    <xf numFmtId="0" fontId="4" fillId="0" borderId="20" xfId="17" applyBorder="1" applyAlignment="1">
      <alignment horizontal="center" vertical="center" wrapText="1"/>
    </xf>
    <xf numFmtId="0" fontId="53" fillId="14" borderId="43" xfId="17" applyFont="1" applyFill="1" applyBorder="1" applyAlignment="1">
      <alignment horizontal="center" vertical="center" wrapText="1"/>
    </xf>
    <xf numFmtId="0" fontId="53" fillId="14" borderId="40" xfId="17" applyFont="1" applyFill="1" applyBorder="1" applyAlignment="1">
      <alignment horizontal="center" vertical="center" wrapText="1"/>
    </xf>
    <xf numFmtId="0" fontId="8" fillId="14" borderId="10" xfId="17" applyFont="1" applyFill="1" applyBorder="1" applyAlignment="1">
      <alignment horizontal="center" vertical="center" wrapText="1"/>
    </xf>
    <xf numFmtId="0" fontId="8" fillId="14" borderId="15" xfId="17" applyFont="1" applyFill="1" applyBorder="1" applyAlignment="1">
      <alignment horizontal="center" vertical="center" wrapText="1"/>
    </xf>
    <xf numFmtId="0" fontId="4" fillId="14" borderId="43" xfId="17" applyFill="1" applyBorder="1" applyAlignment="1">
      <alignment horizontal="center" vertical="center" wrapText="1"/>
    </xf>
    <xf numFmtId="0" fontId="4" fillId="14" borderId="40" xfId="17" applyFill="1" applyBorder="1" applyAlignment="1">
      <alignment horizontal="center" vertical="center" wrapText="1"/>
    </xf>
    <xf numFmtId="0" fontId="8" fillId="14" borderId="13" xfId="17" applyFont="1" applyFill="1" applyBorder="1" applyAlignment="1">
      <alignment horizontal="center" vertical="center" wrapText="1"/>
    </xf>
  </cellXfs>
  <cellStyles count="18">
    <cellStyle name="Comma 2" xfId="13" xr:uid="{975DD51A-39C6-0F42-941A-D246DD14732B}"/>
    <cellStyle name="Comma 2 2" xfId="15" xr:uid="{EBF73A1B-53A0-464C-8DD9-08EC60835391}"/>
    <cellStyle name="Normal 10" xfId="4" xr:uid="{00000000-0005-0000-0000-000000000000}"/>
    <cellStyle name="Normal 2" xfId="5" xr:uid="{E0D41AE1-5B38-4536-8E89-4B61E597F04D}"/>
    <cellStyle name="Normal 2 2" xfId="8" xr:uid="{3738D284-5E52-2E44-9FBE-29E86CE9D26C}"/>
    <cellStyle name="Normal 2 2 2" xfId="7" xr:uid="{775E37DE-ACA6-435E-9616-7C40BDFADFDA}"/>
    <cellStyle name="Normal 2 3 4" xfId="11" xr:uid="{67ED3ECB-A0EF-8D45-ADCF-F1D76B09F3D7}"/>
    <cellStyle name="Normal 3" xfId="9" xr:uid="{04ED0105-AF08-A546-9DB6-34D13B213A6E}"/>
    <cellStyle name="Normal 3 2" xfId="14" xr:uid="{B0198A19-662B-3B4E-965A-273975B10D23}"/>
    <cellStyle name="Normálna" xfId="0" builtinId="0"/>
    <cellStyle name="Normálna 2" xfId="3" xr:uid="{00000000-0005-0000-0000-000002000000}"/>
    <cellStyle name="Normálna 2 2" xfId="17" xr:uid="{E8E736FF-072F-4473-9163-FEC2F89C8559}"/>
    <cellStyle name="Normálna 3" xfId="16" xr:uid="{3BE4C7D8-21B2-4C84-A7B2-E0DF53509B63}"/>
    <cellStyle name="Normálna 8" xfId="10" xr:uid="{4133D939-E09D-C749-9162-7DE45EA05AAB}"/>
    <cellStyle name="normálne 2" xfId="1" xr:uid="{00000000-0005-0000-0000-000003000000}"/>
    <cellStyle name="Percent 2" xfId="6" xr:uid="{E2509AAE-FE32-46A0-820B-C09BE45E37CB}"/>
    <cellStyle name="Percent 2 2" xfId="12" xr:uid="{C2ACAC43-E04D-FF4D-9A54-D41403C717C3}"/>
    <cellStyle name="Percentá" xfId="2" builtinId="5"/>
  </cellStyles>
  <dxfs count="12">
    <dxf>
      <font>
        <color rgb="FF00B05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B05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3399FF"/>
      <color rgb="FFFFFF66"/>
      <color rgb="FFFFFFCC"/>
      <color rgb="FFFFFF00"/>
      <color rgb="FF99FFCC"/>
      <color rgb="FFCCFF33"/>
      <color rgb="FFFFCC66"/>
      <color rgb="FF99FF33"/>
      <color rgb="FFFC8174"/>
      <color rgb="FFFED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4B61-D91F-463D-9AF8-B3F9BC39B665}">
  <sheetPr>
    <pageSetUpPr fitToPage="1"/>
  </sheetPr>
  <dimension ref="A1:Y70"/>
  <sheetViews>
    <sheetView showGridLines="0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U11" sqref="U11"/>
    </sheetView>
  </sheetViews>
  <sheetFormatPr defaultColWidth="9.140625" defaultRowHeight="15.75" x14ac:dyDescent="0.25"/>
  <cols>
    <col min="1" max="1" width="5.7109375" style="223" customWidth="1"/>
    <col min="2" max="2" width="75.7109375" style="223" customWidth="1"/>
    <col min="3" max="18" width="11.140625" style="223" customWidth="1"/>
    <col min="19" max="20" width="11.140625" style="270" customWidth="1"/>
    <col min="21" max="21" width="10.42578125" style="270" bestFit="1" customWidth="1"/>
    <col min="22" max="16384" width="9.140625" style="223"/>
  </cols>
  <sheetData>
    <row r="1" spans="1:21" x14ac:dyDescent="0.25">
      <c r="A1" s="515" t="s">
        <v>422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7"/>
      <c r="R1" s="517"/>
      <c r="S1" s="269"/>
    </row>
    <row r="2" spans="1:21" ht="18.75" x14ac:dyDescent="0.3">
      <c r="A2" s="518" t="s">
        <v>396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271"/>
    </row>
    <row r="3" spans="1:21" x14ac:dyDescent="0.25">
      <c r="A3" s="520" t="s">
        <v>367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269"/>
    </row>
    <row r="4" spans="1:21" x14ac:dyDescent="0.25">
      <c r="A4" s="272"/>
      <c r="B4" s="229"/>
      <c r="C4" s="272"/>
      <c r="D4" s="273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74"/>
      <c r="T4" s="274"/>
      <c r="U4" s="275"/>
    </row>
    <row r="5" spans="1:21" x14ac:dyDescent="0.25">
      <c r="A5" s="276"/>
      <c r="B5" s="268"/>
      <c r="C5" s="231">
        <v>2008</v>
      </c>
      <c r="D5" s="233">
        <v>2009</v>
      </c>
      <c r="E5" s="233">
        <v>2010</v>
      </c>
      <c r="F5" s="233">
        <v>2011</v>
      </c>
      <c r="G5" s="233">
        <v>2012</v>
      </c>
      <c r="H5" s="233">
        <v>2013</v>
      </c>
      <c r="I5" s="233">
        <v>2014</v>
      </c>
      <c r="J5" s="233">
        <v>2015</v>
      </c>
      <c r="K5" s="233">
        <v>2016</v>
      </c>
      <c r="L5" s="233">
        <v>2017</v>
      </c>
      <c r="M5" s="233">
        <v>2018</v>
      </c>
      <c r="N5" s="233">
        <v>2019</v>
      </c>
      <c r="O5" s="233">
        <v>2020</v>
      </c>
      <c r="P5" s="233">
        <v>2021</v>
      </c>
      <c r="Q5" s="233">
        <v>2022</v>
      </c>
      <c r="R5" s="233">
        <v>2023</v>
      </c>
      <c r="S5" s="277">
        <v>2024</v>
      </c>
      <c r="T5" s="277">
        <v>2025</v>
      </c>
      <c r="U5" s="278">
        <v>2026</v>
      </c>
    </row>
    <row r="6" spans="1:21" x14ac:dyDescent="0.25">
      <c r="A6" s="276"/>
      <c r="B6" s="233"/>
      <c r="C6" s="279" t="s">
        <v>368</v>
      </c>
      <c r="D6" s="280" t="s">
        <v>368</v>
      </c>
      <c r="E6" s="280" t="s">
        <v>368</v>
      </c>
      <c r="F6" s="280" t="s">
        <v>368</v>
      </c>
      <c r="G6" s="280" t="s">
        <v>368</v>
      </c>
      <c r="H6" s="280" t="s">
        <v>368</v>
      </c>
      <c r="I6" s="280" t="s">
        <v>368</v>
      </c>
      <c r="J6" s="280" t="s">
        <v>368</v>
      </c>
      <c r="K6" s="280" t="s">
        <v>368</v>
      </c>
      <c r="L6" s="280" t="s">
        <v>368</v>
      </c>
      <c r="M6" s="280" t="s">
        <v>368</v>
      </c>
      <c r="N6" s="280" t="s">
        <v>368</v>
      </c>
      <c r="O6" s="280" t="s">
        <v>368</v>
      </c>
      <c r="P6" s="238" t="s">
        <v>368</v>
      </c>
      <c r="Q6" s="280" t="s">
        <v>369</v>
      </c>
      <c r="R6" s="280" t="s">
        <v>369</v>
      </c>
      <c r="S6" s="281" t="s">
        <v>369</v>
      </c>
      <c r="T6" s="281" t="s">
        <v>369</v>
      </c>
      <c r="U6" s="282" t="s">
        <v>369</v>
      </c>
    </row>
    <row r="7" spans="1:21" x14ac:dyDescent="0.25">
      <c r="A7" s="272"/>
      <c r="B7" s="283"/>
      <c r="C7" s="284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6"/>
      <c r="T7" s="286"/>
      <c r="U7" s="287"/>
    </row>
    <row r="8" spans="1:21" x14ac:dyDescent="0.25">
      <c r="A8" s="276"/>
      <c r="B8" s="288" t="s">
        <v>397</v>
      </c>
      <c r="C8" s="289"/>
      <c r="D8" s="290"/>
      <c r="J8" s="233"/>
      <c r="K8" s="233"/>
      <c r="L8" s="233"/>
      <c r="M8" s="233"/>
      <c r="N8" s="233"/>
      <c r="O8" s="233"/>
      <c r="P8" s="233"/>
      <c r="Q8" s="233"/>
      <c r="R8" s="233"/>
      <c r="S8" s="277"/>
      <c r="T8" s="277"/>
      <c r="U8" s="278"/>
    </row>
    <row r="9" spans="1:21" x14ac:dyDescent="0.25">
      <c r="A9" s="276"/>
      <c r="B9" s="288"/>
      <c r="C9" s="289"/>
      <c r="D9" s="290"/>
      <c r="J9" s="233"/>
      <c r="K9" s="233"/>
      <c r="L9" s="233"/>
      <c r="M9" s="233"/>
      <c r="N9" s="233"/>
      <c r="O9" s="233"/>
      <c r="P9" s="233"/>
      <c r="Q9" s="233"/>
      <c r="R9" s="233"/>
      <c r="S9" s="277"/>
      <c r="T9" s="277"/>
      <c r="U9" s="278"/>
    </row>
    <row r="10" spans="1:21" x14ac:dyDescent="0.25">
      <c r="A10" s="276"/>
      <c r="B10" s="248" t="s">
        <v>398</v>
      </c>
      <c r="C10" s="253">
        <v>70.240508000000005</v>
      </c>
      <c r="D10" s="254">
        <v>66.408513999999997</v>
      </c>
      <c r="E10" s="254">
        <v>70.868929999999992</v>
      </c>
      <c r="F10" s="254">
        <v>72.762160000000009</v>
      </c>
      <c r="G10" s="254">
        <v>73.721749000000003</v>
      </c>
      <c r="H10" s="254">
        <v>74.188215999999997</v>
      </c>
      <c r="I10" s="254">
        <v>76.189213000000009</v>
      </c>
      <c r="J10" s="254">
        <v>80.126047999999997</v>
      </c>
      <c r="K10" s="254">
        <v>81.683659000000006</v>
      </c>
      <c r="L10" s="254">
        <v>84.083581000000009</v>
      </c>
      <c r="M10" s="254">
        <v>87.472477000000012</v>
      </c>
      <c r="N10" s="254">
        <v>89.676514999999981</v>
      </c>
      <c r="O10" s="254">
        <v>86.65021800000001</v>
      </c>
      <c r="P10" s="254">
        <v>89.262117999999987</v>
      </c>
      <c r="Q10" s="254">
        <v>90.800632589371716</v>
      </c>
      <c r="R10" s="254">
        <v>91.949456998979016</v>
      </c>
      <c r="S10" s="254">
        <v>93.564715415270655</v>
      </c>
      <c r="T10" s="254">
        <v>96.048060597987302</v>
      </c>
      <c r="U10" s="291">
        <v>97.8806540923526</v>
      </c>
    </row>
    <row r="11" spans="1:21" x14ac:dyDescent="0.25">
      <c r="A11" s="276"/>
      <c r="B11" s="292" t="s">
        <v>399</v>
      </c>
      <c r="C11" s="293">
        <v>5.574886345113006</v>
      </c>
      <c r="D11" s="294">
        <v>-5.4555328671597962</v>
      </c>
      <c r="E11" s="294">
        <v>6.7166327498308309</v>
      </c>
      <c r="F11" s="294">
        <v>2.6714527790951736</v>
      </c>
      <c r="G11" s="294">
        <v>1.3188022455628001</v>
      </c>
      <c r="H11" s="294">
        <v>0.63274000729418578</v>
      </c>
      <c r="I11" s="294">
        <v>2.6971898070712541</v>
      </c>
      <c r="J11" s="294">
        <v>5.1671816061415354</v>
      </c>
      <c r="K11" s="294">
        <v>1.9439508610233691</v>
      </c>
      <c r="L11" s="294">
        <v>2.9380686778490261</v>
      </c>
      <c r="M11" s="294">
        <v>4.0303897142534906</v>
      </c>
      <c r="N11" s="294">
        <v>2.5196931373053122</v>
      </c>
      <c r="O11" s="294">
        <v>-3.3746817659004447</v>
      </c>
      <c r="P11" s="294">
        <v>3.0143028607267697</v>
      </c>
      <c r="Q11" s="294">
        <v>1.7235918481922186</v>
      </c>
      <c r="R11" s="294">
        <v>1.2652163061491528</v>
      </c>
      <c r="S11" s="294">
        <v>1.7566807559391773</v>
      </c>
      <c r="T11" s="294">
        <v>2.6541471020296026</v>
      </c>
      <c r="U11" s="295">
        <v>1.9079963540707956</v>
      </c>
    </row>
    <row r="12" spans="1:21" x14ac:dyDescent="0.25">
      <c r="A12" s="276"/>
      <c r="B12" s="248" t="s">
        <v>400</v>
      </c>
      <c r="C12" s="253">
        <v>41.387274000000005</v>
      </c>
      <c r="D12" s="254">
        <v>41.292942000000004</v>
      </c>
      <c r="E12" s="254">
        <v>41.630653999999993</v>
      </c>
      <c r="F12" s="254">
        <v>40.816290000000002</v>
      </c>
      <c r="G12" s="254">
        <v>40.997989000000004</v>
      </c>
      <c r="H12" s="254">
        <v>40.504422000000005</v>
      </c>
      <c r="I12" s="254">
        <v>41.283656000000001</v>
      </c>
      <c r="J12" s="254">
        <v>42.425680999999997</v>
      </c>
      <c r="K12" s="254">
        <v>44.071343999999996</v>
      </c>
      <c r="L12" s="254">
        <v>46.14705</v>
      </c>
      <c r="M12" s="254">
        <v>48.08791500000001</v>
      </c>
      <c r="N12" s="254">
        <v>49.337769000000002</v>
      </c>
      <c r="O12" s="254">
        <v>48.739730999999999</v>
      </c>
      <c r="P12" s="254">
        <v>49.527355999999997</v>
      </c>
      <c r="Q12" s="254">
        <v>51.795454661084818</v>
      </c>
      <c r="R12" s="254">
        <v>52.160466216306375</v>
      </c>
      <c r="S12" s="254">
        <v>52.708377340767001</v>
      </c>
      <c r="T12" s="254">
        <v>53.495833368812967</v>
      </c>
      <c r="U12" s="291">
        <v>54.196808545399819</v>
      </c>
    </row>
    <row r="13" spans="1:21" x14ac:dyDescent="0.25">
      <c r="A13" s="276"/>
      <c r="B13" s="292" t="s">
        <v>399</v>
      </c>
      <c r="C13" s="293">
        <v>6.996343968929275</v>
      </c>
      <c r="D13" s="294">
        <v>-0.22792513466821651</v>
      </c>
      <c r="E13" s="294">
        <v>0.81784436672007743</v>
      </c>
      <c r="F13" s="294">
        <v>-1.9561643206469803</v>
      </c>
      <c r="G13" s="294">
        <v>0.44516294842082971</v>
      </c>
      <c r="H13" s="294">
        <v>-1.203881000114404</v>
      </c>
      <c r="I13" s="294">
        <v>1.9238245147653155</v>
      </c>
      <c r="J13" s="294">
        <v>2.7662884314315406</v>
      </c>
      <c r="K13" s="294">
        <v>3.8789312539261322</v>
      </c>
      <c r="L13" s="294">
        <v>4.7098767852416845</v>
      </c>
      <c r="M13" s="294">
        <v>4.2058268079974814</v>
      </c>
      <c r="N13" s="294">
        <v>2.5991020820927524</v>
      </c>
      <c r="O13" s="294">
        <v>-1.2121302039417303</v>
      </c>
      <c r="P13" s="294">
        <v>1.6159814259130822</v>
      </c>
      <c r="Q13" s="294">
        <v>4.5794866600284978</v>
      </c>
      <c r="R13" s="294">
        <v>0.70471734944688169</v>
      </c>
      <c r="S13" s="294">
        <v>1.0504337177288159</v>
      </c>
      <c r="T13" s="294">
        <v>1.4939864738293007</v>
      </c>
      <c r="U13" s="295">
        <v>1.3103360251520257</v>
      </c>
    </row>
    <row r="14" spans="1:21" x14ac:dyDescent="0.25">
      <c r="A14" s="276"/>
      <c r="B14" s="248" t="s">
        <v>401</v>
      </c>
      <c r="C14" s="253">
        <v>0.65828600000000004</v>
      </c>
      <c r="D14" s="254">
        <v>0.67871599999999987</v>
      </c>
      <c r="E14" s="254">
        <v>0.68976000000000004</v>
      </c>
      <c r="F14" s="254">
        <v>0.69187500000000013</v>
      </c>
      <c r="G14" s="254">
        <v>0.67547999999999997</v>
      </c>
      <c r="H14" s="254">
        <v>0.67717800000000006</v>
      </c>
      <c r="I14" s="254">
        <v>0.67212400000000005</v>
      </c>
      <c r="J14" s="254">
        <v>0.69064800000000004</v>
      </c>
      <c r="K14" s="254">
        <v>0.72752399999999995</v>
      </c>
      <c r="L14" s="254">
        <v>0.72264699999999993</v>
      </c>
      <c r="M14" s="254">
        <v>0.6948430000000001</v>
      </c>
      <c r="N14" s="254">
        <v>0.75982899999999998</v>
      </c>
      <c r="O14" s="254">
        <v>0.74525300000000005</v>
      </c>
      <c r="P14" s="254">
        <v>0.775729</v>
      </c>
      <c r="Q14" s="254">
        <v>0.77105894002641007</v>
      </c>
      <c r="R14" s="254">
        <v>0.75838170694264384</v>
      </c>
      <c r="S14" s="254">
        <v>0.76634800410145665</v>
      </c>
      <c r="T14" s="254">
        <v>0.77779713962519292</v>
      </c>
      <c r="U14" s="291">
        <v>0.787988895748304</v>
      </c>
    </row>
    <row r="15" spans="1:21" x14ac:dyDescent="0.25">
      <c r="A15" s="276"/>
      <c r="B15" s="292" t="s">
        <v>399</v>
      </c>
      <c r="C15" s="293">
        <v>8.2381454266232446</v>
      </c>
      <c r="D15" s="294">
        <v>3.1035142779885616</v>
      </c>
      <c r="E15" s="294">
        <v>1.6271901649585585</v>
      </c>
      <c r="F15" s="294">
        <v>0.30662839248436491</v>
      </c>
      <c r="G15" s="294">
        <v>-2.369647696476973</v>
      </c>
      <c r="H15" s="294">
        <v>0.25137679872091478</v>
      </c>
      <c r="I15" s="294">
        <v>-0.74633257430101185</v>
      </c>
      <c r="J15" s="294">
        <v>2.7560390642202837</v>
      </c>
      <c r="K15" s="294">
        <v>5.339333495499865</v>
      </c>
      <c r="L15" s="294">
        <v>-0.67035589203930934</v>
      </c>
      <c r="M15" s="294">
        <v>-3.8475216807099311</v>
      </c>
      <c r="N15" s="294">
        <v>9.3526163464264336</v>
      </c>
      <c r="O15" s="294">
        <v>-1.9183263602731593</v>
      </c>
      <c r="P15" s="294">
        <v>4.0893495229136878</v>
      </c>
      <c r="Q15" s="294">
        <v>-0.60202209451883926</v>
      </c>
      <c r="R15" s="294">
        <v>-1.6441328186055371</v>
      </c>
      <c r="S15" s="294">
        <v>1.0504337177288159</v>
      </c>
      <c r="T15" s="294">
        <v>1.4939864738292563</v>
      </c>
      <c r="U15" s="295">
        <v>1.3103360251520479</v>
      </c>
    </row>
    <row r="16" spans="1:21" x14ac:dyDescent="0.25">
      <c r="A16" s="276"/>
      <c r="B16" s="248" t="s">
        <v>402</v>
      </c>
      <c r="C16" s="253">
        <v>12.939945999999999</v>
      </c>
      <c r="D16" s="254">
        <v>13.714922999999999</v>
      </c>
      <c r="E16" s="254">
        <v>14.005614000000001</v>
      </c>
      <c r="F16" s="254">
        <v>13.676168000000002</v>
      </c>
      <c r="G16" s="254">
        <v>13.401536</v>
      </c>
      <c r="H16" s="254">
        <v>13.600327000000002</v>
      </c>
      <c r="I16" s="254">
        <v>14.11434</v>
      </c>
      <c r="J16" s="254">
        <v>14.862878</v>
      </c>
      <c r="K16" s="254">
        <v>15.149528999999999</v>
      </c>
      <c r="L16" s="254">
        <v>15.309517</v>
      </c>
      <c r="M16" s="254">
        <v>15.385</v>
      </c>
      <c r="N16" s="254">
        <v>16.084538000000002</v>
      </c>
      <c r="O16" s="254">
        <v>15.980699000000001</v>
      </c>
      <c r="P16" s="254">
        <v>16.644722000000002</v>
      </c>
      <c r="Q16" s="254">
        <v>16.233260401876301</v>
      </c>
      <c r="R16" s="254">
        <v>16.614445630822978</v>
      </c>
      <c r="S16" s="254">
        <v>16.847879000123722</v>
      </c>
      <c r="T16" s="254">
        <v>16.938502896281832</v>
      </c>
      <c r="U16" s="291">
        <v>17.101985652143551</v>
      </c>
    </row>
    <row r="17" spans="1:25" x14ac:dyDescent="0.25">
      <c r="A17" s="276"/>
      <c r="B17" s="292" t="s">
        <v>399</v>
      </c>
      <c r="C17" s="293">
        <v>6.2742038661468325</v>
      </c>
      <c r="D17" s="294">
        <v>5.9890280840430021</v>
      </c>
      <c r="E17" s="294">
        <v>2.1195233833978033</v>
      </c>
      <c r="F17" s="294">
        <v>-2.3522424650572304</v>
      </c>
      <c r="G17" s="294">
        <v>-2.0081063642973795</v>
      </c>
      <c r="H17" s="294">
        <v>1.4833448941972138</v>
      </c>
      <c r="I17" s="294">
        <v>3.7794164802066765</v>
      </c>
      <c r="J17" s="294">
        <v>5.3033864849507673</v>
      </c>
      <c r="K17" s="294">
        <v>1.9286372397055107</v>
      </c>
      <c r="L17" s="294">
        <v>1.0560592345808306</v>
      </c>
      <c r="M17" s="294">
        <v>0.49304625351669351</v>
      </c>
      <c r="N17" s="294">
        <v>4.5468833279167953</v>
      </c>
      <c r="O17" s="294">
        <v>-0.64558273293270352</v>
      </c>
      <c r="P17" s="294">
        <v>4.1551561668234926</v>
      </c>
      <c r="Q17" s="294">
        <v>-2.4720244539001679</v>
      </c>
      <c r="R17" s="294">
        <v>2.3481741776446796</v>
      </c>
      <c r="S17" s="294">
        <v>1.4050024568239561</v>
      </c>
      <c r="T17" s="294">
        <v>0.53789498462948337</v>
      </c>
      <c r="U17" s="295">
        <v>0.96515469438331891</v>
      </c>
    </row>
    <row r="18" spans="1:25" x14ac:dyDescent="0.25">
      <c r="A18" s="276"/>
      <c r="B18" s="248" t="s">
        <v>403</v>
      </c>
      <c r="C18" s="253">
        <v>16.751147</v>
      </c>
      <c r="D18" s="254">
        <v>13.445321</v>
      </c>
      <c r="E18" s="254">
        <v>14.595858</v>
      </c>
      <c r="F18" s="254">
        <v>16.653268000000004</v>
      </c>
      <c r="G18" s="254">
        <v>14.993024000000002</v>
      </c>
      <c r="H18" s="254">
        <v>15.174053000000001</v>
      </c>
      <c r="I18" s="254">
        <v>15.627580000000002</v>
      </c>
      <c r="J18" s="254">
        <v>18.971017</v>
      </c>
      <c r="K18" s="254">
        <v>17.223419000000003</v>
      </c>
      <c r="L18" s="254">
        <v>17.723839000000002</v>
      </c>
      <c r="M18" s="254">
        <v>18.218177999999998</v>
      </c>
      <c r="N18" s="254">
        <v>19.446652999999998</v>
      </c>
      <c r="O18" s="254">
        <v>17.341493999999997</v>
      </c>
      <c r="P18" s="254">
        <v>17.378867</v>
      </c>
      <c r="Q18" s="254">
        <v>18.528896394679084</v>
      </c>
      <c r="R18" s="254">
        <v>21.233206283835884</v>
      </c>
      <c r="S18" s="254">
        <v>21.485625775971958</v>
      </c>
      <c r="T18" s="254">
        <v>21.768380842464662</v>
      </c>
      <c r="U18" s="291">
        <v>21.057877501530367</v>
      </c>
    </row>
    <row r="19" spans="1:25" x14ac:dyDescent="0.25">
      <c r="A19" s="276"/>
      <c r="B19" s="292" t="s">
        <v>399</v>
      </c>
      <c r="C19" s="293">
        <v>3.6906516124339817</v>
      </c>
      <c r="D19" s="294">
        <v>-19.734923226451308</v>
      </c>
      <c r="E19" s="294">
        <v>8.5571553107582901</v>
      </c>
      <c r="F19" s="294">
        <v>14.095848287918411</v>
      </c>
      <c r="G19" s="294">
        <v>-9.9694786632870009</v>
      </c>
      <c r="H19" s="294">
        <v>1.2074215315069026</v>
      </c>
      <c r="I19" s="294">
        <v>2.9888323179047882</v>
      </c>
      <c r="J19" s="294">
        <v>21.394464146080196</v>
      </c>
      <c r="K19" s="294">
        <v>-9.2119362920817451</v>
      </c>
      <c r="L19" s="294">
        <v>2.9054626145946783</v>
      </c>
      <c r="M19" s="294">
        <v>2.7891192196002335</v>
      </c>
      <c r="N19" s="294">
        <v>6.7431276607353263</v>
      </c>
      <c r="O19" s="294">
        <v>-10.825302431220429</v>
      </c>
      <c r="P19" s="294">
        <v>0.2155119968325625</v>
      </c>
      <c r="Q19" s="294">
        <v>6.6174014374992707</v>
      </c>
      <c r="R19" s="294">
        <v>14.595094233099569</v>
      </c>
      <c r="S19" s="294">
        <v>1.1887959301192907</v>
      </c>
      <c r="T19" s="294">
        <v>1.3160196935428248</v>
      </c>
      <c r="U19" s="295">
        <v>-3.2639236977528574</v>
      </c>
    </row>
    <row r="20" spans="1:25" x14ac:dyDescent="0.25">
      <c r="A20" s="276"/>
      <c r="B20" s="248" t="s">
        <v>404</v>
      </c>
      <c r="C20" s="253">
        <v>52.837835000000005</v>
      </c>
      <c r="D20" s="254">
        <v>44.189901000000006</v>
      </c>
      <c r="E20" s="254">
        <v>51.850507000000007</v>
      </c>
      <c r="F20" s="254">
        <v>57.362293000000008</v>
      </c>
      <c r="G20" s="254">
        <v>62.607472999999999</v>
      </c>
      <c r="H20" s="254">
        <v>66.37036599999999</v>
      </c>
      <c r="I20" s="254">
        <v>68.823053000000002</v>
      </c>
      <c r="J20" s="254">
        <v>73.395839999999993</v>
      </c>
      <c r="K20" s="254">
        <v>77.088296999999997</v>
      </c>
      <c r="L20" s="254">
        <v>79.927084000000008</v>
      </c>
      <c r="M20" s="254">
        <v>84.020714999999996</v>
      </c>
      <c r="N20" s="254">
        <v>84.683228999999997</v>
      </c>
      <c r="O20" s="254">
        <v>79.304683000000011</v>
      </c>
      <c r="P20" s="254">
        <v>87.730975999999998</v>
      </c>
      <c r="Q20" s="254">
        <v>87.963141834985635</v>
      </c>
      <c r="R20" s="254">
        <v>89.142785305401333</v>
      </c>
      <c r="S20" s="254">
        <v>95.3309454920213</v>
      </c>
      <c r="T20" s="254">
        <v>101.58114746994708</v>
      </c>
      <c r="U20" s="291">
        <v>107.02643362572411</v>
      </c>
    </row>
    <row r="21" spans="1:25" x14ac:dyDescent="0.25">
      <c r="A21" s="276"/>
      <c r="B21" s="292" t="s">
        <v>399</v>
      </c>
      <c r="C21" s="293">
        <v>3.0103031290096505</v>
      </c>
      <c r="D21" s="294">
        <v>-16.366934792086006</v>
      </c>
      <c r="E21" s="294">
        <v>17.335648703987804</v>
      </c>
      <c r="F21" s="294">
        <v>10.630148708092669</v>
      </c>
      <c r="G21" s="294">
        <v>9.1439510620678899</v>
      </c>
      <c r="H21" s="294">
        <v>6.0102936912978411</v>
      </c>
      <c r="I21" s="294">
        <v>3.6954549866426989</v>
      </c>
      <c r="J21" s="294">
        <v>6.6442664204390933</v>
      </c>
      <c r="K21" s="294">
        <v>5.0308804967692966</v>
      </c>
      <c r="L21" s="294">
        <v>3.682513572715207</v>
      </c>
      <c r="M21" s="294">
        <v>5.1217069297811335</v>
      </c>
      <c r="N21" s="294">
        <v>0.78851268999555746</v>
      </c>
      <c r="O21" s="294">
        <v>-6.3513709426455511</v>
      </c>
      <c r="P21" s="294">
        <v>10.6252149069179</v>
      </c>
      <c r="Q21" s="294">
        <v>0.26463382213557374</v>
      </c>
      <c r="R21" s="294">
        <v>1.3410656393204379</v>
      </c>
      <c r="S21" s="294">
        <v>6.9418519574180326</v>
      </c>
      <c r="T21" s="294">
        <v>6.5563201389300163</v>
      </c>
      <c r="U21" s="295">
        <v>5.3605282982140068</v>
      </c>
    </row>
    <row r="22" spans="1:25" x14ac:dyDescent="0.25">
      <c r="A22" s="276"/>
      <c r="B22" s="248" t="s">
        <v>405</v>
      </c>
      <c r="C22" s="253">
        <v>56.908987000000003</v>
      </c>
      <c r="D22" s="254">
        <v>46.148643999999997</v>
      </c>
      <c r="E22" s="254">
        <v>53.802208000000007</v>
      </c>
      <c r="F22" s="254">
        <v>57.999735000000001</v>
      </c>
      <c r="G22" s="254">
        <v>59.214770999999999</v>
      </c>
      <c r="H22" s="254">
        <v>62.575908000000005</v>
      </c>
      <c r="I22" s="254">
        <v>65.409880999999999</v>
      </c>
      <c r="J22" s="254">
        <v>70.981709000000009</v>
      </c>
      <c r="K22" s="254">
        <v>74.407977000000002</v>
      </c>
      <c r="L22" s="254">
        <v>77.442313999999996</v>
      </c>
      <c r="M22" s="254">
        <v>81.136448999999999</v>
      </c>
      <c r="N22" s="254">
        <v>82.905795000000012</v>
      </c>
      <c r="O22" s="254">
        <v>76.142502000000007</v>
      </c>
      <c r="P22" s="254">
        <v>85.34744400000001</v>
      </c>
      <c r="Q22" s="254">
        <v>86.296911762075524</v>
      </c>
      <c r="R22" s="254">
        <v>89.898223966652921</v>
      </c>
      <c r="S22" s="254">
        <v>95.464163999964541</v>
      </c>
      <c r="T22" s="254">
        <v>100.40321927308044</v>
      </c>
      <c r="U22" s="291">
        <v>104.17998213631127</v>
      </c>
      <c r="Y22" s="296"/>
    </row>
    <row r="23" spans="1:25" x14ac:dyDescent="0.25">
      <c r="A23" s="276"/>
      <c r="B23" s="292" t="s">
        <v>399</v>
      </c>
      <c r="C23" s="293">
        <v>4.108036099843404</v>
      </c>
      <c r="D23" s="294">
        <v>-18.907985482152412</v>
      </c>
      <c r="E23" s="294">
        <v>16.58459130456793</v>
      </c>
      <c r="F23" s="294">
        <v>7.8017746037486013</v>
      </c>
      <c r="G23" s="294">
        <v>2.0948992266947464</v>
      </c>
      <c r="H23" s="294">
        <v>5.6761800193401157</v>
      </c>
      <c r="I23" s="294">
        <v>4.5288563771219925</v>
      </c>
      <c r="J23" s="294">
        <v>8.518327682021031</v>
      </c>
      <c r="K23" s="294">
        <v>4.8269731009153327</v>
      </c>
      <c r="L23" s="294">
        <v>4.077972715210354</v>
      </c>
      <c r="M23" s="294">
        <v>4.7701764180238637</v>
      </c>
      <c r="N23" s="294">
        <v>2.1807042603010807</v>
      </c>
      <c r="O23" s="294">
        <v>-8.1578048916845951</v>
      </c>
      <c r="P23" s="294">
        <v>12.089098411817357</v>
      </c>
      <c r="Q23" s="294">
        <v>1.1124735757470638</v>
      </c>
      <c r="R23" s="294">
        <v>4.1731646371151454</v>
      </c>
      <c r="S23" s="294">
        <v>6.1913793039740872</v>
      </c>
      <c r="T23" s="294">
        <v>5.1737270470600061</v>
      </c>
      <c r="U23" s="295">
        <v>3.7615953856605433</v>
      </c>
    </row>
    <row r="24" spans="1:25" x14ac:dyDescent="0.25">
      <c r="A24" s="297"/>
      <c r="B24" s="298"/>
      <c r="C24" s="299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300"/>
      <c r="T24" s="300"/>
      <c r="U24" s="301"/>
    </row>
    <row r="25" spans="1:25" x14ac:dyDescent="0.25">
      <c r="A25" s="276"/>
      <c r="B25" s="302"/>
      <c r="C25" s="303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6"/>
    </row>
    <row r="26" spans="1:25" x14ac:dyDescent="0.25">
      <c r="A26" s="276"/>
      <c r="B26" s="288" t="s">
        <v>406</v>
      </c>
      <c r="C26" s="231"/>
      <c r="D26" s="233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U26" s="307"/>
    </row>
    <row r="27" spans="1:25" x14ac:dyDescent="0.25">
      <c r="A27" s="276"/>
      <c r="B27" s="290"/>
      <c r="C27" s="231"/>
      <c r="D27" s="233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U27" s="307"/>
    </row>
    <row r="28" spans="1:25" x14ac:dyDescent="0.25">
      <c r="A28" s="276"/>
      <c r="B28" s="248" t="s">
        <v>398</v>
      </c>
      <c r="C28" s="253">
        <v>68.590534000000005</v>
      </c>
      <c r="D28" s="254">
        <v>64.095518999999996</v>
      </c>
      <c r="E28" s="254">
        <v>68.764947000000006</v>
      </c>
      <c r="F28" s="254">
        <v>71.785845999999992</v>
      </c>
      <c r="G28" s="254">
        <v>73.649256999999992</v>
      </c>
      <c r="H28" s="254">
        <v>74.492792999999992</v>
      </c>
      <c r="I28" s="254">
        <v>76.354523999999998</v>
      </c>
      <c r="J28" s="254">
        <v>80.126047999999997</v>
      </c>
      <c r="K28" s="254">
        <v>81.265197000000001</v>
      </c>
      <c r="L28" s="254">
        <v>84.669877000000014</v>
      </c>
      <c r="M28" s="254">
        <v>89.874692999999994</v>
      </c>
      <c r="N28" s="254">
        <v>94.437482999999986</v>
      </c>
      <c r="O28" s="254">
        <v>93.413755999999992</v>
      </c>
      <c r="P28" s="254">
        <v>98.522981000000001</v>
      </c>
      <c r="Q28" s="254">
        <v>107.76781858233329</v>
      </c>
      <c r="R28" s="254">
        <v>117.61524271983367</v>
      </c>
      <c r="S28" s="254">
        <v>126.21583670795715</v>
      </c>
      <c r="T28" s="254">
        <v>134.86950334327</v>
      </c>
      <c r="U28" s="291">
        <v>140.89632245943292</v>
      </c>
    </row>
    <row r="29" spans="1:25" x14ac:dyDescent="0.25">
      <c r="A29" s="276"/>
      <c r="B29" s="292" t="s">
        <v>399</v>
      </c>
      <c r="C29" s="293">
        <v>8.5922957350331952</v>
      </c>
      <c r="D29" s="294">
        <v>-6.5534042933679482</v>
      </c>
      <c r="E29" s="294">
        <v>7.2851083396329175</v>
      </c>
      <c r="F29" s="294">
        <v>4.3930798056166509</v>
      </c>
      <c r="G29" s="294">
        <v>2.5957916550847671</v>
      </c>
      <c r="H29" s="294">
        <v>1.1453421722910084</v>
      </c>
      <c r="I29" s="294">
        <v>2.4992095544061677</v>
      </c>
      <c r="J29" s="294">
        <v>4.9394898984636226</v>
      </c>
      <c r="K29" s="294">
        <v>1.421696225427227</v>
      </c>
      <c r="L29" s="294">
        <v>4.1895917633719693</v>
      </c>
      <c r="M29" s="294">
        <v>6.1471873875522443</v>
      </c>
      <c r="N29" s="294">
        <v>5.0768351442379789</v>
      </c>
      <c r="O29" s="294">
        <v>-1.0840261382231042</v>
      </c>
      <c r="P29" s="294">
        <v>5.4694567682301631</v>
      </c>
      <c r="Q29" s="294">
        <v>9.3834326656572422</v>
      </c>
      <c r="R29" s="294">
        <v>9.1376296440268678</v>
      </c>
      <c r="S29" s="294">
        <v>7.312482454855429</v>
      </c>
      <c r="T29" s="294">
        <v>6.8562447162126006</v>
      </c>
      <c r="U29" s="295">
        <v>4.4686300214389352</v>
      </c>
    </row>
    <row r="30" spans="1:25" x14ac:dyDescent="0.25">
      <c r="A30" s="276"/>
      <c r="B30" s="248" t="s">
        <v>400</v>
      </c>
      <c r="C30" s="253">
        <v>37.666879000000002</v>
      </c>
      <c r="D30" s="254">
        <v>37.599816999999994</v>
      </c>
      <c r="E30" s="254">
        <v>38.295244999999994</v>
      </c>
      <c r="F30" s="254">
        <v>39.015353000000005</v>
      </c>
      <c r="G30" s="254">
        <v>40.545577999999999</v>
      </c>
      <c r="H30" s="254">
        <v>40.593966000000002</v>
      </c>
      <c r="I30" s="254">
        <v>41.335594</v>
      </c>
      <c r="J30" s="254">
        <v>42.425681000000004</v>
      </c>
      <c r="K30" s="254">
        <v>43.921543000000007</v>
      </c>
      <c r="L30" s="254">
        <v>46.625399999999999</v>
      </c>
      <c r="M30" s="254">
        <v>49.698645000000006</v>
      </c>
      <c r="N30" s="254">
        <v>52.362904</v>
      </c>
      <c r="O30" s="254">
        <v>52.814715000000007</v>
      </c>
      <c r="P30" s="254">
        <v>55.411131999999995</v>
      </c>
      <c r="Q30" s="254">
        <v>65.599080521813647</v>
      </c>
      <c r="R30" s="254">
        <v>72.398439268871755</v>
      </c>
      <c r="S30" s="254">
        <v>77.011490570299671</v>
      </c>
      <c r="T30" s="254">
        <v>81.541235939679325</v>
      </c>
      <c r="U30" s="291">
        <v>84.495697012662632</v>
      </c>
    </row>
    <row r="31" spans="1:25" x14ac:dyDescent="0.25">
      <c r="A31" s="276"/>
      <c r="B31" s="292" t="s">
        <v>399</v>
      </c>
      <c r="C31" s="293">
        <v>11.800179221602658</v>
      </c>
      <c r="D31" s="294">
        <v>-0.1780397043248616</v>
      </c>
      <c r="E31" s="294">
        <v>1.8495515549982633</v>
      </c>
      <c r="F31" s="294">
        <v>1.8804110014180919</v>
      </c>
      <c r="G31" s="294">
        <v>3.9221098422459466</v>
      </c>
      <c r="H31" s="294">
        <v>0.11934223751848272</v>
      </c>
      <c r="I31" s="294">
        <v>1.8269414720404331</v>
      </c>
      <c r="J31" s="294">
        <v>2.6371630222611797</v>
      </c>
      <c r="K31" s="294">
        <v>3.5258408698259913</v>
      </c>
      <c r="L31" s="294">
        <v>6.1561065830496808</v>
      </c>
      <c r="M31" s="294">
        <v>6.5913536398615413</v>
      </c>
      <c r="N31" s="294">
        <v>5.3608282479331137</v>
      </c>
      <c r="O31" s="294">
        <v>0.86284557479852086</v>
      </c>
      <c r="P31" s="294">
        <v>4.9160863596442672</v>
      </c>
      <c r="Q31" s="294">
        <v>18.386104297262239</v>
      </c>
      <c r="R31" s="294">
        <v>10.365021419465027</v>
      </c>
      <c r="S31" s="294">
        <v>6.3717551759590707</v>
      </c>
      <c r="T31" s="294">
        <v>5.8819084474734051</v>
      </c>
      <c r="U31" s="295">
        <v>3.6232723712563031</v>
      </c>
    </row>
    <row r="32" spans="1:25" x14ac:dyDescent="0.25">
      <c r="A32" s="276"/>
      <c r="B32" s="248" t="s">
        <v>401</v>
      </c>
      <c r="C32" s="253">
        <v>0.625587</v>
      </c>
      <c r="D32" s="254">
        <v>0.64738300000000004</v>
      </c>
      <c r="E32" s="254">
        <v>0.65737000000000001</v>
      </c>
      <c r="F32" s="254">
        <v>0.66988000000000014</v>
      </c>
      <c r="G32" s="254">
        <v>0.66457300000000008</v>
      </c>
      <c r="H32" s="254">
        <v>0.67239700000000002</v>
      </c>
      <c r="I32" s="254">
        <v>0.66843800000000009</v>
      </c>
      <c r="J32" s="254">
        <v>0.69064800000000015</v>
      </c>
      <c r="K32" s="254">
        <v>0.73486899999999999</v>
      </c>
      <c r="L32" s="254">
        <v>0.75113399999999997</v>
      </c>
      <c r="M32" s="254">
        <v>0.74919399999999992</v>
      </c>
      <c r="N32" s="254">
        <v>0.86131500000000005</v>
      </c>
      <c r="O32" s="254">
        <v>0.89771200000000007</v>
      </c>
      <c r="P32" s="254">
        <v>0.96741900000000014</v>
      </c>
      <c r="Q32" s="254">
        <v>1.0835131931906872</v>
      </c>
      <c r="R32" s="254">
        <v>1.0899761291908052</v>
      </c>
      <c r="S32" s="254">
        <v>1.159426739619239</v>
      </c>
      <c r="T32" s="254">
        <v>1.227623158959168</v>
      </c>
      <c r="U32" s="291">
        <v>1.272103289700879</v>
      </c>
    </row>
    <row r="33" spans="1:21" x14ac:dyDescent="0.25">
      <c r="A33" s="276"/>
      <c r="B33" s="292" t="s">
        <v>399</v>
      </c>
      <c r="C33" s="293">
        <v>12.560388211861184</v>
      </c>
      <c r="D33" s="294">
        <v>3.4840877447900986</v>
      </c>
      <c r="E33" s="294">
        <v>1.5426725755850912</v>
      </c>
      <c r="F33" s="294">
        <v>1.9030378629995459</v>
      </c>
      <c r="G33" s="294">
        <v>-0.79223144443780757</v>
      </c>
      <c r="H33" s="294">
        <v>1.1772973021774824</v>
      </c>
      <c r="I33" s="294">
        <v>-0.58878906360378958</v>
      </c>
      <c r="J33" s="294">
        <v>3.3226716613956819</v>
      </c>
      <c r="K33" s="294">
        <v>6.4028274895460369</v>
      </c>
      <c r="L33" s="294">
        <v>2.2133196528905108</v>
      </c>
      <c r="M33" s="294">
        <v>-0.25827615312314922</v>
      </c>
      <c r="N33" s="294">
        <v>14.965549644017461</v>
      </c>
      <c r="O33" s="294">
        <v>4.2257478390600456</v>
      </c>
      <c r="P33" s="294">
        <v>7.7649624823997065</v>
      </c>
      <c r="Q33" s="294">
        <v>12.000404498018646</v>
      </c>
      <c r="R33" s="294">
        <v>0.59647967747271657</v>
      </c>
      <c r="S33" s="294">
        <v>6.3717551759590929</v>
      </c>
      <c r="T33" s="294">
        <v>5.8819084474733607</v>
      </c>
      <c r="U33" s="295">
        <v>3.6232723712562809</v>
      </c>
    </row>
    <row r="34" spans="1:21" x14ac:dyDescent="0.25">
      <c r="A34" s="276"/>
      <c r="B34" s="248" t="s">
        <v>402</v>
      </c>
      <c r="C34" s="253">
        <v>12.026101000000001</v>
      </c>
      <c r="D34" s="254">
        <v>12.814836000000001</v>
      </c>
      <c r="E34" s="254">
        <v>13.199986999999998</v>
      </c>
      <c r="F34" s="254">
        <v>13.148378000000001</v>
      </c>
      <c r="G34" s="254">
        <v>13.125932000000001</v>
      </c>
      <c r="H34" s="254">
        <v>13.465238000000001</v>
      </c>
      <c r="I34" s="254">
        <v>14.017179000000002</v>
      </c>
      <c r="J34" s="254">
        <v>14.862878</v>
      </c>
      <c r="K34" s="254">
        <v>15.343073</v>
      </c>
      <c r="L34" s="254">
        <v>16.000112000000001</v>
      </c>
      <c r="M34" s="254">
        <v>16.760659</v>
      </c>
      <c r="N34" s="254">
        <v>18.495442999999998</v>
      </c>
      <c r="O34" s="254">
        <v>19.571959</v>
      </c>
      <c r="P34" s="254">
        <v>21.177198000000004</v>
      </c>
      <c r="Q34" s="254">
        <v>22.737038767671489</v>
      </c>
      <c r="R34" s="254">
        <v>25.413300507410138</v>
      </c>
      <c r="S34" s="254">
        <v>27.497397457737105</v>
      </c>
      <c r="T34" s="254">
        <v>29.197160077163733</v>
      </c>
      <c r="U34" s="291">
        <v>30.754676671994144</v>
      </c>
    </row>
    <row r="35" spans="1:21" x14ac:dyDescent="0.25">
      <c r="A35" s="276"/>
      <c r="B35" s="292" t="s">
        <v>399</v>
      </c>
      <c r="C35" s="293">
        <v>11.067087522364915</v>
      </c>
      <c r="D35" s="294">
        <v>6.5585263253651327</v>
      </c>
      <c r="E35" s="294">
        <v>3.0055086151707044</v>
      </c>
      <c r="F35" s="294">
        <v>-0.3909776577810109</v>
      </c>
      <c r="G35" s="294">
        <v>-0.17071307198499586</v>
      </c>
      <c r="H35" s="294">
        <v>2.5850050114536671</v>
      </c>
      <c r="I35" s="294">
        <v>4.0990066421403126</v>
      </c>
      <c r="J35" s="294">
        <v>6.0333038480852474</v>
      </c>
      <c r="K35" s="294">
        <v>3.2308345664951332</v>
      </c>
      <c r="L35" s="294">
        <v>4.2823168474789952</v>
      </c>
      <c r="M35" s="294">
        <v>4.7533854763016636</v>
      </c>
      <c r="N35" s="294">
        <v>10.350332883689116</v>
      </c>
      <c r="O35" s="294">
        <v>5.820439121139187</v>
      </c>
      <c r="P35" s="294">
        <v>8.2017288100797892</v>
      </c>
      <c r="Q35" s="294">
        <v>7.3656617257461754</v>
      </c>
      <c r="R35" s="294">
        <v>11.7704938056572</v>
      </c>
      <c r="S35" s="294">
        <v>8.2008118139526012</v>
      </c>
      <c r="T35" s="294">
        <v>6.1815399876993027</v>
      </c>
      <c r="U35" s="295">
        <v>5.3344797600661353</v>
      </c>
    </row>
    <row r="36" spans="1:21" x14ac:dyDescent="0.25">
      <c r="A36" s="276"/>
      <c r="B36" s="248" t="s">
        <v>403</v>
      </c>
      <c r="C36" s="253">
        <v>16.976618999999999</v>
      </c>
      <c r="D36" s="254">
        <v>13.332713</v>
      </c>
      <c r="E36" s="254">
        <v>14.452515</v>
      </c>
      <c r="F36" s="254">
        <v>16.636611000000002</v>
      </c>
      <c r="G36" s="254">
        <v>15.001258999999999</v>
      </c>
      <c r="H36" s="254">
        <v>15.244318</v>
      </c>
      <c r="I36" s="254">
        <v>15.635483999999998</v>
      </c>
      <c r="J36" s="254">
        <v>18.971017</v>
      </c>
      <c r="K36" s="254">
        <v>17.091296999999997</v>
      </c>
      <c r="L36" s="254">
        <v>17.86936</v>
      </c>
      <c r="M36" s="254">
        <v>18.787341999999999</v>
      </c>
      <c r="N36" s="254">
        <v>20.296420000000001</v>
      </c>
      <c r="O36" s="254">
        <v>18.225428999999995</v>
      </c>
      <c r="P36" s="254">
        <v>18.664424</v>
      </c>
      <c r="Q36" s="254">
        <v>21.942910223455918</v>
      </c>
      <c r="R36" s="254">
        <v>27.026791880796118</v>
      </c>
      <c r="S36" s="254">
        <v>28.600153598349287</v>
      </c>
      <c r="T36" s="254">
        <v>30.151935566370771</v>
      </c>
      <c r="U36" s="291">
        <v>29.813084970439441</v>
      </c>
    </row>
    <row r="37" spans="1:21" x14ac:dyDescent="0.25">
      <c r="A37" s="276"/>
      <c r="B37" s="292" t="s">
        <v>399</v>
      </c>
      <c r="C37" s="293">
        <v>5.7024175744533112</v>
      </c>
      <c r="D37" s="294">
        <v>-21.464262112497188</v>
      </c>
      <c r="E37" s="294">
        <v>8.3989057590904359</v>
      </c>
      <c r="F37" s="294">
        <v>15.112220952547029</v>
      </c>
      <c r="G37" s="294">
        <v>-9.8298385410345972</v>
      </c>
      <c r="H37" s="294">
        <v>1.6202573397339437</v>
      </c>
      <c r="I37" s="294">
        <v>2.5659790093594204</v>
      </c>
      <c r="J37" s="294">
        <v>21.333097203770613</v>
      </c>
      <c r="K37" s="294">
        <v>-9.9083776056918875</v>
      </c>
      <c r="L37" s="294">
        <v>4.5523929518046735</v>
      </c>
      <c r="M37" s="294">
        <v>5.1371845438225039</v>
      </c>
      <c r="N37" s="294">
        <v>8.0324188488185335</v>
      </c>
      <c r="O37" s="294">
        <v>-10.203725583132417</v>
      </c>
      <c r="P37" s="294">
        <v>2.4086950161776866</v>
      </c>
      <c r="Q37" s="294">
        <v>17.565429415105015</v>
      </c>
      <c r="R37" s="294">
        <v>23.168675465416499</v>
      </c>
      <c r="S37" s="294">
        <v>5.8214890042910472</v>
      </c>
      <c r="T37" s="294">
        <v>5.425781937447538</v>
      </c>
      <c r="U37" s="295">
        <v>-1.1238104273121996</v>
      </c>
    </row>
    <row r="38" spans="1:21" x14ac:dyDescent="0.25">
      <c r="A38" s="276"/>
      <c r="B38" s="248" t="s">
        <v>404</v>
      </c>
      <c r="C38" s="253">
        <v>54.973938000000011</v>
      </c>
      <c r="D38" s="254">
        <v>43.608103</v>
      </c>
      <c r="E38" s="254">
        <v>52.647456000000005</v>
      </c>
      <c r="F38" s="254">
        <v>60.542949</v>
      </c>
      <c r="G38" s="254">
        <v>66.896657000000005</v>
      </c>
      <c r="H38" s="254">
        <v>69.607559999999992</v>
      </c>
      <c r="I38" s="254">
        <v>69.788095999999996</v>
      </c>
      <c r="J38" s="254">
        <v>73.395839999999993</v>
      </c>
      <c r="K38" s="254">
        <v>75.955366000000012</v>
      </c>
      <c r="L38" s="254">
        <v>80.499315999999993</v>
      </c>
      <c r="M38" s="254">
        <v>86.132177000000013</v>
      </c>
      <c r="N38" s="254">
        <v>86.789104999999992</v>
      </c>
      <c r="O38" s="254">
        <v>79.470880000000008</v>
      </c>
      <c r="P38" s="254">
        <v>92.415876999999995</v>
      </c>
      <c r="Q38" s="254">
        <v>107.57252460147011</v>
      </c>
      <c r="R38" s="254">
        <v>115.04837619952205</v>
      </c>
      <c r="S38" s="254">
        <v>127.48993929944621</v>
      </c>
      <c r="T38" s="254">
        <v>140.38945675823891</v>
      </c>
      <c r="U38" s="291">
        <v>151.57781632568268</v>
      </c>
    </row>
    <row r="39" spans="1:21" x14ac:dyDescent="0.25">
      <c r="A39" s="276"/>
      <c r="B39" s="292" t="s">
        <v>399</v>
      </c>
      <c r="C39" s="293">
        <v>4.3819248824107149</v>
      </c>
      <c r="D39" s="294">
        <v>-20.674951465183376</v>
      </c>
      <c r="E39" s="294">
        <v>20.728608625786826</v>
      </c>
      <c r="F39" s="294">
        <v>14.996912671335894</v>
      </c>
      <c r="G39" s="294">
        <v>10.494546606905475</v>
      </c>
      <c r="H39" s="294">
        <v>4.0523743959283154</v>
      </c>
      <c r="I39" s="294">
        <v>0.25936263244967783</v>
      </c>
      <c r="J39" s="294">
        <v>5.1695693202462589</v>
      </c>
      <c r="K39" s="294">
        <v>3.4872902878419376</v>
      </c>
      <c r="L39" s="294">
        <v>5.9823949765444917</v>
      </c>
      <c r="M39" s="294">
        <v>6.99740231333148</v>
      </c>
      <c r="N39" s="294">
        <v>0.76269754565705394</v>
      </c>
      <c r="O39" s="294">
        <v>-8.432193188303982</v>
      </c>
      <c r="P39" s="294">
        <v>16.288981574131277</v>
      </c>
      <c r="Q39" s="294">
        <v>16.400480191807421</v>
      </c>
      <c r="R39" s="294">
        <v>6.9495920317461657</v>
      </c>
      <c r="S39" s="294">
        <v>10.814201391549783</v>
      </c>
      <c r="T39" s="294">
        <v>10.118066986050177</v>
      </c>
      <c r="U39" s="295">
        <v>7.9695155361352965</v>
      </c>
    </row>
    <row r="40" spans="1:21" x14ac:dyDescent="0.25">
      <c r="A40" s="276"/>
      <c r="B40" s="248" t="s">
        <v>405</v>
      </c>
      <c r="C40" s="253">
        <v>56.191327999999999</v>
      </c>
      <c r="D40" s="254">
        <v>43.716074999999996</v>
      </c>
      <c r="E40" s="254">
        <v>52.875141000000006</v>
      </c>
      <c r="F40" s="254">
        <v>60.053091000000002</v>
      </c>
      <c r="G40" s="254">
        <v>62.848645000000005</v>
      </c>
      <c r="H40" s="254">
        <v>65.485629000000003</v>
      </c>
      <c r="I40" s="254">
        <v>66.148533</v>
      </c>
      <c r="J40" s="254">
        <v>70.981709000000009</v>
      </c>
      <c r="K40" s="254">
        <v>73.599776000000006</v>
      </c>
      <c r="L40" s="254">
        <v>78.730103999999997</v>
      </c>
      <c r="M40" s="254">
        <v>84.453611999999993</v>
      </c>
      <c r="N40" s="254">
        <v>86.483247000000006</v>
      </c>
      <c r="O40" s="254">
        <v>77.943927000000002</v>
      </c>
      <c r="P40" s="254">
        <v>92.637353999999988</v>
      </c>
      <c r="Q40" s="254">
        <v>113.78853764102155</v>
      </c>
      <c r="R40" s="254">
        <v>125.84700557552584</v>
      </c>
      <c r="S40" s="254">
        <v>138.08273169162297</v>
      </c>
      <c r="T40" s="254">
        <v>150.25923132383448</v>
      </c>
      <c r="U40" s="291">
        <v>159.69795054063388</v>
      </c>
    </row>
    <row r="41" spans="1:21" x14ac:dyDescent="0.25">
      <c r="A41" s="276"/>
      <c r="B41" s="292" t="s">
        <v>399</v>
      </c>
      <c r="C41" s="293">
        <v>7.2493298459070266</v>
      </c>
      <c r="D41" s="294">
        <v>-22.201384882734942</v>
      </c>
      <c r="E41" s="294">
        <v>20.951254201114832</v>
      </c>
      <c r="F41" s="294">
        <v>13.575282948181645</v>
      </c>
      <c r="G41" s="294">
        <v>4.6551375681894713</v>
      </c>
      <c r="H41" s="294">
        <v>4.1957690575508799</v>
      </c>
      <c r="I41" s="294">
        <v>1.0122892764762081</v>
      </c>
      <c r="J41" s="294">
        <v>7.3065505473870473</v>
      </c>
      <c r="K41" s="294">
        <v>3.6883685063147986</v>
      </c>
      <c r="L41" s="294">
        <v>6.9705755626212396</v>
      </c>
      <c r="M41" s="294">
        <v>7.269783360123605</v>
      </c>
      <c r="N41" s="294">
        <v>2.4032542267108825</v>
      </c>
      <c r="O41" s="294">
        <v>-9.8739585945472275</v>
      </c>
      <c r="P41" s="294">
        <v>18.851278817399077</v>
      </c>
      <c r="Q41" s="294">
        <v>22.832240697442163</v>
      </c>
      <c r="R41" s="294">
        <v>10.597260659545672</v>
      </c>
      <c r="S41" s="294">
        <v>9.7226994477464643</v>
      </c>
      <c r="T41" s="294">
        <v>8.8182638647423595</v>
      </c>
      <c r="U41" s="295">
        <v>6.2816235206589965</v>
      </c>
    </row>
    <row r="42" spans="1:21" x14ac:dyDescent="0.25">
      <c r="A42" s="297"/>
      <c r="B42" s="298"/>
      <c r="C42" s="299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300"/>
      <c r="T42" s="300"/>
      <c r="U42" s="301"/>
    </row>
    <row r="43" spans="1:21" x14ac:dyDescent="0.25">
      <c r="A43" s="272"/>
      <c r="B43" s="302"/>
      <c r="C43" s="303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8"/>
      <c r="T43" s="308"/>
      <c r="U43" s="306"/>
    </row>
    <row r="44" spans="1:21" x14ac:dyDescent="0.25">
      <c r="A44" s="276"/>
      <c r="B44" s="309" t="s">
        <v>407</v>
      </c>
      <c r="C44" s="310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2"/>
      <c r="T44" s="312"/>
      <c r="U44" s="295"/>
    </row>
    <row r="45" spans="1:21" x14ac:dyDescent="0.25">
      <c r="A45" s="276"/>
      <c r="B45" s="313"/>
      <c r="C45" s="310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2"/>
      <c r="T45" s="312"/>
      <c r="U45" s="295"/>
    </row>
    <row r="46" spans="1:21" x14ac:dyDescent="0.25">
      <c r="A46" s="276"/>
      <c r="B46" s="309" t="s">
        <v>408</v>
      </c>
      <c r="C46" s="249">
        <v>6.8673261391923353</v>
      </c>
      <c r="D46" s="250">
        <v>-7.6310979983230958</v>
      </c>
      <c r="E46" s="250">
        <v>6.25291961810799</v>
      </c>
      <c r="F46" s="250">
        <v>0.42525123492057693</v>
      </c>
      <c r="G46" s="250">
        <v>-4.5942011617027463</v>
      </c>
      <c r="H46" s="250">
        <v>1.5691434558883433E-2</v>
      </c>
      <c r="I46" s="250">
        <v>3.2376934363807974</v>
      </c>
      <c r="J46" s="250">
        <v>6.4932984673302938</v>
      </c>
      <c r="K46" s="250">
        <v>1.6117380455354435</v>
      </c>
      <c r="L46" s="250">
        <v>3.1821321814195502</v>
      </c>
      <c r="M46" s="250">
        <v>3.5866169876851388</v>
      </c>
      <c r="N46" s="250">
        <v>3.7569771803764009</v>
      </c>
      <c r="O46" s="250">
        <v>-5.0785158187737389</v>
      </c>
      <c r="P46" s="250">
        <v>4.0330458256896833</v>
      </c>
      <c r="Q46" s="250">
        <v>2.7520246791159177</v>
      </c>
      <c r="R46" s="250">
        <v>3.7807316654871101</v>
      </c>
      <c r="S46" s="254">
        <v>1.0497489488236464</v>
      </c>
      <c r="T46" s="254">
        <v>1.2509640893138905</v>
      </c>
      <c r="U46" s="291">
        <v>0.17070788083722341</v>
      </c>
    </row>
    <row r="47" spans="1:21" x14ac:dyDescent="0.25">
      <c r="A47" s="276"/>
      <c r="B47" s="248" t="s">
        <v>409</v>
      </c>
      <c r="C47" s="249">
        <v>4.1432928229211177</v>
      </c>
      <c r="D47" s="250">
        <v>-0.10385175460290845</v>
      </c>
      <c r="E47" s="250">
        <v>0.52554556483525261</v>
      </c>
      <c r="F47" s="250">
        <v>-1.1453354805836609</v>
      </c>
      <c r="G47" s="250">
        <v>0.22684455766567871</v>
      </c>
      <c r="H47" s="250">
        <v>-0.66726034945263912</v>
      </c>
      <c r="I47" s="250">
        <v>1.043752015818793</v>
      </c>
      <c r="J47" s="250">
        <v>1.5232458169636154</v>
      </c>
      <c r="K47" s="250">
        <v>2.0998652023871243</v>
      </c>
      <c r="L47" s="250">
        <v>2.5345436594607063</v>
      </c>
      <c r="M47" s="250">
        <v>2.2732059901207067</v>
      </c>
      <c r="N47" s="250">
        <v>1.5053660821791925</v>
      </c>
      <c r="O47" s="250">
        <v>-0.68353570608759473</v>
      </c>
      <c r="P47" s="250">
        <v>0.94646617046018033</v>
      </c>
      <c r="Q47" s="250">
        <v>2.5300857259364586</v>
      </c>
      <c r="R47" s="250">
        <v>0.38576807945839858</v>
      </c>
      <c r="S47" s="254">
        <v>0.60448198673448539</v>
      </c>
      <c r="T47" s="254">
        <v>0.85376161532812644</v>
      </c>
      <c r="U47" s="291">
        <v>0.74034892995428148</v>
      </c>
    </row>
    <row r="48" spans="1:21" x14ac:dyDescent="0.25">
      <c r="A48" s="276"/>
      <c r="B48" s="248" t="s">
        <v>410</v>
      </c>
      <c r="C48" s="249">
        <v>1.1482493506267075</v>
      </c>
      <c r="D48" s="250">
        <v>1.1033191844227535</v>
      </c>
      <c r="E48" s="250">
        <v>0.43773152340075333</v>
      </c>
      <c r="F48" s="250">
        <v>-0.46486662067566126</v>
      </c>
      <c r="G48" s="250">
        <v>-0.37743794301873584</v>
      </c>
      <c r="H48" s="250">
        <v>0.26965041211922558</v>
      </c>
      <c r="I48" s="250">
        <v>0.69284992646271348</v>
      </c>
      <c r="J48" s="250">
        <v>0.98247241377857564</v>
      </c>
      <c r="K48" s="250">
        <v>0.35775007897556366</v>
      </c>
      <c r="L48" s="250">
        <v>0.19586292039145944</v>
      </c>
      <c r="M48" s="250">
        <v>8.9771390683277594E-2</v>
      </c>
      <c r="N48" s="250">
        <v>0.79972355190078859</v>
      </c>
      <c r="O48" s="250">
        <v>-0.11579285836431083</v>
      </c>
      <c r="P48" s="250">
        <v>0.76632582736260513</v>
      </c>
      <c r="Q48" s="250">
        <v>-0.4609588113556774</v>
      </c>
      <c r="R48" s="250">
        <v>0.41980459615354787</v>
      </c>
      <c r="S48" s="254">
        <v>0.25387139513323598</v>
      </c>
      <c r="T48" s="254">
        <v>9.685691422871627E-2</v>
      </c>
      <c r="U48" s="291">
        <v>0.17020932525226212</v>
      </c>
    </row>
    <row r="49" spans="1:21" x14ac:dyDescent="0.25">
      <c r="A49" s="276"/>
      <c r="B49" s="248" t="s">
        <v>411</v>
      </c>
      <c r="C49" s="249">
        <v>0.89615055014203393</v>
      </c>
      <c r="D49" s="250">
        <v>-4.7064380570823907</v>
      </c>
      <c r="E49" s="250">
        <v>1.7325142977901904</v>
      </c>
      <c r="F49" s="250">
        <v>2.9031198862463476</v>
      </c>
      <c r="G49" s="250">
        <v>-2.2817409488668319</v>
      </c>
      <c r="H49" s="250">
        <v>0.24555711503805835</v>
      </c>
      <c r="I49" s="250">
        <v>0.61131945806595733</v>
      </c>
      <c r="J49" s="250">
        <v>4.3883338183319962</v>
      </c>
      <c r="K49" s="250">
        <v>-2.1810610202564815</v>
      </c>
      <c r="L49" s="250">
        <v>0.61263171376786418</v>
      </c>
      <c r="M49" s="250">
        <v>0.58791382826571081</v>
      </c>
      <c r="N49" s="250">
        <v>1.4044131847323797</v>
      </c>
      <c r="O49" s="250">
        <v>-2.347503133903007</v>
      </c>
      <c r="P49" s="250">
        <v>4.3130878216601359E-2</v>
      </c>
      <c r="Q49" s="250">
        <v>1.2883734113043168</v>
      </c>
      <c r="R49" s="250">
        <v>2.9782941065912159</v>
      </c>
      <c r="S49" s="254">
        <v>0.27451982901745542</v>
      </c>
      <c r="T49" s="254">
        <v>0.30220266821498354</v>
      </c>
      <c r="U49" s="291">
        <v>-0.73973731120728781</v>
      </c>
    </row>
    <row r="50" spans="1:21" x14ac:dyDescent="0.25">
      <c r="A50" s="276"/>
      <c r="B50" s="248" t="s">
        <v>412</v>
      </c>
      <c r="C50" s="249">
        <v>0.67963341550248679</v>
      </c>
      <c r="D50" s="250">
        <v>-3.924127371060584</v>
      </c>
      <c r="E50" s="250">
        <v>3.5571282320818076</v>
      </c>
      <c r="F50" s="250">
        <v>-0.86766655006644022</v>
      </c>
      <c r="G50" s="250">
        <v>-2.1618668274828554</v>
      </c>
      <c r="H50" s="250">
        <v>0.16774425685424288</v>
      </c>
      <c r="I50" s="250">
        <v>0.88977203603332278</v>
      </c>
      <c r="J50" s="250">
        <v>-0.40075358174391212</v>
      </c>
      <c r="K50" s="250">
        <v>1.3351837844292527</v>
      </c>
      <c r="L50" s="250">
        <v>-0.1609061122004839</v>
      </c>
      <c r="M50" s="250">
        <v>0.63572577861544766</v>
      </c>
      <c r="N50" s="250">
        <v>4.7474361564037025E-2</v>
      </c>
      <c r="O50" s="250">
        <v>-1.9316841204188189</v>
      </c>
      <c r="P50" s="250">
        <v>2.2771229496502827</v>
      </c>
      <c r="Q50" s="250">
        <v>-0.60547564676916088</v>
      </c>
      <c r="R50" s="250">
        <v>-3.1351167160433898E-3</v>
      </c>
      <c r="S50" s="254">
        <v>-8.3124262061542747E-2</v>
      </c>
      <c r="T50" s="254">
        <v>-1.8571084579492121E-3</v>
      </c>
      <c r="U50" s="291">
        <v>-1.1306316201936706E-4</v>
      </c>
    </row>
    <row r="51" spans="1:21" x14ac:dyDescent="0.25">
      <c r="A51" s="276"/>
      <c r="B51" s="314"/>
      <c r="C51" s="249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4"/>
      <c r="T51" s="254"/>
      <c r="U51" s="291"/>
    </row>
    <row r="52" spans="1:21" x14ac:dyDescent="0.25">
      <c r="A52" s="276"/>
      <c r="B52" s="309" t="s">
        <v>413</v>
      </c>
      <c r="C52" s="249">
        <v>-1.0543809691220449</v>
      </c>
      <c r="D52" s="250">
        <v>3.0073942517613905</v>
      </c>
      <c r="E52" s="250">
        <v>1.0604062003251034E-2</v>
      </c>
      <c r="F52" s="250">
        <v>1.8544925117396325</v>
      </c>
      <c r="G52" s="250">
        <v>5.5387910419371797</v>
      </c>
      <c r="H52" s="250">
        <v>0.54496265410089417</v>
      </c>
      <c r="I52" s="250">
        <v>-0.51394415522809767</v>
      </c>
      <c r="J52" s="250">
        <v>-1.3112630524218662</v>
      </c>
      <c r="K52" s="250">
        <v>0.33221281548790627</v>
      </c>
      <c r="L52" s="250">
        <v>-0.2393991679535262</v>
      </c>
      <c r="M52" s="250">
        <v>0.47511772839455479</v>
      </c>
      <c r="N52" s="250">
        <v>-1.2653488708225271</v>
      </c>
      <c r="O52" s="250">
        <v>1.5441579102399283</v>
      </c>
      <c r="P52" s="250">
        <v>-0.89861170343506946</v>
      </c>
      <c r="Q52" s="250">
        <v>-0.80359052996018721</v>
      </c>
      <c r="R52" s="250">
        <v>-2.6670174701460612</v>
      </c>
      <c r="S52" s="254">
        <v>0.67669801825501175</v>
      </c>
      <c r="T52" s="254">
        <v>1.4013260223051094</v>
      </c>
      <c r="U52" s="291">
        <v>1.7371754121406298</v>
      </c>
    </row>
    <row r="53" spans="1:21" x14ac:dyDescent="0.25">
      <c r="A53" s="276"/>
      <c r="B53" s="309"/>
      <c r="C53" s="299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300"/>
      <c r="T53" s="300"/>
      <c r="U53" s="301"/>
    </row>
    <row r="54" spans="1:21" x14ac:dyDescent="0.25">
      <c r="A54" s="272"/>
      <c r="B54" s="315"/>
      <c r="C54" s="272"/>
      <c r="D54" s="273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7"/>
    </row>
    <row r="55" spans="1:21" x14ac:dyDescent="0.25">
      <c r="A55" s="276"/>
      <c r="B55" s="288" t="s">
        <v>414</v>
      </c>
      <c r="C55" s="276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91"/>
    </row>
    <row r="56" spans="1:21" x14ac:dyDescent="0.25">
      <c r="A56" s="276"/>
      <c r="B56" s="318"/>
      <c r="C56" s="276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91"/>
    </row>
    <row r="57" spans="1:21" x14ac:dyDescent="0.25">
      <c r="A57" s="276"/>
      <c r="B57" s="288" t="s">
        <v>415</v>
      </c>
      <c r="C57" s="253">
        <v>1.9819843672594675</v>
      </c>
      <c r="D57" s="254">
        <v>-21.127940578637048</v>
      </c>
      <c r="E57" s="254">
        <v>8.703050079856478</v>
      </c>
      <c r="F57" s="254">
        <v>13.083427185993374</v>
      </c>
      <c r="G57" s="254">
        <v>-8.2487985146471807</v>
      </c>
      <c r="H57" s="254">
        <v>0.43308898344487862</v>
      </c>
      <c r="I57" s="254">
        <v>-1.2220010764337166</v>
      </c>
      <c r="J57" s="254">
        <v>8.8883991292368361</v>
      </c>
      <c r="K57" s="254">
        <v>2.9589926138623523</v>
      </c>
      <c r="L57" s="254">
        <v>2.6709001247624347</v>
      </c>
      <c r="M57" s="254">
        <v>0.28690086929051156</v>
      </c>
      <c r="N57" s="254">
        <v>6.8435218262470174</v>
      </c>
      <c r="O57" s="254">
        <v>-9.8745271829774559</v>
      </c>
      <c r="P57" s="254">
        <v>1.2962767525114172</v>
      </c>
      <c r="Q57" s="254">
        <v>4.310555359477493</v>
      </c>
      <c r="R57" s="254">
        <v>5.8851536226176915</v>
      </c>
      <c r="S57" s="254">
        <v>0.58018402853168249</v>
      </c>
      <c r="T57" s="254">
        <v>3.1313373955030839</v>
      </c>
      <c r="U57" s="291">
        <v>0.86464306045484718</v>
      </c>
    </row>
    <row r="58" spans="1:21" x14ac:dyDescent="0.25">
      <c r="A58" s="276"/>
      <c r="B58" s="319" t="s">
        <v>416</v>
      </c>
      <c r="C58" s="253">
        <v>2.0445891170676238</v>
      </c>
      <c r="D58" s="254">
        <v>-21.196464562961896</v>
      </c>
      <c r="E58" s="254">
        <v>8.6972653898589787</v>
      </c>
      <c r="F58" s="254">
        <v>11.748380221437641</v>
      </c>
      <c r="G58" s="254">
        <v>-8.5306857198592692</v>
      </c>
      <c r="H58" s="254">
        <v>1.6577734638553787</v>
      </c>
      <c r="I58" s="254">
        <v>-0.60446783204248522</v>
      </c>
      <c r="J58" s="254">
        <v>4.1708877527483734</v>
      </c>
      <c r="K58" s="254">
        <v>6.2043569939769023</v>
      </c>
      <c r="L58" s="254">
        <v>-0.70895695645709733</v>
      </c>
      <c r="M58" s="254">
        <v>2.6489368568518628</v>
      </c>
      <c r="N58" s="254">
        <v>7.3462352548629175</v>
      </c>
      <c r="O58" s="254">
        <v>-9.0351723428550823</v>
      </c>
      <c r="P58" s="254">
        <v>1.3378446004919948</v>
      </c>
      <c r="Q58" s="254">
        <v>4.6735995036957565</v>
      </c>
      <c r="R58" s="254">
        <v>2.9774303243477327</v>
      </c>
      <c r="S58" s="254">
        <v>2.3141057469492234</v>
      </c>
      <c r="T58" s="254">
        <v>2.4469515205461851</v>
      </c>
      <c r="U58" s="291">
        <v>1.5859279423172019</v>
      </c>
    </row>
    <row r="59" spans="1:21" x14ac:dyDescent="0.25">
      <c r="A59" s="276"/>
      <c r="B59" s="252" t="s">
        <v>417</v>
      </c>
      <c r="C59" s="253">
        <v>-6.260474980816888E-2</v>
      </c>
      <c r="D59" s="254">
        <v>6.8523984324847756E-2</v>
      </c>
      <c r="E59" s="254">
        <v>5.7846899975162406E-3</v>
      </c>
      <c r="F59" s="254">
        <v>-0.21488779758272653</v>
      </c>
      <c r="G59" s="254">
        <v>-0.48420503167767648</v>
      </c>
      <c r="H59" s="254">
        <v>-1.1951806258787989</v>
      </c>
      <c r="I59" s="254">
        <v>-2.1034212960610938E-2</v>
      </c>
      <c r="J59" s="254">
        <v>3.6672468515017846</v>
      </c>
      <c r="K59" s="254">
        <v>-3.8947226035952096</v>
      </c>
      <c r="L59" s="254">
        <v>0.21641911275374526</v>
      </c>
      <c r="M59" s="254">
        <v>0.86119458419840411</v>
      </c>
      <c r="N59" s="254">
        <v>0.29917955129291024</v>
      </c>
      <c r="O59" s="254">
        <v>-0.2486949832887714</v>
      </c>
      <c r="P59" s="254">
        <v>-0.51252114681754002</v>
      </c>
      <c r="Q59" s="254">
        <v>2.250349440370342E-2</v>
      </c>
      <c r="R59" s="254">
        <v>1.4324940614481902</v>
      </c>
      <c r="S59" s="254">
        <v>-1.5650030983734804</v>
      </c>
      <c r="T59" s="254">
        <v>0.1196029954919241</v>
      </c>
      <c r="U59" s="291">
        <v>0.12846003621011323</v>
      </c>
    </row>
    <row r="60" spans="1:21" x14ac:dyDescent="0.25">
      <c r="A60" s="276"/>
      <c r="B60" s="252" t="s">
        <v>418</v>
      </c>
      <c r="C60" s="253">
        <v>0</v>
      </c>
      <c r="D60" s="254">
        <v>0</v>
      </c>
      <c r="E60" s="254">
        <v>0</v>
      </c>
      <c r="F60" s="254">
        <v>0</v>
      </c>
      <c r="G60" s="254">
        <v>0</v>
      </c>
      <c r="H60" s="254">
        <v>0</v>
      </c>
      <c r="I60" s="254">
        <v>0</v>
      </c>
      <c r="J60" s="254">
        <v>0</v>
      </c>
      <c r="K60" s="254">
        <v>0</v>
      </c>
      <c r="L60" s="254">
        <v>0</v>
      </c>
      <c r="M60" s="254">
        <v>0</v>
      </c>
      <c r="N60" s="254">
        <v>0</v>
      </c>
      <c r="O60" s="254">
        <v>0</v>
      </c>
      <c r="P60" s="254">
        <v>3.5669581470968016E-3</v>
      </c>
      <c r="Q60" s="254">
        <v>8.8093924517937114E-2</v>
      </c>
      <c r="R60" s="254">
        <v>2.441194295079105</v>
      </c>
      <c r="S60" s="254">
        <v>8.3918007681635159E-4</v>
      </c>
      <c r="T60" s="254">
        <v>-0.50519519367144461</v>
      </c>
      <c r="U60" s="291">
        <v>-1.0552797185867109</v>
      </c>
    </row>
    <row r="61" spans="1:21" x14ac:dyDescent="0.25">
      <c r="A61" s="276"/>
      <c r="B61" s="319" t="s">
        <v>419</v>
      </c>
      <c r="C61" s="253">
        <v>0</v>
      </c>
      <c r="D61" s="254">
        <v>0</v>
      </c>
      <c r="E61" s="254">
        <v>0</v>
      </c>
      <c r="F61" s="254">
        <v>1.5499347621384532</v>
      </c>
      <c r="G61" s="254">
        <v>0.76609223688976402</v>
      </c>
      <c r="H61" s="254">
        <v>-2.9503854531701006E-2</v>
      </c>
      <c r="I61" s="254">
        <v>-0.59649903143062322</v>
      </c>
      <c r="J61" s="254">
        <v>1.0502645249866751</v>
      </c>
      <c r="K61" s="254">
        <v>0.64935822348065786</v>
      </c>
      <c r="L61" s="254">
        <v>-1.0462199695509722</v>
      </c>
      <c r="M61" s="254">
        <v>-1.0747018134829935</v>
      </c>
      <c r="N61" s="254">
        <v>-0.61630678641989134</v>
      </c>
      <c r="O61" s="254">
        <v>-6.0965393066974086E-2</v>
      </c>
      <c r="P61" s="254">
        <v>0.24064400105836756</v>
      </c>
      <c r="Q61" s="254">
        <v>0.43599218374246879</v>
      </c>
      <c r="R61" s="254">
        <v>-0.48745059080187259</v>
      </c>
      <c r="S61" s="254">
        <v>-0.3700032191799093</v>
      </c>
      <c r="T61" s="254">
        <v>0</v>
      </c>
      <c r="U61" s="291">
        <v>0</v>
      </c>
    </row>
    <row r="62" spans="1:21" x14ac:dyDescent="0.25">
      <c r="A62" s="276"/>
      <c r="B62" s="319" t="s">
        <v>420</v>
      </c>
      <c r="C62" s="253">
        <v>0</v>
      </c>
      <c r="D62" s="254">
        <v>0</v>
      </c>
      <c r="E62" s="254">
        <v>0</v>
      </c>
      <c r="F62" s="254">
        <v>0</v>
      </c>
      <c r="G62" s="254">
        <v>0</v>
      </c>
      <c r="H62" s="254">
        <v>0</v>
      </c>
      <c r="I62" s="254">
        <v>0</v>
      </c>
      <c r="J62" s="254">
        <v>0</v>
      </c>
      <c r="K62" s="254">
        <v>0</v>
      </c>
      <c r="L62" s="254">
        <v>0</v>
      </c>
      <c r="M62" s="254">
        <v>0</v>
      </c>
      <c r="N62" s="254">
        <v>0</v>
      </c>
      <c r="O62" s="254">
        <v>0</v>
      </c>
      <c r="P62" s="254">
        <v>0</v>
      </c>
      <c r="Q62" s="254">
        <v>0</v>
      </c>
      <c r="R62" s="254">
        <v>0</v>
      </c>
      <c r="S62" s="254">
        <v>0.20024541905903592</v>
      </c>
      <c r="T62" s="254">
        <v>1.0699780731364112</v>
      </c>
      <c r="U62" s="291">
        <v>0.20553480051425985</v>
      </c>
    </row>
    <row r="63" spans="1:21" x14ac:dyDescent="0.25">
      <c r="A63" s="276"/>
      <c r="B63" s="319"/>
      <c r="C63" s="253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91"/>
    </row>
    <row r="64" spans="1:21" x14ac:dyDescent="0.25">
      <c r="A64" s="276"/>
      <c r="B64" s="288" t="s">
        <v>421</v>
      </c>
      <c r="C64" s="253">
        <v>1.7086672451815494</v>
      </c>
      <c r="D64" s="254">
        <v>1.3930173521775131</v>
      </c>
      <c r="E64" s="254">
        <v>-0.1458947690903597</v>
      </c>
      <c r="F64" s="254">
        <v>1.0124211019243259</v>
      </c>
      <c r="G64" s="254">
        <v>-1.7206801486407135</v>
      </c>
      <c r="H64" s="254">
        <v>0.77433254807195595</v>
      </c>
      <c r="I64" s="254">
        <v>4.2108333943319787</v>
      </c>
      <c r="J64" s="254">
        <v>12.506065016856343</v>
      </c>
      <c r="K64" s="254">
        <v>-12.170928905949394</v>
      </c>
      <c r="L64" s="254">
        <v>0.23456248983494377</v>
      </c>
      <c r="M64" s="254">
        <v>2.5022183503151885</v>
      </c>
      <c r="N64" s="254">
        <v>-0.10039416551117794</v>
      </c>
      <c r="O64" s="254">
        <v>-0.95077524824090509</v>
      </c>
      <c r="P64" s="254">
        <v>-1.0807647556767328</v>
      </c>
      <c r="Q64" s="254">
        <v>2.3068460780234994</v>
      </c>
      <c r="R64" s="254">
        <v>8.7099406104816488</v>
      </c>
      <c r="S64" s="254">
        <v>0.60861190158761902</v>
      </c>
      <c r="T64" s="254">
        <v>-1.8153177019602607</v>
      </c>
      <c r="U64" s="291">
        <v>-4.1285667582077235</v>
      </c>
    </row>
    <row r="65" spans="1:21" x14ac:dyDescent="0.25">
      <c r="A65" s="276"/>
      <c r="B65" s="252" t="s">
        <v>416</v>
      </c>
      <c r="C65" s="253">
        <v>1.8102827885371</v>
      </c>
      <c r="D65" s="254">
        <v>1.2817941315529966</v>
      </c>
      <c r="E65" s="254">
        <v>-0.15528406333787514</v>
      </c>
      <c r="F65" s="254">
        <v>1.5846731594169055</v>
      </c>
      <c r="G65" s="254">
        <v>-1.4830730679281325</v>
      </c>
      <c r="H65" s="254">
        <v>1.5738199564627544E-2</v>
      </c>
      <c r="I65" s="254">
        <v>4.3504004342334284</v>
      </c>
      <c r="J65" s="254">
        <v>5.0268698147278137</v>
      </c>
      <c r="K65" s="254">
        <v>-3.136110778114122</v>
      </c>
      <c r="L65" s="254">
        <v>-0.57495771757329273</v>
      </c>
      <c r="M65" s="254">
        <v>0.89695911428663899</v>
      </c>
      <c r="N65" s="254">
        <v>0.58903542648368357</v>
      </c>
      <c r="O65" s="254">
        <v>-0.94258133463486926</v>
      </c>
      <c r="P65" s="254">
        <v>-0.97686313723653362</v>
      </c>
      <c r="Q65" s="254">
        <v>1.8480926056424041</v>
      </c>
      <c r="R65" s="254">
        <v>1.7215854007225644</v>
      </c>
      <c r="S65" s="254">
        <v>1.0765452555650366</v>
      </c>
      <c r="T65" s="254">
        <v>0.15541811855133084</v>
      </c>
      <c r="U65" s="291">
        <v>0.45351038473931354</v>
      </c>
    </row>
    <row r="66" spans="1:21" x14ac:dyDescent="0.25">
      <c r="A66" s="276"/>
      <c r="B66" s="252" t="s">
        <v>417</v>
      </c>
      <c r="C66" s="253">
        <v>-0.10161554335555199</v>
      </c>
      <c r="D66" s="254">
        <v>0.11122322062451838</v>
      </c>
      <c r="E66" s="254">
        <v>9.3892942475162916E-3</v>
      </c>
      <c r="F66" s="254">
        <v>-0.57225205749258179</v>
      </c>
      <c r="G66" s="254">
        <v>-0.23760708071257952</v>
      </c>
      <c r="H66" s="254">
        <v>0.75859434850732987</v>
      </c>
      <c r="I66" s="254">
        <v>-0.139567039901452</v>
      </c>
      <c r="J66" s="254">
        <v>7.4791952021285297</v>
      </c>
      <c r="K66" s="254">
        <v>-9.0348181278352726</v>
      </c>
      <c r="L66" s="254">
        <v>0.80952020740823882</v>
      </c>
      <c r="M66" s="254">
        <v>1.6052592360285507</v>
      </c>
      <c r="N66" s="254">
        <v>-0.68942959199486342</v>
      </c>
      <c r="O66" s="254">
        <v>-8.1939136060363918E-3</v>
      </c>
      <c r="P66" s="254">
        <v>-0.10390161844019857</v>
      </c>
      <c r="Q66" s="254">
        <v>0.40064335247175126</v>
      </c>
      <c r="R66" s="254">
        <v>2.517190102190511</v>
      </c>
      <c r="S66" s="254">
        <v>-3.2625044172917388</v>
      </c>
      <c r="T66" s="254">
        <v>-3.495058057818428E-2</v>
      </c>
      <c r="U66" s="291">
        <v>-0.40244357906483208</v>
      </c>
    </row>
    <row r="67" spans="1:21" x14ac:dyDescent="0.25">
      <c r="A67" s="276"/>
      <c r="B67" s="252" t="s">
        <v>418</v>
      </c>
      <c r="C67" s="253">
        <v>0</v>
      </c>
      <c r="D67" s="254">
        <v>0</v>
      </c>
      <c r="E67" s="254">
        <v>0</v>
      </c>
      <c r="F67" s="254">
        <v>0</v>
      </c>
      <c r="G67" s="254">
        <v>0</v>
      </c>
      <c r="H67" s="254">
        <v>0</v>
      </c>
      <c r="I67" s="254">
        <v>0</v>
      </c>
      <c r="J67" s="254">
        <v>0</v>
      </c>
      <c r="K67" s="254">
        <v>0</v>
      </c>
      <c r="L67" s="254">
        <v>0</v>
      </c>
      <c r="M67" s="254">
        <v>0</v>
      </c>
      <c r="N67" s="254">
        <v>0</v>
      </c>
      <c r="O67" s="254">
        <v>0</v>
      </c>
      <c r="P67" s="254">
        <v>0</v>
      </c>
      <c r="Q67" s="254">
        <v>5.8110119909342998E-2</v>
      </c>
      <c r="R67" s="254">
        <v>4.4711651075685719</v>
      </c>
      <c r="S67" s="254">
        <v>2.7945710633143213</v>
      </c>
      <c r="T67" s="254">
        <v>-1.9357852399334086</v>
      </c>
      <c r="U67" s="291">
        <v>-4.1796335638822066</v>
      </c>
    </row>
    <row r="68" spans="1:21" x14ac:dyDescent="0.25">
      <c r="A68" s="297"/>
      <c r="B68" s="320"/>
      <c r="C68" s="297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2"/>
      <c r="T68" s="322"/>
      <c r="U68" s="323"/>
    </row>
    <row r="70" spans="1:21" x14ac:dyDescent="0.25">
      <c r="O70" s="296"/>
      <c r="P70" s="296"/>
      <c r="Q70" s="296"/>
      <c r="R70" s="296"/>
      <c r="S70" s="324"/>
      <c r="T70" s="324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2:AG60"/>
  <sheetViews>
    <sheetView zoomScaleNormal="100" workbookViewId="0">
      <selection activeCell="D20" sqref="D20:AG20"/>
    </sheetView>
  </sheetViews>
  <sheetFormatPr defaultColWidth="9.140625" defaultRowHeight="11.25" x14ac:dyDescent="0.2"/>
  <cols>
    <col min="1" max="1" width="2.7109375" style="2" customWidth="1"/>
    <col min="2" max="2" width="44.7109375" style="2" customWidth="1"/>
    <col min="3" max="3" width="13.7109375" style="2" customWidth="1"/>
    <col min="4" max="33" width="12.42578125" style="2" customWidth="1"/>
    <col min="34" max="34" width="5" style="2" bestFit="1" customWidth="1"/>
    <col min="35" max="16384" width="9.140625" style="2"/>
  </cols>
  <sheetData>
    <row r="2" spans="2:33" x14ac:dyDescent="0.2">
      <c r="B2" s="10" t="s">
        <v>21</v>
      </c>
      <c r="C2" s="10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/>
      <c r="C3" s="13" t="s">
        <v>9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</row>
    <row r="4" spans="2:33" x14ac:dyDescent="0.2">
      <c r="B4" s="6" t="s">
        <v>37</v>
      </c>
      <c r="C4" s="124" t="s">
        <v>230</v>
      </c>
      <c r="D4" s="7">
        <f>Parametre!C13</f>
        <v>2023</v>
      </c>
      <c r="E4" s="7">
        <f>$D$4+D3</f>
        <v>2024</v>
      </c>
      <c r="F4" s="7">
        <f>$D$4+E3</f>
        <v>2025</v>
      </c>
      <c r="G4" s="7">
        <f t="shared" ref="G4:AG4" si="0">$D$4+F3</f>
        <v>2026</v>
      </c>
      <c r="H4" s="7">
        <f t="shared" si="0"/>
        <v>2027</v>
      </c>
      <c r="I4" s="7">
        <f t="shared" si="0"/>
        <v>2028</v>
      </c>
      <c r="J4" s="7">
        <f t="shared" si="0"/>
        <v>2029</v>
      </c>
      <c r="K4" s="7">
        <f t="shared" si="0"/>
        <v>2030</v>
      </c>
      <c r="L4" s="7">
        <f t="shared" si="0"/>
        <v>2031</v>
      </c>
      <c r="M4" s="7">
        <f t="shared" si="0"/>
        <v>2032</v>
      </c>
      <c r="N4" s="7">
        <f t="shared" si="0"/>
        <v>2033</v>
      </c>
      <c r="O4" s="7">
        <f t="shared" si="0"/>
        <v>2034</v>
      </c>
      <c r="P4" s="7">
        <f t="shared" si="0"/>
        <v>2035</v>
      </c>
      <c r="Q4" s="7">
        <f t="shared" si="0"/>
        <v>2036</v>
      </c>
      <c r="R4" s="7">
        <f t="shared" si="0"/>
        <v>2037</v>
      </c>
      <c r="S4" s="7">
        <f t="shared" si="0"/>
        <v>2038</v>
      </c>
      <c r="T4" s="7">
        <f t="shared" si="0"/>
        <v>2039</v>
      </c>
      <c r="U4" s="7">
        <f t="shared" si="0"/>
        <v>2040</v>
      </c>
      <c r="V4" s="7">
        <f t="shared" si="0"/>
        <v>2041</v>
      </c>
      <c r="W4" s="7">
        <f t="shared" si="0"/>
        <v>2042</v>
      </c>
      <c r="X4" s="7">
        <f t="shared" si="0"/>
        <v>2043</v>
      </c>
      <c r="Y4" s="7">
        <f t="shared" si="0"/>
        <v>2044</v>
      </c>
      <c r="Z4" s="7">
        <f t="shared" si="0"/>
        <v>2045</v>
      </c>
      <c r="AA4" s="7">
        <f t="shared" si="0"/>
        <v>2046</v>
      </c>
      <c r="AB4" s="7">
        <f t="shared" si="0"/>
        <v>2047</v>
      </c>
      <c r="AC4" s="7">
        <f t="shared" si="0"/>
        <v>2048</v>
      </c>
      <c r="AD4" s="7">
        <f t="shared" si="0"/>
        <v>2049</v>
      </c>
      <c r="AE4" s="7">
        <f t="shared" si="0"/>
        <v>2050</v>
      </c>
      <c r="AF4" s="7">
        <f t="shared" si="0"/>
        <v>2051</v>
      </c>
      <c r="AG4" s="7">
        <f t="shared" si="0"/>
        <v>2052</v>
      </c>
    </row>
    <row r="5" spans="2:33" x14ac:dyDescent="0.2">
      <c r="B5" s="3" t="s">
        <v>60</v>
      </c>
      <c r="C5" s="204">
        <f>D5+NPV(Parametre!$C$9,'06 Finančná analýza - nové'!E5:AG5)</f>
        <v>55288735.075802661</v>
      </c>
      <c r="D5" s="183">
        <f>'01 Investičné výdavky - nové'!D9</f>
        <v>0</v>
      </c>
      <c r="E5" s="183">
        <f>'01 Investičné výdavky - nové'!E9</f>
        <v>0</v>
      </c>
      <c r="F5" s="183">
        <f>'01 Investičné výdavky - nové'!F9</f>
        <v>0</v>
      </c>
      <c r="G5" s="183">
        <f>'01 Investičné výdavky - nové'!G9</f>
        <v>42000000</v>
      </c>
      <c r="H5" s="183">
        <f>'01 Investičné výdavky - nové'!H9</f>
        <v>21000000</v>
      </c>
      <c r="I5" s="183">
        <f>'01 Investičné výdavky - nové'!I9</f>
        <v>0</v>
      </c>
      <c r="J5" s="183">
        <f>'01 Investičné výdavky - nové'!J9</f>
        <v>0</v>
      </c>
      <c r="K5" s="183">
        <f>'01 Investičné výdavky - nové'!K9</f>
        <v>0</v>
      </c>
      <c r="L5" s="183">
        <f>'01 Investičné výdavky - nové'!L9</f>
        <v>0</v>
      </c>
      <c r="M5" s="183">
        <f>'01 Investičné výdavky - nové'!M9</f>
        <v>0</v>
      </c>
      <c r="N5" s="183">
        <f>'01 Investičné výdavky - nové'!N9</f>
        <v>0</v>
      </c>
      <c r="O5" s="183">
        <f>'01 Investičné výdavky - nové'!O9</f>
        <v>0</v>
      </c>
      <c r="P5" s="183">
        <f>'01 Investičné výdavky - nové'!P9</f>
        <v>0</v>
      </c>
      <c r="Q5" s="183">
        <f>'01 Investičné výdavky - nové'!Q9</f>
        <v>0</v>
      </c>
      <c r="R5" s="183">
        <f>'01 Investičné výdavky - nové'!R9</f>
        <v>0</v>
      </c>
      <c r="S5" s="183">
        <f>'01 Investičné výdavky - nové'!S9</f>
        <v>0</v>
      </c>
      <c r="T5" s="183">
        <f>'01 Investičné výdavky - nové'!T9</f>
        <v>0</v>
      </c>
      <c r="U5" s="183">
        <f>'01 Investičné výdavky - nové'!U9</f>
        <v>0</v>
      </c>
      <c r="V5" s="183">
        <f>'01 Investičné výdavky - nové'!V9</f>
        <v>0</v>
      </c>
      <c r="W5" s="183">
        <f>'01 Investičné výdavky - nové'!W9</f>
        <v>0</v>
      </c>
      <c r="X5" s="183">
        <f>'01 Investičné výdavky - nové'!X9</f>
        <v>0</v>
      </c>
      <c r="Y5" s="183">
        <f>'01 Investičné výdavky - nové'!Y9</f>
        <v>0</v>
      </c>
      <c r="Z5" s="183">
        <f>'01 Investičné výdavky - nové'!Z9</f>
        <v>0</v>
      </c>
      <c r="AA5" s="183">
        <f>'01 Investičné výdavky - nové'!AA9</f>
        <v>0</v>
      </c>
      <c r="AB5" s="183">
        <f>'01 Investičné výdavky - nové'!AB9</f>
        <v>0</v>
      </c>
      <c r="AC5" s="183">
        <f>'01 Investičné výdavky - nové'!AC9</f>
        <v>0</v>
      </c>
      <c r="AD5" s="183">
        <f>'01 Investičné výdavky - nové'!AD9</f>
        <v>0</v>
      </c>
      <c r="AE5" s="183">
        <f>'01 Investičné výdavky - nové'!AE9</f>
        <v>0</v>
      </c>
      <c r="AF5" s="183">
        <f>'01 Investičné výdavky - nové'!AF9</f>
        <v>0</v>
      </c>
      <c r="AG5" s="183">
        <f>'01 Investičné výdavky - nové'!AG9</f>
        <v>0</v>
      </c>
    </row>
    <row r="6" spans="2:33" x14ac:dyDescent="0.2">
      <c r="B6" s="3" t="s">
        <v>59</v>
      </c>
      <c r="C6" s="204">
        <f>D6+NPV(Parametre!$C$9,'06 Finančná analýza - nové'!E6:AG6)</f>
        <v>-22734220.627280999</v>
      </c>
      <c r="D6" s="183">
        <f>'03 Prevádzkové výdavky - nové'!D32</f>
        <v>0</v>
      </c>
      <c r="E6" s="183">
        <f>'03 Prevádzkové výdavky - nové'!E32</f>
        <v>0</v>
      </c>
      <c r="F6" s="183">
        <f>'03 Prevádzkové výdavky - nové'!F32</f>
        <v>0</v>
      </c>
      <c r="G6" s="183">
        <f>'03 Prevádzkové výdavky - nové'!G32</f>
        <v>-18491576.672217257</v>
      </c>
      <c r="H6" s="183">
        <f>'03 Prevádzkové výdavky - nové'!H32</f>
        <v>-14644014.314874563</v>
      </c>
      <c r="I6" s="183">
        <f>'03 Prevádzkové výdavky - nové'!I32</f>
        <v>-24843495.57926672</v>
      </c>
      <c r="J6" s="183">
        <f>'03 Prevádzkové výdavky - nové'!J32</f>
        <v>-1042965.5253072092</v>
      </c>
      <c r="K6" s="183">
        <f>'03 Prevádzkové výdavky - nové'!K32</f>
        <v>2357576.093960382</v>
      </c>
      <c r="L6" s="183">
        <f>'03 Prevádzkové výdavky - nové'!L32</f>
        <v>2358129.5308808358</v>
      </c>
      <c r="M6" s="183">
        <f>'03 Prevádzkové výdavky - nové'!M32</f>
        <v>2358695.0433048764</v>
      </c>
      <c r="N6" s="183">
        <f>'03 Prevádzkové výdavky - nové'!N32</f>
        <v>2359272.8947092965</v>
      </c>
      <c r="O6" s="183">
        <f>'03 Prevádzkové výdavky - nové'!O32</f>
        <v>2359863.3543197252</v>
      </c>
      <c r="P6" s="183">
        <f>'03 Prevádzkové výdavky - nové'!P32</f>
        <v>2360466.6972360518</v>
      </c>
      <c r="Q6" s="183">
        <f>'03 Prevádzkové výdavky - nové'!Q32</f>
        <v>2361083.2045606058</v>
      </c>
      <c r="R6" s="183">
        <f>'03 Prevádzkové výdavky - nové'!R32</f>
        <v>2361713.1635291232</v>
      </c>
      <c r="S6" s="183">
        <f>'03 Prevádzkové výdavky - nové'!S32</f>
        <v>2362356.8676445577</v>
      </c>
      <c r="T6" s="183">
        <f>'03 Prevádzkové výdavky - nové'!T32</f>
        <v>2363014.6168138459</v>
      </c>
      <c r="U6" s="183">
        <f>'03 Prevádzkové výdavky - nové'!U32</f>
        <v>2363686.7174876304</v>
      </c>
      <c r="V6" s="183">
        <f>'03 Prevádzkové výdavky - nové'!V32</f>
        <v>2904373.4828030318</v>
      </c>
      <c r="W6" s="183">
        <f>'03 Prevádzkové výdavky - nové'!W32</f>
        <v>2455075.232729543</v>
      </c>
      <c r="X6" s="183">
        <f>'03 Prevádzkové výdavky - nové'!X32</f>
        <v>1645792.2942181155</v>
      </c>
      <c r="Y6" s="183">
        <f>'03 Prevádzkové výdavky - nové'!Y32</f>
        <v>2276525.0013534725</v>
      </c>
      <c r="Z6" s="183">
        <f>'03 Prevádzkové výdavky - nové'!Z32</f>
        <v>13287273.695509776</v>
      </c>
      <c r="AA6" s="183">
        <f>'03 Prevádzkové výdavky - nové'!AA32</f>
        <v>2368038.7255096706</v>
      </c>
      <c r="AB6" s="183">
        <f>'03 Prevádzkové výdavky - nové'!AB32</f>
        <v>-2181179.5522132097</v>
      </c>
      <c r="AC6" s="183">
        <f>'03 Prevádzkové výdavky - nové'!AC32</f>
        <v>-4910380.7734481469</v>
      </c>
      <c r="AD6" s="183">
        <f>'03 Prevádzkové výdavky - nové'!AD32</f>
        <v>1460435.4339623228</v>
      </c>
      <c r="AE6" s="183">
        <f>'03 Prevádzkové výdavky - nové'!AE32</f>
        <v>2371269.4502958078</v>
      </c>
      <c r="AF6" s="183">
        <f>'03 Prevádzkové výdavky - nové'!AF32</f>
        <v>2372121.6641272418</v>
      </c>
      <c r="AG6" s="183">
        <f>'03 Prevádzkové výdavky - nové'!AG32</f>
        <v>2372992.4725099178</v>
      </c>
    </row>
    <row r="7" spans="2:33" x14ac:dyDescent="0.2">
      <c r="B7" s="3" t="s">
        <v>220</v>
      </c>
      <c r="C7" s="204">
        <f>D7+NPV(Parametre!$C$9,'06 Finančná analýza - nové'!E7:AG7)</f>
        <v>9949695.0739338789</v>
      </c>
      <c r="D7" s="183">
        <f>'04 Prevádzkové príjmy - nové'!D23</f>
        <v>0</v>
      </c>
      <c r="E7" s="183">
        <f>'04 Prevádzkové príjmy - nové'!E23</f>
        <v>0</v>
      </c>
      <c r="F7" s="183">
        <f>'04 Prevádzkové príjmy - nové'!F23</f>
        <v>0</v>
      </c>
      <c r="G7" s="183">
        <f>'04 Prevádzkové príjmy - nové'!G23</f>
        <v>659156.02791839931</v>
      </c>
      <c r="H7" s="183">
        <f>'04 Prevádzkové príjmy - nové'!H23</f>
        <v>590473.2041639993</v>
      </c>
      <c r="I7" s="183">
        <f>'04 Prevádzkové príjmy - nové'!I23</f>
        <v>602282.66824728018</v>
      </c>
      <c r="J7" s="183">
        <f>'04 Prevádzkové príjmy - nové'!J23</f>
        <v>602282.66824728018</v>
      </c>
      <c r="K7" s="183">
        <f>'04 Prevádzkové príjmy - nové'!K23</f>
        <v>614328.32161222538</v>
      </c>
      <c r="L7" s="183">
        <f>'04 Prevádzkové príjmy - nové'!L23</f>
        <v>614328.32161222538</v>
      </c>
      <c r="M7" s="183">
        <f>'04 Prevádzkové príjmy - nové'!M23</f>
        <v>626614.88804446906</v>
      </c>
      <c r="N7" s="183">
        <f>'04 Prevádzkové príjmy - nové'!N23</f>
        <v>626614.88804446906</v>
      </c>
      <c r="O7" s="183">
        <f>'04 Prevádzkové príjmy - nové'!O23</f>
        <v>639147.18580535799</v>
      </c>
      <c r="P7" s="183">
        <f>'04 Prevádzkové príjmy - nové'!P23</f>
        <v>639147.18580535799</v>
      </c>
      <c r="Q7" s="183">
        <f>'04 Prevádzkové príjmy - nové'!Q23</f>
        <v>651930.12952146586</v>
      </c>
      <c r="R7" s="183">
        <f>'04 Prevádzkové príjmy - nové'!R23</f>
        <v>651930.12952146586</v>
      </c>
      <c r="S7" s="183">
        <f>'04 Prevádzkové príjmy - nové'!S23</f>
        <v>664968.73211189546</v>
      </c>
      <c r="T7" s="183">
        <f>'04 Prevádzkové príjmy - nové'!T23</f>
        <v>664968.73211189546</v>
      </c>
      <c r="U7" s="183">
        <f>'04 Prevádzkové príjmy - nové'!U23</f>
        <v>678268.10675413348</v>
      </c>
      <c r="V7" s="183">
        <f>'04 Prevádzkové príjmy - nové'!V23</f>
        <v>678268.10675413348</v>
      </c>
      <c r="W7" s="183">
        <f>'04 Prevádzkové príjmy - nové'!W23</f>
        <v>691833.46888921689</v>
      </c>
      <c r="X7" s="183">
        <f>'04 Prevádzkové príjmy - nové'!X23</f>
        <v>691833.46888921689</v>
      </c>
      <c r="Y7" s="183">
        <f>'04 Prevádzkové príjmy - nové'!Y23</f>
        <v>705670.13826700114</v>
      </c>
      <c r="Z7" s="183">
        <f>'04 Prevádzkové príjmy - nové'!Z23</f>
        <v>705670.13826700114</v>
      </c>
      <c r="AA7" s="183">
        <f>'04 Prevádzkové príjmy - nové'!AA23</f>
        <v>719783.54103234038</v>
      </c>
      <c r="AB7" s="183">
        <f>'04 Prevádzkové príjmy - nové'!AB23</f>
        <v>719783.54103234038</v>
      </c>
      <c r="AC7" s="183">
        <f>'04 Prevádzkové príjmy - nové'!AC23</f>
        <v>734179.21185298823</v>
      </c>
      <c r="AD7" s="183">
        <f>'04 Prevádzkové príjmy - nové'!AD23</f>
        <v>734179.21185298823</v>
      </c>
      <c r="AE7" s="183">
        <f>'04 Prevádzkové príjmy - nové'!AE23</f>
        <v>748862.79609004688</v>
      </c>
      <c r="AF7" s="183">
        <f>'04 Prevádzkové príjmy - nové'!AF23</f>
        <v>748862.79609004688</v>
      </c>
      <c r="AG7" s="183">
        <f>'04 Prevádzkové príjmy - nové'!AG23</f>
        <v>763840.0520118475</v>
      </c>
    </row>
    <row r="8" spans="2:33" ht="12" thickBot="1" x14ac:dyDescent="0.25">
      <c r="B8" s="21" t="s">
        <v>16</v>
      </c>
      <c r="C8" s="205">
        <f>D8+NPV(Parametre!$C$9,'06 Finančná analýza - nové'!E8:AG8)</f>
        <v>2947535.5422308673</v>
      </c>
      <c r="D8" s="206">
        <v>0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206">
        <v>0</v>
      </c>
      <c r="O8" s="206">
        <v>0</v>
      </c>
      <c r="P8" s="206">
        <v>0</v>
      </c>
      <c r="Q8" s="206">
        <v>0</v>
      </c>
      <c r="R8" s="206">
        <v>0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0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7">
        <f>'02 Zostatková hodnota - nové'!C12</f>
        <v>9192335.9984512255</v>
      </c>
    </row>
    <row r="9" spans="2:33" ht="12" thickTop="1" x14ac:dyDescent="0.2">
      <c r="B9" s="17" t="s">
        <v>38</v>
      </c>
      <c r="C9" s="208">
        <f>D9+NPV(Parametre!$C$9,'06 Finančná analýza - nové'!E9:AG9)</f>
        <v>-19657283.832356934</v>
      </c>
      <c r="D9" s="197">
        <f>-D5-D6+D7+D8</f>
        <v>0</v>
      </c>
      <c r="E9" s="197">
        <f t="shared" ref="E9:AG9" si="1">-E5-E6+E7+E8</f>
        <v>0</v>
      </c>
      <c r="F9" s="197">
        <f t="shared" si="1"/>
        <v>0</v>
      </c>
      <c r="G9" s="197">
        <f t="shared" si="1"/>
        <v>-22849267.299864344</v>
      </c>
      <c r="H9" s="197">
        <f t="shared" si="1"/>
        <v>-5765512.4809614373</v>
      </c>
      <c r="I9" s="197">
        <f t="shared" si="1"/>
        <v>25445778.247513998</v>
      </c>
      <c r="J9" s="197">
        <f t="shared" si="1"/>
        <v>1645248.1935544894</v>
      </c>
      <c r="K9" s="197">
        <f t="shared" si="1"/>
        <v>-1743247.7723481567</v>
      </c>
      <c r="L9" s="197">
        <f t="shared" si="1"/>
        <v>-1743801.2092686105</v>
      </c>
      <c r="M9" s="197">
        <f t="shared" si="1"/>
        <v>-1732080.1552604074</v>
      </c>
      <c r="N9" s="197">
        <f t="shared" si="1"/>
        <v>-1732658.0066648275</v>
      </c>
      <c r="O9" s="197">
        <f t="shared" si="1"/>
        <v>-1720716.1685143672</v>
      </c>
      <c r="P9" s="197">
        <f t="shared" si="1"/>
        <v>-1721319.5114306938</v>
      </c>
      <c r="Q9" s="197">
        <f t="shared" si="1"/>
        <v>-1709153.0750391399</v>
      </c>
      <c r="R9" s="197">
        <f t="shared" si="1"/>
        <v>-1709783.0340076573</v>
      </c>
      <c r="S9" s="197">
        <f t="shared" si="1"/>
        <v>-1697388.1355326623</v>
      </c>
      <c r="T9" s="197">
        <f t="shared" si="1"/>
        <v>-1698045.8847019505</v>
      </c>
      <c r="U9" s="197">
        <f t="shared" si="1"/>
        <v>-1685418.610733497</v>
      </c>
      <c r="V9" s="197">
        <f t="shared" si="1"/>
        <v>-2226105.3760488983</v>
      </c>
      <c r="W9" s="197">
        <f t="shared" si="1"/>
        <v>-1763241.7638403261</v>
      </c>
      <c r="X9" s="197">
        <f t="shared" si="1"/>
        <v>-953958.82532889862</v>
      </c>
      <c r="Y9" s="197">
        <f t="shared" si="1"/>
        <v>-1570854.8630864713</v>
      </c>
      <c r="Z9" s="197">
        <f t="shared" si="1"/>
        <v>-12581603.557242775</v>
      </c>
      <c r="AA9" s="197">
        <f t="shared" si="1"/>
        <v>-1648255.1844773302</v>
      </c>
      <c r="AB9" s="197">
        <f t="shared" si="1"/>
        <v>2900963.0932455501</v>
      </c>
      <c r="AC9" s="197">
        <f t="shared" si="1"/>
        <v>5644559.9853011351</v>
      </c>
      <c r="AD9" s="197">
        <f t="shared" si="1"/>
        <v>-726256.22210933454</v>
      </c>
      <c r="AE9" s="197">
        <f t="shared" si="1"/>
        <v>-1622406.6542057609</v>
      </c>
      <c r="AF9" s="197">
        <f t="shared" si="1"/>
        <v>-1623258.8680371949</v>
      </c>
      <c r="AG9" s="197">
        <f t="shared" si="1"/>
        <v>7583183.5779531552</v>
      </c>
    </row>
    <row r="11" spans="2:33" x14ac:dyDescent="0.2">
      <c r="B11" s="20" t="s">
        <v>17</v>
      </c>
      <c r="C11" s="219">
        <f>D9+NPV(0.04,E9:AG9)</f>
        <v>-19657283.832356934</v>
      </c>
      <c r="D11" s="2" t="s">
        <v>0</v>
      </c>
      <c r="E11" s="19"/>
    </row>
    <row r="12" spans="2:33" x14ac:dyDescent="0.2">
      <c r="B12" s="20" t="s">
        <v>18</v>
      </c>
      <c r="C12" s="221">
        <f>IRR(D9:AG9,1)</f>
        <v>-0.12723493025413213</v>
      </c>
    </row>
    <row r="15" spans="2:33" x14ac:dyDescent="0.2">
      <c r="B15" s="10" t="s">
        <v>22</v>
      </c>
      <c r="C15" s="10"/>
      <c r="D15" s="3" t="s">
        <v>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2:33" x14ac:dyDescent="0.2">
      <c r="B16" s="4"/>
      <c r="C16" s="13" t="s">
        <v>9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5">
        <v>24</v>
      </c>
      <c r="AB16" s="5">
        <v>25</v>
      </c>
      <c r="AC16" s="5">
        <v>26</v>
      </c>
      <c r="AD16" s="5">
        <v>27</v>
      </c>
      <c r="AE16" s="5">
        <v>28</v>
      </c>
      <c r="AF16" s="5">
        <v>29</v>
      </c>
      <c r="AG16" s="5">
        <v>30</v>
      </c>
    </row>
    <row r="17" spans="2:33" x14ac:dyDescent="0.2">
      <c r="B17" s="6" t="s">
        <v>37</v>
      </c>
      <c r="C17" s="124" t="s">
        <v>230</v>
      </c>
      <c r="D17" s="7">
        <f>D4</f>
        <v>2023</v>
      </c>
      <c r="E17" s="7">
        <f>E4</f>
        <v>2024</v>
      </c>
      <c r="F17" s="7">
        <f>F4</f>
        <v>2025</v>
      </c>
      <c r="G17" s="7">
        <f t="shared" ref="G17:AG17" si="2">G4</f>
        <v>2026</v>
      </c>
      <c r="H17" s="7">
        <f t="shared" si="2"/>
        <v>2027</v>
      </c>
      <c r="I17" s="7">
        <f t="shared" si="2"/>
        <v>2028</v>
      </c>
      <c r="J17" s="7">
        <f t="shared" si="2"/>
        <v>2029</v>
      </c>
      <c r="K17" s="7">
        <f t="shared" si="2"/>
        <v>2030</v>
      </c>
      <c r="L17" s="7">
        <f t="shared" si="2"/>
        <v>2031</v>
      </c>
      <c r="M17" s="7">
        <f t="shared" si="2"/>
        <v>2032</v>
      </c>
      <c r="N17" s="7">
        <f t="shared" si="2"/>
        <v>2033</v>
      </c>
      <c r="O17" s="7">
        <f t="shared" si="2"/>
        <v>2034</v>
      </c>
      <c r="P17" s="7">
        <f t="shared" si="2"/>
        <v>2035</v>
      </c>
      <c r="Q17" s="7">
        <f t="shared" si="2"/>
        <v>2036</v>
      </c>
      <c r="R17" s="7">
        <f t="shared" si="2"/>
        <v>2037</v>
      </c>
      <c r="S17" s="7">
        <f t="shared" si="2"/>
        <v>2038</v>
      </c>
      <c r="T17" s="7">
        <f t="shared" si="2"/>
        <v>2039</v>
      </c>
      <c r="U17" s="7">
        <f t="shared" si="2"/>
        <v>2040</v>
      </c>
      <c r="V17" s="7">
        <f t="shared" si="2"/>
        <v>2041</v>
      </c>
      <c r="W17" s="7">
        <f t="shared" si="2"/>
        <v>2042</v>
      </c>
      <c r="X17" s="7">
        <f t="shared" si="2"/>
        <v>2043</v>
      </c>
      <c r="Y17" s="7">
        <f t="shared" si="2"/>
        <v>2044</v>
      </c>
      <c r="Z17" s="7">
        <f t="shared" si="2"/>
        <v>2045</v>
      </c>
      <c r="AA17" s="7">
        <f t="shared" si="2"/>
        <v>2046</v>
      </c>
      <c r="AB17" s="7">
        <f t="shared" si="2"/>
        <v>2047</v>
      </c>
      <c r="AC17" s="7">
        <f t="shared" si="2"/>
        <v>2048</v>
      </c>
      <c r="AD17" s="7">
        <f t="shared" si="2"/>
        <v>2049</v>
      </c>
      <c r="AE17" s="7">
        <f t="shared" si="2"/>
        <v>2050</v>
      </c>
      <c r="AF17" s="7">
        <f t="shared" si="2"/>
        <v>2051</v>
      </c>
      <c r="AG17" s="7">
        <f t="shared" si="2"/>
        <v>2052</v>
      </c>
    </row>
    <row r="18" spans="2:33" x14ac:dyDescent="0.2">
      <c r="B18" s="3" t="s">
        <v>231</v>
      </c>
      <c r="C18" s="204">
        <f>D18+NPV(Parametre!$C$9,'06 Finančná analýza - nové'!E18:AG18)</f>
        <v>0</v>
      </c>
      <c r="D18" s="183">
        <v>0</v>
      </c>
      <c r="E18" s="183">
        <v>0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</row>
    <row r="19" spans="2:33" x14ac:dyDescent="0.2">
      <c r="B19" s="3" t="s">
        <v>59</v>
      </c>
      <c r="C19" s="204">
        <f>D19+NPV(Parametre!$C$9,'06 Finančná analýza - nové'!E19:AG19)</f>
        <v>22734220.627280999</v>
      </c>
      <c r="D19" s="183">
        <f>-'03 Prevádzkové výdavky - nové'!D32</f>
        <v>0</v>
      </c>
      <c r="E19" s="183">
        <f>-'03 Prevádzkové výdavky - nové'!E32</f>
        <v>0</v>
      </c>
      <c r="F19" s="183">
        <f>-'03 Prevádzkové výdavky - nové'!F32</f>
        <v>0</v>
      </c>
      <c r="G19" s="183">
        <f>-'03 Prevádzkové výdavky - nové'!G32</f>
        <v>18491576.672217257</v>
      </c>
      <c r="H19" s="183">
        <f>-'03 Prevádzkové výdavky - nové'!H32</f>
        <v>14644014.314874563</v>
      </c>
      <c r="I19" s="183">
        <f>-'03 Prevádzkové výdavky - nové'!I32</f>
        <v>24843495.57926672</v>
      </c>
      <c r="J19" s="183">
        <f>-'03 Prevádzkové výdavky - nové'!J32</f>
        <v>1042965.5253072092</v>
      </c>
      <c r="K19" s="183">
        <f>-'03 Prevádzkové výdavky - nové'!K32</f>
        <v>-2357576.093960382</v>
      </c>
      <c r="L19" s="183">
        <f>-'03 Prevádzkové výdavky - nové'!L32</f>
        <v>-2358129.5308808358</v>
      </c>
      <c r="M19" s="183">
        <f>-'03 Prevádzkové výdavky - nové'!M32</f>
        <v>-2358695.0433048764</v>
      </c>
      <c r="N19" s="183">
        <f>-'03 Prevádzkové výdavky - nové'!N32</f>
        <v>-2359272.8947092965</v>
      </c>
      <c r="O19" s="183">
        <f>-'03 Prevádzkové výdavky - nové'!O32</f>
        <v>-2359863.3543197252</v>
      </c>
      <c r="P19" s="183">
        <f>-'03 Prevádzkové výdavky - nové'!P32</f>
        <v>-2360466.6972360518</v>
      </c>
      <c r="Q19" s="183">
        <f>-'03 Prevádzkové výdavky - nové'!Q32</f>
        <v>-2361083.2045606058</v>
      </c>
      <c r="R19" s="183">
        <f>-'03 Prevádzkové výdavky - nové'!R32</f>
        <v>-2361713.1635291232</v>
      </c>
      <c r="S19" s="183">
        <f>-'03 Prevádzkové výdavky - nové'!S32</f>
        <v>-2362356.8676445577</v>
      </c>
      <c r="T19" s="183">
        <f>-'03 Prevádzkové výdavky - nové'!T32</f>
        <v>-2363014.6168138459</v>
      </c>
      <c r="U19" s="183">
        <f>-'03 Prevádzkové výdavky - nové'!U32</f>
        <v>-2363686.7174876304</v>
      </c>
      <c r="V19" s="183">
        <f>-'03 Prevádzkové výdavky - nové'!V32</f>
        <v>-2904373.4828030318</v>
      </c>
      <c r="W19" s="183">
        <f>-'03 Prevádzkové výdavky - nové'!W32</f>
        <v>-2455075.232729543</v>
      </c>
      <c r="X19" s="183">
        <f>-'03 Prevádzkové výdavky - nové'!X32</f>
        <v>-1645792.2942181155</v>
      </c>
      <c r="Y19" s="183">
        <f>-'03 Prevádzkové výdavky - nové'!Y32</f>
        <v>-2276525.0013534725</v>
      </c>
      <c r="Z19" s="183">
        <f>-'03 Prevádzkové výdavky - nové'!Z32</f>
        <v>-13287273.695509776</v>
      </c>
      <c r="AA19" s="183">
        <f>-'03 Prevádzkové výdavky - nové'!AA32</f>
        <v>-2368038.7255096706</v>
      </c>
      <c r="AB19" s="183">
        <f>-'03 Prevádzkové výdavky - nové'!AB32</f>
        <v>2181179.5522132097</v>
      </c>
      <c r="AC19" s="183">
        <f>-'03 Prevádzkové výdavky - nové'!AC32</f>
        <v>4910380.7734481469</v>
      </c>
      <c r="AD19" s="183">
        <f>-'03 Prevádzkové výdavky - nové'!AD32</f>
        <v>-1460435.4339623228</v>
      </c>
      <c r="AE19" s="183">
        <f>-'03 Prevádzkové výdavky - nové'!AE32</f>
        <v>-2371269.4502958078</v>
      </c>
      <c r="AF19" s="183">
        <f>-'03 Prevádzkové výdavky - nové'!AF32</f>
        <v>-2372121.6641272418</v>
      </c>
      <c r="AG19" s="183">
        <f>-'03 Prevádzkové výdavky - nové'!AG32</f>
        <v>-2372992.4725099178</v>
      </c>
    </row>
    <row r="20" spans="2:33" x14ac:dyDescent="0.2">
      <c r="B20" s="3" t="s">
        <v>243</v>
      </c>
      <c r="C20" s="204">
        <f>D20+NPV(Parametre!$C$9,'06 Finančná analýza - nové'!E20:AG20)</f>
        <v>54187357.613991633</v>
      </c>
      <c r="D20" s="186">
        <f>'01 Investičné výdavky - nové'!D42</f>
        <v>0</v>
      </c>
      <c r="E20" s="186">
        <f>'01 Investičné výdavky - nové'!E42</f>
        <v>0</v>
      </c>
      <c r="F20" s="186">
        <f>'01 Investičné výdavky - nové'!F42</f>
        <v>0</v>
      </c>
      <c r="G20" s="186">
        <f>'01 Investičné výdavky - nové'!G42</f>
        <v>128100</v>
      </c>
      <c r="H20" s="186">
        <f>'01 Investičné výdavky - nové'!H42</f>
        <v>7537522.5</v>
      </c>
      <c r="I20" s="186">
        <f>'01 Investičné výdavky - nové'!I42</f>
        <v>10977047.5</v>
      </c>
      <c r="J20" s="186">
        <f>'01 Investičné výdavky - nové'!J42</f>
        <v>10644897.5</v>
      </c>
      <c r="K20" s="186">
        <f>'01 Investičné výdavky - nové'!K42</f>
        <v>10312747.5</v>
      </c>
      <c r="L20" s="186">
        <f>'01 Investičné výdavky - nové'!L42</f>
        <v>9980597.5</v>
      </c>
      <c r="M20" s="186">
        <f>'01 Investičné výdavky - nové'!M42</f>
        <v>9648447.5</v>
      </c>
      <c r="N20" s="186">
        <f>'01 Investičné výdavky - nové'!N42</f>
        <v>9316297.5</v>
      </c>
      <c r="O20" s="186">
        <f>'01 Investičné výdavky - nové'!O42</f>
        <v>3068175</v>
      </c>
      <c r="P20" s="186">
        <f>'01 Investičné výdavky - nové'!P42</f>
        <v>0</v>
      </c>
      <c r="Q20" s="186">
        <f>'01 Investičné výdavky - nové'!Q42</f>
        <v>0</v>
      </c>
      <c r="R20" s="186">
        <f>'01 Investičné výdavky - nové'!R42</f>
        <v>0</v>
      </c>
      <c r="S20" s="186">
        <f>'01 Investičné výdavky - nové'!S42</f>
        <v>0</v>
      </c>
      <c r="T20" s="186">
        <f>'01 Investičné výdavky - nové'!T42</f>
        <v>0</v>
      </c>
      <c r="U20" s="186">
        <f>'01 Investičné výdavky - nové'!U42</f>
        <v>0</v>
      </c>
      <c r="V20" s="186">
        <f>'01 Investičné výdavky - nové'!V42</f>
        <v>0</v>
      </c>
      <c r="W20" s="186">
        <f>'01 Investičné výdavky - nové'!W42</f>
        <v>0</v>
      </c>
      <c r="X20" s="186">
        <f>'01 Investičné výdavky - nové'!X42</f>
        <v>0</v>
      </c>
      <c r="Y20" s="186">
        <f>'01 Investičné výdavky - nové'!Y42</f>
        <v>0</v>
      </c>
      <c r="Z20" s="186">
        <f>'01 Investičné výdavky - nové'!Z42</f>
        <v>0</v>
      </c>
      <c r="AA20" s="186">
        <f>'01 Investičné výdavky - nové'!AA42</f>
        <v>0</v>
      </c>
      <c r="AB20" s="186">
        <f>'01 Investičné výdavky - nové'!AB42</f>
        <v>0</v>
      </c>
      <c r="AC20" s="186">
        <f>'01 Investičné výdavky - nové'!AC42</f>
        <v>0</v>
      </c>
      <c r="AD20" s="186">
        <f>'01 Investičné výdavky - nové'!AD42</f>
        <v>0</v>
      </c>
      <c r="AE20" s="186">
        <f>'01 Investičné výdavky - nové'!AE42</f>
        <v>0</v>
      </c>
      <c r="AF20" s="186">
        <f>'01 Investičné výdavky - nové'!AF42</f>
        <v>0</v>
      </c>
      <c r="AG20" s="186">
        <f>'01 Investičné výdavky - nové'!AG42</f>
        <v>0</v>
      </c>
    </row>
    <row r="21" spans="2:33" x14ac:dyDescent="0.2">
      <c r="B21" s="3" t="s">
        <v>13</v>
      </c>
      <c r="C21" s="204">
        <f>D21+NPV(Parametre!$C$9,'06 Finančná analýza - nové'!E21:AG21)</f>
        <v>9949695.0739338789</v>
      </c>
      <c r="D21" s="214">
        <f>'04 Prevádzkové príjmy - nové'!D23</f>
        <v>0</v>
      </c>
      <c r="E21" s="214">
        <f>'04 Prevádzkové príjmy - nové'!E23</f>
        <v>0</v>
      </c>
      <c r="F21" s="214">
        <f>'04 Prevádzkové príjmy - nové'!F23</f>
        <v>0</v>
      </c>
      <c r="G21" s="214">
        <f>'04 Prevádzkové príjmy - nové'!G23</f>
        <v>659156.02791839931</v>
      </c>
      <c r="H21" s="214">
        <f>'04 Prevádzkové príjmy - nové'!H23</f>
        <v>590473.2041639993</v>
      </c>
      <c r="I21" s="214">
        <f>'04 Prevádzkové príjmy - nové'!I23</f>
        <v>602282.66824728018</v>
      </c>
      <c r="J21" s="214">
        <f>'04 Prevádzkové príjmy - nové'!J23</f>
        <v>602282.66824728018</v>
      </c>
      <c r="K21" s="214">
        <f>'04 Prevádzkové príjmy - nové'!K23</f>
        <v>614328.32161222538</v>
      </c>
      <c r="L21" s="214">
        <f>'04 Prevádzkové príjmy - nové'!L23</f>
        <v>614328.32161222538</v>
      </c>
      <c r="M21" s="214">
        <f>'04 Prevádzkové príjmy - nové'!M23</f>
        <v>626614.88804446906</v>
      </c>
      <c r="N21" s="214">
        <f>'04 Prevádzkové príjmy - nové'!N23</f>
        <v>626614.88804446906</v>
      </c>
      <c r="O21" s="214">
        <f>'04 Prevádzkové príjmy - nové'!O23</f>
        <v>639147.18580535799</v>
      </c>
      <c r="P21" s="214">
        <f>'04 Prevádzkové príjmy - nové'!P23</f>
        <v>639147.18580535799</v>
      </c>
      <c r="Q21" s="214">
        <f>'04 Prevádzkové príjmy - nové'!Q23</f>
        <v>651930.12952146586</v>
      </c>
      <c r="R21" s="214">
        <f>'04 Prevádzkové príjmy - nové'!R23</f>
        <v>651930.12952146586</v>
      </c>
      <c r="S21" s="214">
        <f>'04 Prevádzkové príjmy - nové'!S23</f>
        <v>664968.73211189546</v>
      </c>
      <c r="T21" s="214">
        <f>'04 Prevádzkové príjmy - nové'!T23</f>
        <v>664968.73211189546</v>
      </c>
      <c r="U21" s="214">
        <f>'04 Prevádzkové príjmy - nové'!U23</f>
        <v>678268.10675413348</v>
      </c>
      <c r="V21" s="214">
        <f>'04 Prevádzkové príjmy - nové'!V23</f>
        <v>678268.10675413348</v>
      </c>
      <c r="W21" s="214">
        <f>'04 Prevádzkové príjmy - nové'!W23</f>
        <v>691833.46888921689</v>
      </c>
      <c r="X21" s="214">
        <f>'04 Prevádzkové príjmy - nové'!X23</f>
        <v>691833.46888921689</v>
      </c>
      <c r="Y21" s="214">
        <f>'04 Prevádzkové príjmy - nové'!Y23</f>
        <v>705670.13826700114</v>
      </c>
      <c r="Z21" s="214">
        <f>'04 Prevádzkové príjmy - nové'!Z23</f>
        <v>705670.13826700114</v>
      </c>
      <c r="AA21" s="214">
        <f>'04 Prevádzkové príjmy - nové'!AA23</f>
        <v>719783.54103234038</v>
      </c>
      <c r="AB21" s="214">
        <f>'04 Prevádzkové príjmy - nové'!AB23</f>
        <v>719783.54103234038</v>
      </c>
      <c r="AC21" s="214">
        <f>'04 Prevádzkové príjmy - nové'!AC23</f>
        <v>734179.21185298823</v>
      </c>
      <c r="AD21" s="214">
        <f>'04 Prevádzkové príjmy - nové'!AD23</f>
        <v>734179.21185298823</v>
      </c>
      <c r="AE21" s="214">
        <f>'04 Prevádzkové príjmy - nové'!AE23</f>
        <v>748862.79609004688</v>
      </c>
      <c r="AF21" s="214">
        <f>'04 Prevádzkové príjmy - nové'!AF23</f>
        <v>748862.79609004688</v>
      </c>
      <c r="AG21" s="214">
        <f>'04 Prevádzkové príjmy - nové'!AG23</f>
        <v>763840.0520118475</v>
      </c>
    </row>
    <row r="22" spans="2:33" ht="12" thickBot="1" x14ac:dyDescent="0.25">
      <c r="B22" s="21" t="s">
        <v>16</v>
      </c>
      <c r="C22" s="205">
        <f>D22+NPV(Parametre!$C$9,'06 Finančná analýza - nové'!E22:AG22)</f>
        <v>2947535.5422308673</v>
      </c>
      <c r="D22" s="206">
        <v>0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>
        <v>0</v>
      </c>
      <c r="U22" s="206">
        <v>0</v>
      </c>
      <c r="V22" s="206">
        <v>0</v>
      </c>
      <c r="W22" s="206">
        <v>0</v>
      </c>
      <c r="X22" s="206">
        <v>0</v>
      </c>
      <c r="Y22" s="206">
        <v>0</v>
      </c>
      <c r="Z22" s="206">
        <v>0</v>
      </c>
      <c r="AA22" s="206">
        <v>0</v>
      </c>
      <c r="AB22" s="206">
        <v>0</v>
      </c>
      <c r="AC22" s="206">
        <v>0</v>
      </c>
      <c r="AD22" s="206">
        <v>0</v>
      </c>
      <c r="AE22" s="206">
        <v>0</v>
      </c>
      <c r="AF22" s="206">
        <v>0</v>
      </c>
      <c r="AG22" s="207">
        <f>AG8</f>
        <v>9192335.9984512255</v>
      </c>
    </row>
    <row r="23" spans="2:33" ht="12" thickTop="1" x14ac:dyDescent="0.2">
      <c r="B23" s="17" t="s">
        <v>38</v>
      </c>
      <c r="C23" s="215">
        <f>D23+NPV(Parametre!$C$9,'06 Finančná analýza - nové'!E23:AG23)</f>
        <v>89818808.857437372</v>
      </c>
      <c r="D23" s="197">
        <f>SUM(D18:D22)</f>
        <v>0</v>
      </c>
      <c r="E23" s="197">
        <f t="shared" ref="E23:AG23" si="3">SUM(E18:E22)</f>
        <v>0</v>
      </c>
      <c r="F23" s="197">
        <f t="shared" si="3"/>
        <v>0</v>
      </c>
      <c r="G23" s="197">
        <f t="shared" si="3"/>
        <v>19278832.700135656</v>
      </c>
      <c r="H23" s="197">
        <f t="shared" si="3"/>
        <v>22772010.019038562</v>
      </c>
      <c r="I23" s="197">
        <f t="shared" si="3"/>
        <v>36422825.747514002</v>
      </c>
      <c r="J23" s="197">
        <f t="shared" si="3"/>
        <v>12290145.693554489</v>
      </c>
      <c r="K23" s="197">
        <f t="shared" si="3"/>
        <v>8569499.7276518438</v>
      </c>
      <c r="L23" s="197">
        <f t="shared" si="3"/>
        <v>8236796.2907313891</v>
      </c>
      <c r="M23" s="197">
        <f t="shared" si="3"/>
        <v>7916367.3447395926</v>
      </c>
      <c r="N23" s="197">
        <f t="shared" si="3"/>
        <v>7583639.4933351725</v>
      </c>
      <c r="O23" s="197">
        <f t="shared" si="3"/>
        <v>1347458.8314856328</v>
      </c>
      <c r="P23" s="197">
        <f t="shared" si="3"/>
        <v>-1721319.5114306938</v>
      </c>
      <c r="Q23" s="197">
        <f t="shared" si="3"/>
        <v>-1709153.0750391399</v>
      </c>
      <c r="R23" s="197">
        <f t="shared" si="3"/>
        <v>-1709783.0340076573</v>
      </c>
      <c r="S23" s="197">
        <f t="shared" si="3"/>
        <v>-1697388.1355326623</v>
      </c>
      <c r="T23" s="197">
        <f t="shared" si="3"/>
        <v>-1698045.8847019505</v>
      </c>
      <c r="U23" s="197">
        <f t="shared" si="3"/>
        <v>-1685418.610733497</v>
      </c>
      <c r="V23" s="197">
        <f t="shared" si="3"/>
        <v>-2226105.3760488983</v>
      </c>
      <c r="W23" s="197">
        <f t="shared" si="3"/>
        <v>-1763241.7638403261</v>
      </c>
      <c r="X23" s="197">
        <f t="shared" si="3"/>
        <v>-953958.82532889862</v>
      </c>
      <c r="Y23" s="197">
        <f t="shared" si="3"/>
        <v>-1570854.8630864713</v>
      </c>
      <c r="Z23" s="197">
        <f t="shared" si="3"/>
        <v>-12581603.557242775</v>
      </c>
      <c r="AA23" s="197">
        <f t="shared" si="3"/>
        <v>-1648255.1844773302</v>
      </c>
      <c r="AB23" s="197">
        <f t="shared" si="3"/>
        <v>2900963.0932455501</v>
      </c>
      <c r="AC23" s="197">
        <f t="shared" si="3"/>
        <v>5644559.9853011351</v>
      </c>
      <c r="AD23" s="197">
        <f t="shared" si="3"/>
        <v>-726256.22210933454</v>
      </c>
      <c r="AE23" s="197">
        <f t="shared" si="3"/>
        <v>-1622406.6542057609</v>
      </c>
      <c r="AF23" s="197">
        <f t="shared" si="3"/>
        <v>-1623258.8680371949</v>
      </c>
      <c r="AG23" s="197">
        <f t="shared" si="3"/>
        <v>7583183.5779531552</v>
      </c>
    </row>
    <row r="25" spans="2:33" x14ac:dyDescent="0.2">
      <c r="B25" s="20" t="s">
        <v>19</v>
      </c>
      <c r="C25" s="219">
        <f>D23+NPV(0.04,E23:AG23)</f>
        <v>89818808.857437372</v>
      </c>
      <c r="D25" s="19" t="s">
        <v>0</v>
      </c>
    </row>
    <row r="26" spans="2:33" x14ac:dyDescent="0.2">
      <c r="B26" s="20" t="s">
        <v>20</v>
      </c>
      <c r="C26" s="221" t="e">
        <f>IRR(D23:AG23,1)</f>
        <v>#NUM!</v>
      </c>
    </row>
    <row r="27" spans="2:33" x14ac:dyDescent="0.2">
      <c r="D27" s="19"/>
    </row>
    <row r="29" spans="2:33" x14ac:dyDescent="0.2">
      <c r="B29" s="10" t="s">
        <v>233</v>
      </c>
      <c r="C29" s="10"/>
      <c r="D29" s="3" t="s">
        <v>10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2:33" x14ac:dyDescent="0.2">
      <c r="B30" s="4"/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</row>
    <row r="31" spans="2:33" x14ac:dyDescent="0.2">
      <c r="B31" s="6" t="s">
        <v>37</v>
      </c>
      <c r="C31" s="124" t="s">
        <v>9</v>
      </c>
      <c r="D31" s="7">
        <f>D4</f>
        <v>2023</v>
      </c>
      <c r="E31" s="7">
        <f t="shared" ref="E31:AG31" si="4">E4</f>
        <v>2024</v>
      </c>
      <c r="F31" s="7">
        <f t="shared" si="4"/>
        <v>2025</v>
      </c>
      <c r="G31" s="7">
        <f t="shared" si="4"/>
        <v>2026</v>
      </c>
      <c r="H31" s="7">
        <f t="shared" si="4"/>
        <v>2027</v>
      </c>
      <c r="I31" s="7">
        <f t="shared" si="4"/>
        <v>2028</v>
      </c>
      <c r="J31" s="7">
        <f t="shared" si="4"/>
        <v>2029</v>
      </c>
      <c r="K31" s="7">
        <f t="shared" si="4"/>
        <v>2030</v>
      </c>
      <c r="L31" s="7">
        <f t="shared" si="4"/>
        <v>2031</v>
      </c>
      <c r="M31" s="7">
        <f t="shared" si="4"/>
        <v>2032</v>
      </c>
      <c r="N31" s="7">
        <f t="shared" si="4"/>
        <v>2033</v>
      </c>
      <c r="O31" s="7">
        <f t="shared" si="4"/>
        <v>2034</v>
      </c>
      <c r="P31" s="7">
        <f t="shared" si="4"/>
        <v>2035</v>
      </c>
      <c r="Q31" s="7">
        <f t="shared" si="4"/>
        <v>2036</v>
      </c>
      <c r="R31" s="7">
        <f t="shared" si="4"/>
        <v>2037</v>
      </c>
      <c r="S31" s="7">
        <f t="shared" si="4"/>
        <v>2038</v>
      </c>
      <c r="T31" s="7">
        <f t="shared" si="4"/>
        <v>2039</v>
      </c>
      <c r="U31" s="7">
        <f t="shared" si="4"/>
        <v>2040</v>
      </c>
      <c r="V31" s="7">
        <f t="shared" si="4"/>
        <v>2041</v>
      </c>
      <c r="W31" s="7">
        <f t="shared" si="4"/>
        <v>2042</v>
      </c>
      <c r="X31" s="7">
        <f t="shared" si="4"/>
        <v>2043</v>
      </c>
      <c r="Y31" s="7">
        <f t="shared" si="4"/>
        <v>2044</v>
      </c>
      <c r="Z31" s="7">
        <f t="shared" si="4"/>
        <v>2045</v>
      </c>
      <c r="AA31" s="7">
        <f t="shared" si="4"/>
        <v>2046</v>
      </c>
      <c r="AB31" s="7">
        <f t="shared" si="4"/>
        <v>2047</v>
      </c>
      <c r="AC31" s="7">
        <f t="shared" si="4"/>
        <v>2048</v>
      </c>
      <c r="AD31" s="7">
        <f t="shared" si="4"/>
        <v>2049</v>
      </c>
      <c r="AE31" s="7">
        <f t="shared" si="4"/>
        <v>2050</v>
      </c>
      <c r="AF31" s="7">
        <f t="shared" si="4"/>
        <v>2051</v>
      </c>
      <c r="AG31" s="7">
        <f t="shared" si="4"/>
        <v>2052</v>
      </c>
    </row>
    <row r="32" spans="2:33" x14ac:dyDescent="0.2">
      <c r="B32" s="3" t="s">
        <v>242</v>
      </c>
      <c r="C32" s="183">
        <f>SUM(D32:AG32)</f>
        <v>63000000</v>
      </c>
      <c r="D32" s="183">
        <f>'05 Financovanie - nové'!D18</f>
        <v>0</v>
      </c>
      <c r="E32" s="183">
        <f>'05 Financovanie - nové'!E18</f>
        <v>0</v>
      </c>
      <c r="F32" s="183">
        <f>'05 Financovanie - nové'!F18</f>
        <v>0</v>
      </c>
      <c r="G32" s="183">
        <f>'05 Financovanie - nové'!G18</f>
        <v>42000000</v>
      </c>
      <c r="H32" s="183">
        <f>'05 Financovanie - nové'!H18</f>
        <v>21000000</v>
      </c>
      <c r="I32" s="183">
        <f>'05 Financovanie - nové'!I18</f>
        <v>0</v>
      </c>
      <c r="J32" s="183">
        <f>'05 Financovanie - nové'!J18</f>
        <v>0</v>
      </c>
      <c r="K32" s="183">
        <f>'05 Financovanie - nové'!K18</f>
        <v>0</v>
      </c>
      <c r="L32" s="183">
        <f>'05 Financovanie - nové'!L18</f>
        <v>0</v>
      </c>
      <c r="M32" s="183">
        <f>'05 Financovanie - nové'!M18</f>
        <v>0</v>
      </c>
      <c r="N32" s="183">
        <f>'05 Financovanie - nové'!N18</f>
        <v>0</v>
      </c>
      <c r="O32" s="183">
        <f>'05 Financovanie - nové'!O18</f>
        <v>0</v>
      </c>
      <c r="P32" s="183">
        <f>'05 Financovanie - nové'!P18</f>
        <v>0</v>
      </c>
      <c r="Q32" s="183">
        <f>'05 Financovanie - nové'!Q18</f>
        <v>0</v>
      </c>
      <c r="R32" s="183">
        <f>'05 Financovanie - nové'!R18</f>
        <v>0</v>
      </c>
      <c r="S32" s="183">
        <f>'05 Financovanie - nové'!S18</f>
        <v>0</v>
      </c>
      <c r="T32" s="183">
        <f>'05 Financovanie - nové'!T18</f>
        <v>0</v>
      </c>
      <c r="U32" s="183">
        <f>'05 Financovanie - nové'!U18</f>
        <v>0</v>
      </c>
      <c r="V32" s="183">
        <f>'05 Financovanie - nové'!V18</f>
        <v>0</v>
      </c>
      <c r="W32" s="183">
        <f>'05 Financovanie - nové'!W18</f>
        <v>0</v>
      </c>
      <c r="X32" s="183">
        <f>'05 Financovanie - nové'!X18</f>
        <v>0</v>
      </c>
      <c r="Y32" s="183">
        <f>'05 Financovanie - nové'!Y18</f>
        <v>0</v>
      </c>
      <c r="Z32" s="183">
        <f>'05 Financovanie - nové'!Z18</f>
        <v>0</v>
      </c>
      <c r="AA32" s="183">
        <f>'05 Financovanie - nové'!AA18</f>
        <v>0</v>
      </c>
      <c r="AB32" s="183">
        <f>'05 Financovanie - nové'!AB18</f>
        <v>0</v>
      </c>
      <c r="AC32" s="183">
        <f>'05 Financovanie - nové'!AC18</f>
        <v>0</v>
      </c>
      <c r="AD32" s="183">
        <f>'05 Financovanie - nové'!AD18</f>
        <v>0</v>
      </c>
      <c r="AE32" s="183">
        <f>'05 Financovanie - nové'!AE18</f>
        <v>0</v>
      </c>
      <c r="AF32" s="183">
        <f>'05 Financovanie - nové'!AF18</f>
        <v>0</v>
      </c>
      <c r="AG32" s="183">
        <f>'05 Financovanie - nové'!AG18</f>
        <v>0</v>
      </c>
    </row>
    <row r="33" spans="2:33" x14ac:dyDescent="0.2">
      <c r="B33" s="3" t="s">
        <v>220</v>
      </c>
      <c r="C33" s="183">
        <f t="shared" ref="C33:C41" si="5">SUM(D33:AG33)</f>
        <v>18169207.66055109</v>
      </c>
      <c r="D33" s="183">
        <f>D7</f>
        <v>0</v>
      </c>
      <c r="E33" s="183">
        <f t="shared" ref="E33:AG33" si="6">E7</f>
        <v>0</v>
      </c>
      <c r="F33" s="183">
        <f t="shared" si="6"/>
        <v>0</v>
      </c>
      <c r="G33" s="183">
        <f t="shared" si="6"/>
        <v>659156.02791839931</v>
      </c>
      <c r="H33" s="183">
        <f t="shared" si="6"/>
        <v>590473.2041639993</v>
      </c>
      <c r="I33" s="183">
        <f t="shared" si="6"/>
        <v>602282.66824728018</v>
      </c>
      <c r="J33" s="183">
        <f t="shared" si="6"/>
        <v>602282.66824728018</v>
      </c>
      <c r="K33" s="183">
        <f t="shared" si="6"/>
        <v>614328.32161222538</v>
      </c>
      <c r="L33" s="183">
        <f t="shared" si="6"/>
        <v>614328.32161222538</v>
      </c>
      <c r="M33" s="183">
        <f t="shared" si="6"/>
        <v>626614.88804446906</v>
      </c>
      <c r="N33" s="183">
        <f t="shared" si="6"/>
        <v>626614.88804446906</v>
      </c>
      <c r="O33" s="183">
        <f t="shared" si="6"/>
        <v>639147.18580535799</v>
      </c>
      <c r="P33" s="183">
        <f t="shared" si="6"/>
        <v>639147.18580535799</v>
      </c>
      <c r="Q33" s="183">
        <f t="shared" si="6"/>
        <v>651930.12952146586</v>
      </c>
      <c r="R33" s="183">
        <f t="shared" si="6"/>
        <v>651930.12952146586</v>
      </c>
      <c r="S33" s="183">
        <f t="shared" si="6"/>
        <v>664968.73211189546</v>
      </c>
      <c r="T33" s="183">
        <f t="shared" si="6"/>
        <v>664968.73211189546</v>
      </c>
      <c r="U33" s="183">
        <f t="shared" si="6"/>
        <v>678268.10675413348</v>
      </c>
      <c r="V33" s="183">
        <f t="shared" si="6"/>
        <v>678268.10675413348</v>
      </c>
      <c r="W33" s="183">
        <f t="shared" si="6"/>
        <v>691833.46888921689</v>
      </c>
      <c r="X33" s="183">
        <f t="shared" si="6"/>
        <v>691833.46888921689</v>
      </c>
      <c r="Y33" s="183">
        <f t="shared" si="6"/>
        <v>705670.13826700114</v>
      </c>
      <c r="Z33" s="183">
        <f t="shared" si="6"/>
        <v>705670.13826700114</v>
      </c>
      <c r="AA33" s="183">
        <f t="shared" si="6"/>
        <v>719783.54103234038</v>
      </c>
      <c r="AB33" s="183">
        <f t="shared" si="6"/>
        <v>719783.54103234038</v>
      </c>
      <c r="AC33" s="183">
        <f t="shared" si="6"/>
        <v>734179.21185298823</v>
      </c>
      <c r="AD33" s="183">
        <f t="shared" si="6"/>
        <v>734179.21185298823</v>
      </c>
      <c r="AE33" s="183">
        <f t="shared" si="6"/>
        <v>748862.79609004688</v>
      </c>
      <c r="AF33" s="183">
        <f t="shared" si="6"/>
        <v>748862.79609004688</v>
      </c>
      <c r="AG33" s="183">
        <f t="shared" si="6"/>
        <v>763840.0520118475</v>
      </c>
    </row>
    <row r="34" spans="2:33" x14ac:dyDescent="0.2">
      <c r="B34" s="4" t="s">
        <v>11</v>
      </c>
      <c r="C34" s="188">
        <f t="shared" si="5"/>
        <v>81169207.660551101</v>
      </c>
      <c r="D34" s="188">
        <f t="shared" ref="D34:AG34" si="7">SUM(D32:D33)</f>
        <v>0</v>
      </c>
      <c r="E34" s="188">
        <f t="shared" si="7"/>
        <v>0</v>
      </c>
      <c r="F34" s="188">
        <f t="shared" si="7"/>
        <v>0</v>
      </c>
      <c r="G34" s="188">
        <f t="shared" si="7"/>
        <v>42659156.027918398</v>
      </c>
      <c r="H34" s="188">
        <f t="shared" si="7"/>
        <v>21590473.204163998</v>
      </c>
      <c r="I34" s="188">
        <f t="shared" si="7"/>
        <v>602282.66824728018</v>
      </c>
      <c r="J34" s="188">
        <f t="shared" si="7"/>
        <v>602282.66824728018</v>
      </c>
      <c r="K34" s="188">
        <f t="shared" si="7"/>
        <v>614328.32161222538</v>
      </c>
      <c r="L34" s="188">
        <f t="shared" si="7"/>
        <v>614328.32161222538</v>
      </c>
      <c r="M34" s="188">
        <f t="shared" si="7"/>
        <v>626614.88804446906</v>
      </c>
      <c r="N34" s="188">
        <f t="shared" si="7"/>
        <v>626614.88804446906</v>
      </c>
      <c r="O34" s="188">
        <f t="shared" si="7"/>
        <v>639147.18580535799</v>
      </c>
      <c r="P34" s="188">
        <f t="shared" si="7"/>
        <v>639147.18580535799</v>
      </c>
      <c r="Q34" s="188">
        <f t="shared" si="7"/>
        <v>651930.12952146586</v>
      </c>
      <c r="R34" s="188">
        <f t="shared" si="7"/>
        <v>651930.12952146586</v>
      </c>
      <c r="S34" s="188">
        <f t="shared" si="7"/>
        <v>664968.73211189546</v>
      </c>
      <c r="T34" s="188">
        <f t="shared" si="7"/>
        <v>664968.73211189546</v>
      </c>
      <c r="U34" s="188">
        <f t="shared" si="7"/>
        <v>678268.10675413348</v>
      </c>
      <c r="V34" s="188">
        <f t="shared" si="7"/>
        <v>678268.10675413348</v>
      </c>
      <c r="W34" s="188">
        <f t="shared" si="7"/>
        <v>691833.46888921689</v>
      </c>
      <c r="X34" s="188">
        <f t="shared" si="7"/>
        <v>691833.46888921689</v>
      </c>
      <c r="Y34" s="188">
        <f t="shared" si="7"/>
        <v>705670.13826700114</v>
      </c>
      <c r="Z34" s="188">
        <f t="shared" si="7"/>
        <v>705670.13826700114</v>
      </c>
      <c r="AA34" s="188">
        <f t="shared" si="7"/>
        <v>719783.54103234038</v>
      </c>
      <c r="AB34" s="188">
        <f t="shared" si="7"/>
        <v>719783.54103234038</v>
      </c>
      <c r="AC34" s="188">
        <f t="shared" si="7"/>
        <v>734179.21185298823</v>
      </c>
      <c r="AD34" s="188">
        <f t="shared" si="7"/>
        <v>734179.21185298823</v>
      </c>
      <c r="AE34" s="188">
        <f t="shared" si="7"/>
        <v>748862.79609004688</v>
      </c>
      <c r="AF34" s="188">
        <f t="shared" si="7"/>
        <v>748862.79609004688</v>
      </c>
      <c r="AG34" s="188">
        <f t="shared" si="7"/>
        <v>763840.0520118475</v>
      </c>
    </row>
    <row r="35" spans="2:33" x14ac:dyDescent="0.2">
      <c r="B35" s="3" t="s">
        <v>60</v>
      </c>
      <c r="C35" s="183">
        <f t="shared" si="5"/>
        <v>63000000</v>
      </c>
      <c r="D35" s="183">
        <f>D5</f>
        <v>0</v>
      </c>
      <c r="E35" s="183">
        <f t="shared" ref="E35:AG35" si="8">E5</f>
        <v>0</v>
      </c>
      <c r="F35" s="183">
        <f t="shared" si="8"/>
        <v>0</v>
      </c>
      <c r="G35" s="183">
        <f t="shared" si="8"/>
        <v>42000000</v>
      </c>
      <c r="H35" s="183">
        <f t="shared" si="8"/>
        <v>21000000</v>
      </c>
      <c r="I35" s="183">
        <f t="shared" si="8"/>
        <v>0</v>
      </c>
      <c r="J35" s="183">
        <f t="shared" si="8"/>
        <v>0</v>
      </c>
      <c r="K35" s="183">
        <f t="shared" si="8"/>
        <v>0</v>
      </c>
      <c r="L35" s="183">
        <f t="shared" si="8"/>
        <v>0</v>
      </c>
      <c r="M35" s="183">
        <f t="shared" si="8"/>
        <v>0</v>
      </c>
      <c r="N35" s="183">
        <f t="shared" si="8"/>
        <v>0</v>
      </c>
      <c r="O35" s="183">
        <f t="shared" si="8"/>
        <v>0</v>
      </c>
      <c r="P35" s="183">
        <f t="shared" si="8"/>
        <v>0</v>
      </c>
      <c r="Q35" s="183">
        <f t="shared" si="8"/>
        <v>0</v>
      </c>
      <c r="R35" s="183">
        <f t="shared" si="8"/>
        <v>0</v>
      </c>
      <c r="S35" s="183">
        <f t="shared" si="8"/>
        <v>0</v>
      </c>
      <c r="T35" s="183">
        <f t="shared" si="8"/>
        <v>0</v>
      </c>
      <c r="U35" s="183">
        <f t="shared" si="8"/>
        <v>0</v>
      </c>
      <c r="V35" s="183">
        <f t="shared" si="8"/>
        <v>0</v>
      </c>
      <c r="W35" s="183">
        <f t="shared" si="8"/>
        <v>0</v>
      </c>
      <c r="X35" s="183">
        <f t="shared" si="8"/>
        <v>0</v>
      </c>
      <c r="Y35" s="183">
        <f t="shared" si="8"/>
        <v>0</v>
      </c>
      <c r="Z35" s="183">
        <f t="shared" si="8"/>
        <v>0</v>
      </c>
      <c r="AA35" s="183">
        <f t="shared" si="8"/>
        <v>0</v>
      </c>
      <c r="AB35" s="183">
        <f t="shared" si="8"/>
        <v>0</v>
      </c>
      <c r="AC35" s="183">
        <f t="shared" si="8"/>
        <v>0</v>
      </c>
      <c r="AD35" s="183">
        <f t="shared" si="8"/>
        <v>0</v>
      </c>
      <c r="AE35" s="183">
        <f t="shared" si="8"/>
        <v>0</v>
      </c>
      <c r="AF35" s="183">
        <f t="shared" si="8"/>
        <v>0</v>
      </c>
      <c r="AG35" s="183">
        <f t="shared" si="8"/>
        <v>0</v>
      </c>
    </row>
    <row r="36" spans="2:33" x14ac:dyDescent="0.2">
      <c r="B36" s="3" t="s">
        <v>59</v>
      </c>
      <c r="C36" s="183">
        <f t="shared" si="5"/>
        <v>-6633856.7798612742</v>
      </c>
      <c r="D36" s="183">
        <f>D6</f>
        <v>0</v>
      </c>
      <c r="E36" s="183">
        <f t="shared" ref="E36:AG36" si="9">E6</f>
        <v>0</v>
      </c>
      <c r="F36" s="183">
        <f t="shared" si="9"/>
        <v>0</v>
      </c>
      <c r="G36" s="183">
        <f t="shared" si="9"/>
        <v>-18491576.672217257</v>
      </c>
      <c r="H36" s="183">
        <f t="shared" si="9"/>
        <v>-14644014.314874563</v>
      </c>
      <c r="I36" s="183">
        <f t="shared" si="9"/>
        <v>-24843495.57926672</v>
      </c>
      <c r="J36" s="183">
        <f t="shared" si="9"/>
        <v>-1042965.5253072092</v>
      </c>
      <c r="K36" s="183">
        <f t="shared" si="9"/>
        <v>2357576.093960382</v>
      </c>
      <c r="L36" s="183">
        <f t="shared" si="9"/>
        <v>2358129.5308808358</v>
      </c>
      <c r="M36" s="183">
        <f t="shared" si="9"/>
        <v>2358695.0433048764</v>
      </c>
      <c r="N36" s="183">
        <f t="shared" si="9"/>
        <v>2359272.8947092965</v>
      </c>
      <c r="O36" s="183">
        <f t="shared" si="9"/>
        <v>2359863.3543197252</v>
      </c>
      <c r="P36" s="183">
        <f t="shared" si="9"/>
        <v>2360466.6972360518</v>
      </c>
      <c r="Q36" s="183">
        <f t="shared" si="9"/>
        <v>2361083.2045606058</v>
      </c>
      <c r="R36" s="183">
        <f t="shared" si="9"/>
        <v>2361713.1635291232</v>
      </c>
      <c r="S36" s="183">
        <f t="shared" si="9"/>
        <v>2362356.8676445577</v>
      </c>
      <c r="T36" s="183">
        <f t="shared" si="9"/>
        <v>2363014.6168138459</v>
      </c>
      <c r="U36" s="183">
        <f t="shared" si="9"/>
        <v>2363686.7174876304</v>
      </c>
      <c r="V36" s="183">
        <f t="shared" si="9"/>
        <v>2904373.4828030318</v>
      </c>
      <c r="W36" s="183">
        <f t="shared" si="9"/>
        <v>2455075.232729543</v>
      </c>
      <c r="X36" s="183">
        <f t="shared" si="9"/>
        <v>1645792.2942181155</v>
      </c>
      <c r="Y36" s="183">
        <f t="shared" si="9"/>
        <v>2276525.0013534725</v>
      </c>
      <c r="Z36" s="183">
        <f t="shared" si="9"/>
        <v>13287273.695509776</v>
      </c>
      <c r="AA36" s="183">
        <f t="shared" si="9"/>
        <v>2368038.7255096706</v>
      </c>
      <c r="AB36" s="183">
        <f t="shared" si="9"/>
        <v>-2181179.5522132097</v>
      </c>
      <c r="AC36" s="183">
        <f t="shared" si="9"/>
        <v>-4910380.7734481469</v>
      </c>
      <c r="AD36" s="183">
        <f t="shared" si="9"/>
        <v>1460435.4339623228</v>
      </c>
      <c r="AE36" s="183">
        <f t="shared" si="9"/>
        <v>2371269.4502958078</v>
      </c>
      <c r="AF36" s="183">
        <f t="shared" si="9"/>
        <v>2372121.6641272418</v>
      </c>
      <c r="AG36" s="183">
        <f t="shared" si="9"/>
        <v>2372992.4725099178</v>
      </c>
    </row>
    <row r="37" spans="2:33" x14ac:dyDescent="0.2">
      <c r="B37" s="3" t="s">
        <v>232</v>
      </c>
      <c r="C37" s="183">
        <f t="shared" si="5"/>
        <v>71613832.5</v>
      </c>
      <c r="D37" s="183">
        <f>D20</f>
        <v>0</v>
      </c>
      <c r="E37" s="183">
        <f t="shared" ref="E37:AG37" si="10">E20</f>
        <v>0</v>
      </c>
      <c r="F37" s="183">
        <f t="shared" si="10"/>
        <v>0</v>
      </c>
      <c r="G37" s="183">
        <f t="shared" si="10"/>
        <v>128100</v>
      </c>
      <c r="H37" s="183">
        <f t="shared" si="10"/>
        <v>7537522.5</v>
      </c>
      <c r="I37" s="183">
        <f t="shared" si="10"/>
        <v>10977047.5</v>
      </c>
      <c r="J37" s="183">
        <f t="shared" si="10"/>
        <v>10644897.5</v>
      </c>
      <c r="K37" s="183">
        <f t="shared" si="10"/>
        <v>10312747.5</v>
      </c>
      <c r="L37" s="183">
        <f t="shared" si="10"/>
        <v>9980597.5</v>
      </c>
      <c r="M37" s="183">
        <f t="shared" si="10"/>
        <v>9648447.5</v>
      </c>
      <c r="N37" s="183">
        <f t="shared" si="10"/>
        <v>9316297.5</v>
      </c>
      <c r="O37" s="183">
        <f t="shared" si="10"/>
        <v>3068175</v>
      </c>
      <c r="P37" s="183">
        <f t="shared" si="10"/>
        <v>0</v>
      </c>
      <c r="Q37" s="183">
        <f t="shared" si="10"/>
        <v>0</v>
      </c>
      <c r="R37" s="183">
        <f t="shared" si="10"/>
        <v>0</v>
      </c>
      <c r="S37" s="183">
        <f t="shared" si="10"/>
        <v>0</v>
      </c>
      <c r="T37" s="183">
        <f t="shared" si="10"/>
        <v>0</v>
      </c>
      <c r="U37" s="183">
        <f t="shared" si="10"/>
        <v>0</v>
      </c>
      <c r="V37" s="183">
        <f t="shared" si="10"/>
        <v>0</v>
      </c>
      <c r="W37" s="183">
        <f t="shared" si="10"/>
        <v>0</v>
      </c>
      <c r="X37" s="183">
        <f t="shared" si="10"/>
        <v>0</v>
      </c>
      <c r="Y37" s="183">
        <f t="shared" si="10"/>
        <v>0</v>
      </c>
      <c r="Z37" s="183">
        <f t="shared" si="10"/>
        <v>0</v>
      </c>
      <c r="AA37" s="183">
        <f t="shared" si="10"/>
        <v>0</v>
      </c>
      <c r="AB37" s="183">
        <f t="shared" si="10"/>
        <v>0</v>
      </c>
      <c r="AC37" s="183">
        <f t="shared" si="10"/>
        <v>0</v>
      </c>
      <c r="AD37" s="183">
        <f t="shared" si="10"/>
        <v>0</v>
      </c>
      <c r="AE37" s="183">
        <f t="shared" si="10"/>
        <v>0</v>
      </c>
      <c r="AF37" s="183">
        <f t="shared" si="10"/>
        <v>0</v>
      </c>
      <c r="AG37" s="183">
        <f t="shared" si="10"/>
        <v>0</v>
      </c>
    </row>
    <row r="38" spans="2:33" x14ac:dyDescent="0.2">
      <c r="B38" s="4" t="s">
        <v>23</v>
      </c>
      <c r="C38" s="188">
        <f t="shared" si="5"/>
        <v>127979975.72013874</v>
      </c>
      <c r="D38" s="188">
        <f>SUM(D35:D37)</f>
        <v>0</v>
      </c>
      <c r="E38" s="188">
        <f t="shared" ref="E38:AG38" si="11">SUM(E35:E37)</f>
        <v>0</v>
      </c>
      <c r="F38" s="188">
        <f t="shared" si="11"/>
        <v>0</v>
      </c>
      <c r="G38" s="188">
        <f t="shared" si="11"/>
        <v>23636523.327782743</v>
      </c>
      <c r="H38" s="188">
        <f t="shared" si="11"/>
        <v>13893508.185125437</v>
      </c>
      <c r="I38" s="188">
        <f t="shared" si="11"/>
        <v>-13866448.07926672</v>
      </c>
      <c r="J38" s="188">
        <f t="shared" si="11"/>
        <v>9601931.9746927917</v>
      </c>
      <c r="K38" s="188">
        <f t="shared" si="11"/>
        <v>12670323.593960382</v>
      </c>
      <c r="L38" s="188">
        <f t="shared" si="11"/>
        <v>12338727.030880835</v>
      </c>
      <c r="M38" s="188">
        <f t="shared" si="11"/>
        <v>12007142.543304875</v>
      </c>
      <c r="N38" s="188">
        <f t="shared" si="11"/>
        <v>11675570.394709297</v>
      </c>
      <c r="O38" s="188">
        <f t="shared" si="11"/>
        <v>5428038.3543197252</v>
      </c>
      <c r="P38" s="188">
        <f t="shared" si="11"/>
        <v>2360466.6972360518</v>
      </c>
      <c r="Q38" s="188">
        <f t="shared" si="11"/>
        <v>2361083.2045606058</v>
      </c>
      <c r="R38" s="188">
        <f t="shared" si="11"/>
        <v>2361713.1635291232</v>
      </c>
      <c r="S38" s="188">
        <f t="shared" si="11"/>
        <v>2362356.8676445577</v>
      </c>
      <c r="T38" s="188">
        <f t="shared" si="11"/>
        <v>2363014.6168138459</v>
      </c>
      <c r="U38" s="188">
        <f t="shared" si="11"/>
        <v>2363686.7174876304</v>
      </c>
      <c r="V38" s="188">
        <f t="shared" si="11"/>
        <v>2904373.4828030318</v>
      </c>
      <c r="W38" s="188">
        <f t="shared" si="11"/>
        <v>2455075.232729543</v>
      </c>
      <c r="X38" s="188">
        <f t="shared" si="11"/>
        <v>1645792.2942181155</v>
      </c>
      <c r="Y38" s="188">
        <f t="shared" si="11"/>
        <v>2276525.0013534725</v>
      </c>
      <c r="Z38" s="188">
        <f t="shared" si="11"/>
        <v>13287273.695509776</v>
      </c>
      <c r="AA38" s="188">
        <f t="shared" si="11"/>
        <v>2368038.7255096706</v>
      </c>
      <c r="AB38" s="188">
        <f t="shared" si="11"/>
        <v>-2181179.5522132097</v>
      </c>
      <c r="AC38" s="188">
        <f t="shared" si="11"/>
        <v>-4910380.7734481469</v>
      </c>
      <c r="AD38" s="188">
        <f t="shared" si="11"/>
        <v>1460435.4339623228</v>
      </c>
      <c r="AE38" s="188">
        <f t="shared" si="11"/>
        <v>2371269.4502958078</v>
      </c>
      <c r="AF38" s="188">
        <f t="shared" si="11"/>
        <v>2372121.6641272418</v>
      </c>
      <c r="AG38" s="188">
        <f t="shared" si="11"/>
        <v>2372992.4725099178</v>
      </c>
    </row>
    <row r="39" spans="2:33" x14ac:dyDescent="0.2">
      <c r="B39" s="127" t="s">
        <v>46</v>
      </c>
      <c r="C39" s="216">
        <f t="shared" si="5"/>
        <v>-46810768.059587635</v>
      </c>
      <c r="D39" s="216">
        <f>D34-D38</f>
        <v>0</v>
      </c>
      <c r="E39" s="216">
        <f t="shared" ref="E39:AG39" si="12">E34-E38</f>
        <v>0</v>
      </c>
      <c r="F39" s="216">
        <f t="shared" si="12"/>
        <v>0</v>
      </c>
      <c r="G39" s="216">
        <f t="shared" si="12"/>
        <v>19022632.700135656</v>
      </c>
      <c r="H39" s="216">
        <f t="shared" si="12"/>
        <v>7696965.0190385617</v>
      </c>
      <c r="I39" s="216">
        <f t="shared" si="12"/>
        <v>14468730.747514</v>
      </c>
      <c r="J39" s="216">
        <f t="shared" si="12"/>
        <v>-8999649.3064455111</v>
      </c>
      <c r="K39" s="216">
        <f t="shared" si="12"/>
        <v>-12055995.272348156</v>
      </c>
      <c r="L39" s="216">
        <f t="shared" si="12"/>
        <v>-11724398.709268609</v>
      </c>
      <c r="M39" s="216">
        <f t="shared" si="12"/>
        <v>-11380527.655260406</v>
      </c>
      <c r="N39" s="216">
        <f t="shared" si="12"/>
        <v>-11048955.506664827</v>
      </c>
      <c r="O39" s="216">
        <f t="shared" si="12"/>
        <v>-4788891.1685143672</v>
      </c>
      <c r="P39" s="216">
        <f t="shared" si="12"/>
        <v>-1721319.5114306938</v>
      </c>
      <c r="Q39" s="216">
        <f t="shared" si="12"/>
        <v>-1709153.0750391399</v>
      </c>
      <c r="R39" s="216">
        <f t="shared" si="12"/>
        <v>-1709783.0340076573</v>
      </c>
      <c r="S39" s="216">
        <f t="shared" si="12"/>
        <v>-1697388.1355326623</v>
      </c>
      <c r="T39" s="216">
        <f t="shared" si="12"/>
        <v>-1698045.8847019505</v>
      </c>
      <c r="U39" s="216">
        <f t="shared" si="12"/>
        <v>-1685418.610733497</v>
      </c>
      <c r="V39" s="216">
        <f t="shared" si="12"/>
        <v>-2226105.3760488983</v>
      </c>
      <c r="W39" s="216">
        <f t="shared" si="12"/>
        <v>-1763241.7638403261</v>
      </c>
      <c r="X39" s="216">
        <f t="shared" si="12"/>
        <v>-953958.82532889862</v>
      </c>
      <c r="Y39" s="216">
        <f t="shared" si="12"/>
        <v>-1570854.8630864713</v>
      </c>
      <c r="Z39" s="216">
        <f t="shared" si="12"/>
        <v>-12581603.557242775</v>
      </c>
      <c r="AA39" s="216">
        <f t="shared" si="12"/>
        <v>-1648255.1844773302</v>
      </c>
      <c r="AB39" s="216">
        <f t="shared" si="12"/>
        <v>2900963.0932455501</v>
      </c>
      <c r="AC39" s="216">
        <f t="shared" si="12"/>
        <v>5644559.9853011351</v>
      </c>
      <c r="AD39" s="216">
        <f t="shared" si="12"/>
        <v>-726256.22210933454</v>
      </c>
      <c r="AE39" s="216">
        <f t="shared" si="12"/>
        <v>-1622406.6542057609</v>
      </c>
      <c r="AF39" s="216">
        <f t="shared" si="12"/>
        <v>-1623258.8680371949</v>
      </c>
      <c r="AG39" s="216">
        <f t="shared" si="12"/>
        <v>-1609152.4204980703</v>
      </c>
    </row>
    <row r="40" spans="2:33" x14ac:dyDescent="0.2">
      <c r="B40" s="3" t="s">
        <v>24</v>
      </c>
      <c r="C40" s="188"/>
      <c r="D40" s="183">
        <f>D39</f>
        <v>0</v>
      </c>
      <c r="E40" s="183">
        <f>D40+E39</f>
        <v>0</v>
      </c>
      <c r="F40" s="183">
        <f t="shared" ref="F40:AG40" si="13">E40+F39</f>
        <v>0</v>
      </c>
      <c r="G40" s="183">
        <f t="shared" si="13"/>
        <v>19022632.700135656</v>
      </c>
      <c r="H40" s="183">
        <f t="shared" si="13"/>
        <v>26719597.719174217</v>
      </c>
      <c r="I40" s="183">
        <f t="shared" si="13"/>
        <v>41188328.466688216</v>
      </c>
      <c r="J40" s="183">
        <f t="shared" si="13"/>
        <v>32188679.160242707</v>
      </c>
      <c r="K40" s="183">
        <f t="shared" si="13"/>
        <v>20132683.887894548</v>
      </c>
      <c r="L40" s="183">
        <f t="shared" si="13"/>
        <v>8408285.1786259394</v>
      </c>
      <c r="M40" s="183">
        <f t="shared" si="13"/>
        <v>-2972242.476634467</v>
      </c>
      <c r="N40" s="183">
        <f t="shared" si="13"/>
        <v>-14021197.983299294</v>
      </c>
      <c r="O40" s="183">
        <f t="shared" si="13"/>
        <v>-18810089.151813664</v>
      </c>
      <c r="P40" s="183">
        <f t="shared" si="13"/>
        <v>-20531408.663244359</v>
      </c>
      <c r="Q40" s="183">
        <f t="shared" si="13"/>
        <v>-22240561.7382835</v>
      </c>
      <c r="R40" s="183">
        <f t="shared" si="13"/>
        <v>-23950344.772291157</v>
      </c>
      <c r="S40" s="183">
        <f t="shared" si="13"/>
        <v>-25647732.90782382</v>
      </c>
      <c r="T40" s="183">
        <f t="shared" si="13"/>
        <v>-27345778.792525768</v>
      </c>
      <c r="U40" s="183">
        <f t="shared" si="13"/>
        <v>-29031197.403259266</v>
      </c>
      <c r="V40" s="183">
        <f t="shared" si="13"/>
        <v>-31257302.779308163</v>
      </c>
      <c r="W40" s="183">
        <f t="shared" si="13"/>
        <v>-33020544.543148488</v>
      </c>
      <c r="X40" s="183">
        <f t="shared" si="13"/>
        <v>-33974503.368477389</v>
      </c>
      <c r="Y40" s="183">
        <f t="shared" si="13"/>
        <v>-35545358.231563859</v>
      </c>
      <c r="Z40" s="183">
        <f t="shared" si="13"/>
        <v>-48126961.788806632</v>
      </c>
      <c r="AA40" s="183">
        <f t="shared" si="13"/>
        <v>-49775216.973283961</v>
      </c>
      <c r="AB40" s="183">
        <f t="shared" si="13"/>
        <v>-46874253.88003841</v>
      </c>
      <c r="AC40" s="183">
        <f t="shared" si="13"/>
        <v>-41229693.894737273</v>
      </c>
      <c r="AD40" s="183">
        <f t="shared" si="13"/>
        <v>-41955950.116846606</v>
      </c>
      <c r="AE40" s="183">
        <f t="shared" si="13"/>
        <v>-43578356.771052368</v>
      </c>
      <c r="AF40" s="183">
        <f t="shared" si="13"/>
        <v>-45201615.639089562</v>
      </c>
      <c r="AG40" s="183">
        <f t="shared" si="13"/>
        <v>-46810768.059587635</v>
      </c>
    </row>
    <row r="41" spans="2:33" x14ac:dyDescent="0.2">
      <c r="B41" s="3" t="s">
        <v>244</v>
      </c>
      <c r="C41" s="188">
        <f t="shared" si="5"/>
        <v>681901079.93511558</v>
      </c>
      <c r="D41" s="186">
        <f>IF(D40&lt;0,-D40,0)</f>
        <v>0</v>
      </c>
      <c r="E41" s="186">
        <f t="shared" ref="E41:AG41" si="14">IF(E40&lt;0,-E40,0)</f>
        <v>0</v>
      </c>
      <c r="F41" s="186">
        <f t="shared" si="14"/>
        <v>0</v>
      </c>
      <c r="G41" s="186">
        <f t="shared" si="14"/>
        <v>0</v>
      </c>
      <c r="H41" s="186">
        <f t="shared" si="14"/>
        <v>0</v>
      </c>
      <c r="I41" s="186">
        <f t="shared" si="14"/>
        <v>0</v>
      </c>
      <c r="J41" s="186">
        <f t="shared" si="14"/>
        <v>0</v>
      </c>
      <c r="K41" s="186">
        <f t="shared" si="14"/>
        <v>0</v>
      </c>
      <c r="L41" s="186">
        <f t="shared" si="14"/>
        <v>0</v>
      </c>
      <c r="M41" s="186">
        <f t="shared" si="14"/>
        <v>2972242.476634467</v>
      </c>
      <c r="N41" s="186">
        <f t="shared" si="14"/>
        <v>14021197.983299294</v>
      </c>
      <c r="O41" s="186">
        <f t="shared" si="14"/>
        <v>18810089.151813664</v>
      </c>
      <c r="P41" s="186">
        <f t="shared" si="14"/>
        <v>20531408.663244359</v>
      </c>
      <c r="Q41" s="186">
        <f t="shared" si="14"/>
        <v>22240561.7382835</v>
      </c>
      <c r="R41" s="186">
        <f t="shared" si="14"/>
        <v>23950344.772291157</v>
      </c>
      <c r="S41" s="186">
        <f t="shared" si="14"/>
        <v>25647732.90782382</v>
      </c>
      <c r="T41" s="186">
        <f t="shared" si="14"/>
        <v>27345778.792525768</v>
      </c>
      <c r="U41" s="186">
        <f t="shared" si="14"/>
        <v>29031197.403259266</v>
      </c>
      <c r="V41" s="186">
        <f t="shared" si="14"/>
        <v>31257302.779308163</v>
      </c>
      <c r="W41" s="186">
        <f t="shared" si="14"/>
        <v>33020544.543148488</v>
      </c>
      <c r="X41" s="186">
        <f t="shared" si="14"/>
        <v>33974503.368477389</v>
      </c>
      <c r="Y41" s="186">
        <f t="shared" si="14"/>
        <v>35545358.231563859</v>
      </c>
      <c r="Z41" s="186">
        <f t="shared" si="14"/>
        <v>48126961.788806632</v>
      </c>
      <c r="AA41" s="186">
        <f t="shared" si="14"/>
        <v>49775216.973283961</v>
      </c>
      <c r="AB41" s="186">
        <f t="shared" si="14"/>
        <v>46874253.88003841</v>
      </c>
      <c r="AC41" s="186">
        <f t="shared" si="14"/>
        <v>41229693.894737273</v>
      </c>
      <c r="AD41" s="186">
        <f t="shared" si="14"/>
        <v>41955950.116846606</v>
      </c>
      <c r="AE41" s="186">
        <f t="shared" si="14"/>
        <v>43578356.771052368</v>
      </c>
      <c r="AF41" s="186">
        <f t="shared" si="14"/>
        <v>45201615.639089562</v>
      </c>
      <c r="AG41" s="186">
        <f t="shared" si="14"/>
        <v>46810768.059587635</v>
      </c>
    </row>
    <row r="42" spans="2:33" x14ac:dyDescent="0.2">
      <c r="B42" s="22" t="s">
        <v>245</v>
      </c>
      <c r="C42" s="217"/>
      <c r="D42" s="217">
        <f>D40+D41</f>
        <v>0</v>
      </c>
      <c r="E42" s="217">
        <f t="shared" ref="E42:AG42" si="15">E40+E41</f>
        <v>0</v>
      </c>
      <c r="F42" s="217">
        <f t="shared" si="15"/>
        <v>0</v>
      </c>
      <c r="G42" s="217">
        <f t="shared" si="15"/>
        <v>19022632.700135656</v>
      </c>
      <c r="H42" s="217">
        <f t="shared" si="15"/>
        <v>26719597.719174217</v>
      </c>
      <c r="I42" s="217">
        <f t="shared" si="15"/>
        <v>41188328.466688216</v>
      </c>
      <c r="J42" s="217">
        <f t="shared" si="15"/>
        <v>32188679.160242707</v>
      </c>
      <c r="K42" s="217">
        <f t="shared" si="15"/>
        <v>20132683.887894548</v>
      </c>
      <c r="L42" s="217">
        <f t="shared" si="15"/>
        <v>8408285.1786259394</v>
      </c>
      <c r="M42" s="217">
        <f t="shared" si="15"/>
        <v>0</v>
      </c>
      <c r="N42" s="217">
        <f t="shared" si="15"/>
        <v>0</v>
      </c>
      <c r="O42" s="217">
        <f t="shared" si="15"/>
        <v>0</v>
      </c>
      <c r="P42" s="217">
        <f t="shared" si="15"/>
        <v>0</v>
      </c>
      <c r="Q42" s="217">
        <f t="shared" si="15"/>
        <v>0</v>
      </c>
      <c r="R42" s="217">
        <f t="shared" si="15"/>
        <v>0</v>
      </c>
      <c r="S42" s="217">
        <f t="shared" si="15"/>
        <v>0</v>
      </c>
      <c r="T42" s="217">
        <f t="shared" si="15"/>
        <v>0</v>
      </c>
      <c r="U42" s="217">
        <f t="shared" si="15"/>
        <v>0</v>
      </c>
      <c r="V42" s="217">
        <f t="shared" si="15"/>
        <v>0</v>
      </c>
      <c r="W42" s="217">
        <f t="shared" si="15"/>
        <v>0</v>
      </c>
      <c r="X42" s="217">
        <f t="shared" si="15"/>
        <v>0</v>
      </c>
      <c r="Y42" s="217">
        <f t="shared" si="15"/>
        <v>0</v>
      </c>
      <c r="Z42" s="217">
        <f t="shared" si="15"/>
        <v>0</v>
      </c>
      <c r="AA42" s="217">
        <f t="shared" si="15"/>
        <v>0</v>
      </c>
      <c r="AB42" s="217">
        <f t="shared" si="15"/>
        <v>0</v>
      </c>
      <c r="AC42" s="217">
        <f t="shared" si="15"/>
        <v>0</v>
      </c>
      <c r="AD42" s="217">
        <f t="shared" si="15"/>
        <v>0</v>
      </c>
      <c r="AE42" s="217">
        <f t="shared" si="15"/>
        <v>0</v>
      </c>
      <c r="AF42" s="217">
        <f t="shared" si="15"/>
        <v>0</v>
      </c>
      <c r="AG42" s="217">
        <f t="shared" si="15"/>
        <v>0</v>
      </c>
    </row>
    <row r="45" spans="2:33" x14ac:dyDescent="0.2">
      <c r="B45" s="10" t="s">
        <v>248</v>
      </c>
      <c r="C45" s="10"/>
      <c r="D45" s="3" t="s">
        <v>10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2:33" x14ac:dyDescent="0.2">
      <c r="B46" s="4"/>
      <c r="C46" s="4"/>
      <c r="D46" s="5">
        <v>1</v>
      </c>
      <c r="E46" s="5">
        <v>2</v>
      </c>
      <c r="F46" s="5">
        <v>3</v>
      </c>
      <c r="G46" s="5">
        <v>4</v>
      </c>
      <c r="H46" s="5">
        <v>5</v>
      </c>
      <c r="I46" s="5">
        <v>6</v>
      </c>
      <c r="J46" s="5">
        <v>7</v>
      </c>
      <c r="K46" s="5">
        <v>8</v>
      </c>
      <c r="L46" s="5">
        <v>9</v>
      </c>
      <c r="M46" s="5">
        <v>10</v>
      </c>
      <c r="N46" s="5">
        <v>11</v>
      </c>
      <c r="O46" s="5">
        <v>12</v>
      </c>
      <c r="P46" s="5">
        <v>13</v>
      </c>
      <c r="Q46" s="5">
        <v>14</v>
      </c>
      <c r="R46" s="5">
        <v>15</v>
      </c>
      <c r="S46" s="5">
        <v>16</v>
      </c>
      <c r="T46" s="5">
        <v>17</v>
      </c>
      <c r="U46" s="5">
        <v>18</v>
      </c>
      <c r="V46" s="5">
        <v>19</v>
      </c>
      <c r="W46" s="5">
        <v>20</v>
      </c>
      <c r="X46" s="5">
        <v>21</v>
      </c>
      <c r="Y46" s="5">
        <v>22</v>
      </c>
      <c r="Z46" s="5">
        <v>23</v>
      </c>
      <c r="AA46" s="5">
        <v>24</v>
      </c>
      <c r="AB46" s="5">
        <v>25</v>
      </c>
      <c r="AC46" s="5">
        <v>26</v>
      </c>
      <c r="AD46" s="5">
        <v>27</v>
      </c>
      <c r="AE46" s="5">
        <v>28</v>
      </c>
      <c r="AF46" s="5">
        <v>29</v>
      </c>
      <c r="AG46" s="5">
        <v>30</v>
      </c>
    </row>
    <row r="47" spans="2:33" x14ac:dyDescent="0.2">
      <c r="B47" s="6" t="s">
        <v>37</v>
      </c>
      <c r="C47" s="124" t="s">
        <v>9</v>
      </c>
      <c r="D47" s="7">
        <f>D4</f>
        <v>2023</v>
      </c>
      <c r="E47" s="7">
        <f t="shared" ref="E47:AG47" si="16">E4</f>
        <v>2024</v>
      </c>
      <c r="F47" s="7">
        <f t="shared" si="16"/>
        <v>2025</v>
      </c>
      <c r="G47" s="7">
        <f t="shared" si="16"/>
        <v>2026</v>
      </c>
      <c r="H47" s="7">
        <f t="shared" si="16"/>
        <v>2027</v>
      </c>
      <c r="I47" s="7">
        <f t="shared" si="16"/>
        <v>2028</v>
      </c>
      <c r="J47" s="7">
        <f t="shared" si="16"/>
        <v>2029</v>
      </c>
      <c r="K47" s="7">
        <f t="shared" si="16"/>
        <v>2030</v>
      </c>
      <c r="L47" s="7">
        <f t="shared" si="16"/>
        <v>2031</v>
      </c>
      <c r="M47" s="7">
        <f t="shared" si="16"/>
        <v>2032</v>
      </c>
      <c r="N47" s="7">
        <f t="shared" si="16"/>
        <v>2033</v>
      </c>
      <c r="O47" s="7">
        <f t="shared" si="16"/>
        <v>2034</v>
      </c>
      <c r="P47" s="7">
        <f t="shared" si="16"/>
        <v>2035</v>
      </c>
      <c r="Q47" s="7">
        <f t="shared" si="16"/>
        <v>2036</v>
      </c>
      <c r="R47" s="7">
        <f t="shared" si="16"/>
        <v>2037</v>
      </c>
      <c r="S47" s="7">
        <f t="shared" si="16"/>
        <v>2038</v>
      </c>
      <c r="T47" s="7">
        <f t="shared" si="16"/>
        <v>2039</v>
      </c>
      <c r="U47" s="7">
        <f t="shared" si="16"/>
        <v>2040</v>
      </c>
      <c r="V47" s="7">
        <f t="shared" si="16"/>
        <v>2041</v>
      </c>
      <c r="W47" s="7">
        <f t="shared" si="16"/>
        <v>2042</v>
      </c>
      <c r="X47" s="7">
        <f t="shared" si="16"/>
        <v>2043</v>
      </c>
      <c r="Y47" s="7">
        <f t="shared" si="16"/>
        <v>2044</v>
      </c>
      <c r="Z47" s="7">
        <f t="shared" si="16"/>
        <v>2045</v>
      </c>
      <c r="AA47" s="7">
        <f t="shared" si="16"/>
        <v>2046</v>
      </c>
      <c r="AB47" s="7">
        <f t="shared" si="16"/>
        <v>2047</v>
      </c>
      <c r="AC47" s="7">
        <f t="shared" si="16"/>
        <v>2048</v>
      </c>
      <c r="AD47" s="7">
        <f t="shared" si="16"/>
        <v>2049</v>
      </c>
      <c r="AE47" s="7">
        <f t="shared" si="16"/>
        <v>2050</v>
      </c>
      <c r="AF47" s="7">
        <f t="shared" si="16"/>
        <v>2051</v>
      </c>
      <c r="AG47" s="7">
        <f t="shared" si="16"/>
        <v>2052</v>
      </c>
    </row>
    <row r="48" spans="2:33" x14ac:dyDescent="0.2">
      <c r="B48" s="3" t="s">
        <v>242</v>
      </c>
      <c r="C48" s="183">
        <f>SUM(D48:AG48)</f>
        <v>63000000</v>
      </c>
      <c r="D48" s="183">
        <f>'05 Financovanie - nové'!D18</f>
        <v>0</v>
      </c>
      <c r="E48" s="183">
        <f>'05 Financovanie - nové'!E18</f>
        <v>0</v>
      </c>
      <c r="F48" s="183">
        <f>'05 Financovanie - nové'!F18</f>
        <v>0</v>
      </c>
      <c r="G48" s="183">
        <f>'05 Financovanie - nové'!G18</f>
        <v>42000000</v>
      </c>
      <c r="H48" s="183">
        <f>'05 Financovanie - nové'!H18</f>
        <v>21000000</v>
      </c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</row>
    <row r="49" spans="2:33" x14ac:dyDescent="0.2">
      <c r="B49" s="128" t="s">
        <v>247</v>
      </c>
      <c r="C49" s="218">
        <f t="shared" ref="C49:C55" si="17">SUM(D49:AG49)</f>
        <v>151890153.74011132</v>
      </c>
      <c r="D49" s="218">
        <f>'04 Prevádzkové príjmy - nové'!D15</f>
        <v>3827958.8400000003</v>
      </c>
      <c r="E49" s="218">
        <f>'04 Prevádzkové príjmy - nové'!E15</f>
        <v>3904518.0168000003</v>
      </c>
      <c r="F49" s="218">
        <f>'04 Prevádzkové príjmy - nové'!F15</f>
        <v>3904518.0168000003</v>
      </c>
      <c r="G49" s="218">
        <f>'04 Prevádzkové príjmy - nové'!G15</f>
        <v>4641764.4050543997</v>
      </c>
      <c r="H49" s="218">
        <f>'04 Prevádzkové príjmy - nové'!H15</f>
        <v>4573081.5812999997</v>
      </c>
      <c r="I49" s="218">
        <f>'04 Prevádzkové príjmy - nové'!I15</f>
        <v>4664543.2129260004</v>
      </c>
      <c r="J49" s="218">
        <f>'04 Prevádzkové príjmy - nové'!J15</f>
        <v>4664543.2129260004</v>
      </c>
      <c r="K49" s="218">
        <f>'04 Prevádzkové príjmy - nové'!K15</f>
        <v>4757834.0771845197</v>
      </c>
      <c r="L49" s="218">
        <f>'04 Prevádzkové príjmy - nové'!L15</f>
        <v>4757834.0771845197</v>
      </c>
      <c r="M49" s="218">
        <f>'04 Prevádzkové príjmy - nové'!M15</f>
        <v>4852990.7587282099</v>
      </c>
      <c r="N49" s="218">
        <f>'04 Prevádzkové príjmy - nové'!N15</f>
        <v>4852990.7587282099</v>
      </c>
      <c r="O49" s="218">
        <f>'04 Prevádzkové príjmy - nové'!O15</f>
        <v>4950050.5739027746</v>
      </c>
      <c r="P49" s="218">
        <f>'04 Prevádzkové príjmy - nové'!P15</f>
        <v>4950050.5739027746</v>
      </c>
      <c r="Q49" s="218">
        <f>'04 Prevádzkové príjmy - nové'!Q15</f>
        <v>5049051.5853808299</v>
      </c>
      <c r="R49" s="218">
        <f>'04 Prevádzkové príjmy - nové'!R15</f>
        <v>5049051.5853808299</v>
      </c>
      <c r="S49" s="218">
        <f>'04 Prevádzkové príjmy - nové'!S15</f>
        <v>5150032.6170884473</v>
      </c>
      <c r="T49" s="218">
        <f>'04 Prevádzkové príjmy - nové'!T15</f>
        <v>5150032.6170884473</v>
      </c>
      <c r="U49" s="218">
        <f>'04 Prevádzkové príjmy - nové'!U15</f>
        <v>5253033.2694302164</v>
      </c>
      <c r="V49" s="218">
        <f>'04 Prevádzkové príjmy - nové'!V15</f>
        <v>5253033.2694302164</v>
      </c>
      <c r="W49" s="218">
        <f>'04 Prevádzkové príjmy - nové'!W15</f>
        <v>5358093.934818821</v>
      </c>
      <c r="X49" s="218">
        <f>'04 Prevádzkové príjmy - nové'!X15</f>
        <v>5358093.934818821</v>
      </c>
      <c r="Y49" s="218">
        <f>'04 Prevádzkové príjmy - nové'!Y15</f>
        <v>5465255.8135151975</v>
      </c>
      <c r="Z49" s="218">
        <f>'04 Prevádzkové príjmy - nové'!Z15</f>
        <v>5465255.8135151975</v>
      </c>
      <c r="AA49" s="218">
        <f>'04 Prevádzkové príjmy - nové'!AA15</f>
        <v>5574560.9297855012</v>
      </c>
      <c r="AB49" s="218">
        <f>'04 Prevádzkové príjmy - nové'!AB15</f>
        <v>5574560.9297855012</v>
      </c>
      <c r="AC49" s="218">
        <f>'04 Prevádzkové príjmy - nové'!AC15</f>
        <v>5686052.1483812118</v>
      </c>
      <c r="AD49" s="218">
        <f>'04 Prevádzkové príjmy - nové'!AD15</f>
        <v>5686052.1483812118</v>
      </c>
      <c r="AE49" s="218">
        <f>'04 Prevádzkové príjmy - nové'!AE15</f>
        <v>5799773.1913488349</v>
      </c>
      <c r="AF49" s="218">
        <f>'04 Prevádzkové príjmy - nové'!AF15</f>
        <v>5799773.1913488349</v>
      </c>
      <c r="AG49" s="218">
        <f>'04 Prevádzkové príjmy - nové'!AG15</f>
        <v>5915768.6551758125</v>
      </c>
    </row>
    <row r="50" spans="2:33" x14ac:dyDescent="0.2">
      <c r="B50" s="4" t="s">
        <v>11</v>
      </c>
      <c r="C50" s="188">
        <f t="shared" si="17"/>
        <v>214890153.7401112</v>
      </c>
      <c r="D50" s="188">
        <f>SUM(D48:D49)</f>
        <v>3827958.8400000003</v>
      </c>
      <c r="E50" s="188">
        <f t="shared" ref="E50" si="18">SUM(E48:E49)</f>
        <v>3904518.0168000003</v>
      </c>
      <c r="F50" s="188">
        <f t="shared" ref="F50" si="19">SUM(F48:F49)</f>
        <v>3904518.0168000003</v>
      </c>
      <c r="G50" s="188">
        <f t="shared" ref="G50" si="20">SUM(G48:G49)</f>
        <v>46641764.405054398</v>
      </c>
      <c r="H50" s="188">
        <f t="shared" ref="H50" si="21">SUM(H48:H49)</f>
        <v>25573081.581299998</v>
      </c>
      <c r="I50" s="188">
        <f t="shared" ref="I50" si="22">SUM(I48:I49)</f>
        <v>4664543.2129260004</v>
      </c>
      <c r="J50" s="188">
        <f t="shared" ref="J50" si="23">SUM(J48:J49)</f>
        <v>4664543.2129260004</v>
      </c>
      <c r="K50" s="188">
        <f t="shared" ref="K50" si="24">SUM(K48:K49)</f>
        <v>4757834.0771845197</v>
      </c>
      <c r="L50" s="188">
        <f t="shared" ref="L50" si="25">SUM(L48:L49)</f>
        <v>4757834.0771845197</v>
      </c>
      <c r="M50" s="188">
        <f t="shared" ref="M50" si="26">SUM(M48:M49)</f>
        <v>4852990.7587282099</v>
      </c>
      <c r="N50" s="188">
        <f t="shared" ref="N50" si="27">SUM(N48:N49)</f>
        <v>4852990.7587282099</v>
      </c>
      <c r="O50" s="188">
        <f t="shared" ref="O50" si="28">SUM(O48:O49)</f>
        <v>4950050.5739027746</v>
      </c>
      <c r="P50" s="188">
        <f t="shared" ref="P50" si="29">SUM(P48:P49)</f>
        <v>4950050.5739027746</v>
      </c>
      <c r="Q50" s="188">
        <f t="shared" ref="Q50" si="30">SUM(Q48:Q49)</f>
        <v>5049051.5853808299</v>
      </c>
      <c r="R50" s="188">
        <f t="shared" ref="R50" si="31">SUM(R48:R49)</f>
        <v>5049051.5853808299</v>
      </c>
      <c r="S50" s="188">
        <f t="shared" ref="S50" si="32">SUM(S48:S49)</f>
        <v>5150032.6170884473</v>
      </c>
      <c r="T50" s="188">
        <f t="shared" ref="T50" si="33">SUM(T48:T49)</f>
        <v>5150032.6170884473</v>
      </c>
      <c r="U50" s="188">
        <f t="shared" ref="U50" si="34">SUM(U48:U49)</f>
        <v>5253033.2694302164</v>
      </c>
      <c r="V50" s="188">
        <f t="shared" ref="V50" si="35">SUM(V48:V49)</f>
        <v>5253033.2694302164</v>
      </c>
      <c r="W50" s="188">
        <f t="shared" ref="W50" si="36">SUM(W48:W49)</f>
        <v>5358093.934818821</v>
      </c>
      <c r="X50" s="188">
        <f t="shared" ref="X50" si="37">SUM(X48:X49)</f>
        <v>5358093.934818821</v>
      </c>
      <c r="Y50" s="188">
        <f t="shared" ref="Y50" si="38">SUM(Y48:Y49)</f>
        <v>5465255.8135151975</v>
      </c>
      <c r="Z50" s="188">
        <f t="shared" ref="Z50" si="39">SUM(Z48:Z49)</f>
        <v>5465255.8135151975</v>
      </c>
      <c r="AA50" s="188">
        <f t="shared" ref="AA50" si="40">SUM(AA48:AA49)</f>
        <v>5574560.9297855012</v>
      </c>
      <c r="AB50" s="188">
        <f t="shared" ref="AB50" si="41">SUM(AB48:AB49)</f>
        <v>5574560.9297855012</v>
      </c>
      <c r="AC50" s="188">
        <f t="shared" ref="AC50" si="42">SUM(AC48:AC49)</f>
        <v>5686052.1483812118</v>
      </c>
      <c r="AD50" s="188">
        <f t="shared" ref="AD50" si="43">SUM(AD48:AD49)</f>
        <v>5686052.1483812118</v>
      </c>
      <c r="AE50" s="188">
        <f t="shared" ref="AE50" si="44">SUM(AE48:AE49)</f>
        <v>5799773.1913488349</v>
      </c>
      <c r="AF50" s="188">
        <f t="shared" ref="AF50" si="45">SUM(AF48:AF49)</f>
        <v>5799773.1913488349</v>
      </c>
      <c r="AG50" s="188">
        <f t="shared" ref="AG50" si="46">SUM(AG48:AG49)</f>
        <v>5915768.6551758125</v>
      </c>
    </row>
    <row r="51" spans="2:33" x14ac:dyDescent="0.2">
      <c r="B51" s="3" t="s">
        <v>60</v>
      </c>
      <c r="C51" s="183">
        <f t="shared" si="17"/>
        <v>63000000</v>
      </c>
      <c r="D51" s="183">
        <f>D5</f>
        <v>0</v>
      </c>
      <c r="E51" s="183">
        <f t="shared" ref="E51:H51" si="47">E5</f>
        <v>0</v>
      </c>
      <c r="F51" s="183">
        <f t="shared" si="47"/>
        <v>0</v>
      </c>
      <c r="G51" s="183">
        <f t="shared" si="47"/>
        <v>42000000</v>
      </c>
      <c r="H51" s="183">
        <f t="shared" si="47"/>
        <v>21000000</v>
      </c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</row>
    <row r="52" spans="2:33" x14ac:dyDescent="0.2">
      <c r="B52" s="128" t="s">
        <v>246</v>
      </c>
      <c r="C52" s="218">
        <f t="shared" si="17"/>
        <v>272092688.10606354</v>
      </c>
      <c r="D52" s="218">
        <f>'03 Prevádzkové výdavky - nové'!D21</f>
        <v>4599498.7706820788</v>
      </c>
      <c r="E52" s="218">
        <f>'03 Prevádzkové výdavky - nové'!E21</f>
        <v>4807184.9321360365</v>
      </c>
      <c r="F52" s="218">
        <f>'03 Prevádzkové výdavky - nové'!F21</f>
        <v>4980632.0697371401</v>
      </c>
      <c r="G52" s="218">
        <f>'03 Prevádzkové výdavky - nové'!G21</f>
        <v>6979992.9826622764</v>
      </c>
      <c r="H52" s="218">
        <f>'03 Prevádzkové výdavky - nové'!H21</f>
        <v>7520477.1027379576</v>
      </c>
      <c r="I52" s="218">
        <f>'03 Prevádzkové výdavky - nové'!I21</f>
        <v>7615945.0716675967</v>
      </c>
      <c r="J52" s="218">
        <f>'03 Prevádzkové výdavky - nové'!J21</f>
        <v>7713496.0671508135</v>
      </c>
      <c r="K52" s="218">
        <f>'03 Prevádzkové výdavky - nové'!K21</f>
        <v>7813175.5389826708</v>
      </c>
      <c r="L52" s="218">
        <f>'03 Prevádzkové výdavky - nové'!L21</f>
        <v>7915029.9286325164</v>
      </c>
      <c r="M52" s="218">
        <f>'03 Prevádzkové výdavky - nové'!M21</f>
        <v>8019106.6908814441</v>
      </c>
      <c r="N52" s="218">
        <f>'03 Prevádzkové výdavky - nové'!N21</f>
        <v>8125454.3159318473</v>
      </c>
      <c r="O52" s="218">
        <f>'03 Prevádzkové výdavky - nové'!O21</f>
        <v>8234122.3519994076</v>
      </c>
      <c r="P52" s="218">
        <f>'03 Prevádzkové výdavky - nové'!P21</f>
        <v>8345161.4283979991</v>
      </c>
      <c r="Q52" s="218">
        <f>'03 Prevádzkové výdavky - nové'!Q21</f>
        <v>8458623.2791282982</v>
      </c>
      <c r="R52" s="218">
        <f>'03 Prevádzkové výdavky - nové'!R21</f>
        <v>8574560.7669810727</v>
      </c>
      <c r="S52" s="218">
        <f>'03 Prevádzkové výdavky - nové'!S21</f>
        <v>8693027.9081663713</v>
      </c>
      <c r="T52" s="218">
        <f>'03 Prevádzkové výdavky - nové'!T21</f>
        <v>8814079.8974801265</v>
      </c>
      <c r="U52" s="218">
        <f>'03 Prevádzkové výdavky - nové'!U21</f>
        <v>8937773.134019848</v>
      </c>
      <c r="V52" s="218">
        <f>'03 Prevádzkové výdavky - nové'!V21</f>
        <v>10144165.247461414</v>
      </c>
      <c r="W52" s="218">
        <f>'03 Prevádzkové výdavky - nové'!W21</f>
        <v>9733315.1249092035</v>
      </c>
      <c r="X52" s="218">
        <f>'03 Prevádzkové výdavky - nové'!X21</f>
        <v>9325282.938332079</v>
      </c>
      <c r="Y52" s="218">
        <f>'03 Prevádzkové výdavky - nové'!Y21</f>
        <v>9460130.1725979801</v>
      </c>
      <c r="Z52" s="218">
        <f>'03 Prevádzkové výdavky - nové'!Z21</f>
        <v>20517919.654120229</v>
      </c>
      <c r="AA52" s="218">
        <f>'03 Prevádzkové výdavky - nové'!AA21</f>
        <v>15198715.580128863</v>
      </c>
      <c r="AB52" s="218">
        <f>'03 Prevádzkové výdavky - nové'!AB21</f>
        <v>9882583.5485806242</v>
      </c>
      <c r="AC52" s="218">
        <f>'03 Prevádzkové výdavky - nové'!AC21</f>
        <v>10029590.588721607</v>
      </c>
      <c r="AD52" s="218">
        <f>'03 Prevádzkové výdavky - nové'!AD21</f>
        <v>10179805.192316696</v>
      </c>
      <c r="AE52" s="218">
        <f>'03 Prevádzkové výdavky - nové'!AE21</f>
        <v>10333297.345560446</v>
      </c>
      <c r="AF52" s="218">
        <f>'03 Prevádzkové výdavky - nové'!AF21</f>
        <v>10490138.56168421</v>
      </c>
      <c r="AG52" s="218">
        <f>'03 Prevádzkové výdavky - nové'!AG21</f>
        <v>10650401.91427473</v>
      </c>
    </row>
    <row r="53" spans="2:33" x14ac:dyDescent="0.2">
      <c r="B53" s="3" t="s">
        <v>232</v>
      </c>
      <c r="C53" s="183">
        <f t="shared" si="17"/>
        <v>71613832.5</v>
      </c>
      <c r="D53" s="183">
        <f>D20</f>
        <v>0</v>
      </c>
      <c r="E53" s="183">
        <f t="shared" ref="E53:AG53" si="48">E20</f>
        <v>0</v>
      </c>
      <c r="F53" s="183">
        <f t="shared" si="48"/>
        <v>0</v>
      </c>
      <c r="G53" s="183">
        <f t="shared" si="48"/>
        <v>128100</v>
      </c>
      <c r="H53" s="183">
        <f t="shared" si="48"/>
        <v>7537522.5</v>
      </c>
      <c r="I53" s="183">
        <f t="shared" si="48"/>
        <v>10977047.5</v>
      </c>
      <c r="J53" s="183">
        <f t="shared" si="48"/>
        <v>10644897.5</v>
      </c>
      <c r="K53" s="183">
        <f t="shared" si="48"/>
        <v>10312747.5</v>
      </c>
      <c r="L53" s="183">
        <f t="shared" si="48"/>
        <v>9980597.5</v>
      </c>
      <c r="M53" s="183">
        <f t="shared" si="48"/>
        <v>9648447.5</v>
      </c>
      <c r="N53" s="183">
        <f t="shared" si="48"/>
        <v>9316297.5</v>
      </c>
      <c r="O53" s="183">
        <f t="shared" si="48"/>
        <v>3068175</v>
      </c>
      <c r="P53" s="183">
        <f t="shared" si="48"/>
        <v>0</v>
      </c>
      <c r="Q53" s="183">
        <f t="shared" si="48"/>
        <v>0</v>
      </c>
      <c r="R53" s="183">
        <f t="shared" si="48"/>
        <v>0</v>
      </c>
      <c r="S53" s="183">
        <f t="shared" si="48"/>
        <v>0</v>
      </c>
      <c r="T53" s="183">
        <f t="shared" si="48"/>
        <v>0</v>
      </c>
      <c r="U53" s="183">
        <f t="shared" si="48"/>
        <v>0</v>
      </c>
      <c r="V53" s="183">
        <f t="shared" si="48"/>
        <v>0</v>
      </c>
      <c r="W53" s="183">
        <f t="shared" si="48"/>
        <v>0</v>
      </c>
      <c r="X53" s="183">
        <f t="shared" si="48"/>
        <v>0</v>
      </c>
      <c r="Y53" s="183">
        <f t="shared" si="48"/>
        <v>0</v>
      </c>
      <c r="Z53" s="183">
        <f t="shared" si="48"/>
        <v>0</v>
      </c>
      <c r="AA53" s="183">
        <f t="shared" si="48"/>
        <v>0</v>
      </c>
      <c r="AB53" s="183">
        <f t="shared" si="48"/>
        <v>0</v>
      </c>
      <c r="AC53" s="183">
        <f t="shared" si="48"/>
        <v>0</v>
      </c>
      <c r="AD53" s="183">
        <f t="shared" si="48"/>
        <v>0</v>
      </c>
      <c r="AE53" s="183">
        <f t="shared" si="48"/>
        <v>0</v>
      </c>
      <c r="AF53" s="183">
        <f t="shared" si="48"/>
        <v>0</v>
      </c>
      <c r="AG53" s="183">
        <f t="shared" si="48"/>
        <v>0</v>
      </c>
    </row>
    <row r="54" spans="2:33" x14ac:dyDescent="0.2">
      <c r="B54" s="4" t="s">
        <v>23</v>
      </c>
      <c r="C54" s="188">
        <f t="shared" si="17"/>
        <v>406706520.60606366</v>
      </c>
      <c r="D54" s="188">
        <f>SUM(D51:D53)</f>
        <v>4599498.7706820788</v>
      </c>
      <c r="E54" s="188">
        <f t="shared" ref="E54" si="49">SUM(E51:E53)</f>
        <v>4807184.9321360365</v>
      </c>
      <c r="F54" s="188">
        <f t="shared" ref="F54" si="50">SUM(F51:F53)</f>
        <v>4980632.0697371401</v>
      </c>
      <c r="G54" s="188">
        <f t="shared" ref="G54" si="51">SUM(G51:G53)</f>
        <v>49108092.982662275</v>
      </c>
      <c r="H54" s="188">
        <f t="shared" ref="H54" si="52">SUM(H51:H53)</f>
        <v>36057999.602737956</v>
      </c>
      <c r="I54" s="188">
        <f t="shared" ref="I54" si="53">SUM(I51:I53)</f>
        <v>18592992.571667597</v>
      </c>
      <c r="J54" s="188">
        <f t="shared" ref="J54" si="54">SUM(J51:J53)</f>
        <v>18358393.567150813</v>
      </c>
      <c r="K54" s="188">
        <f t="shared" ref="K54" si="55">SUM(K51:K53)</f>
        <v>18125923.038982671</v>
      </c>
      <c r="L54" s="188">
        <f t="shared" ref="L54" si="56">SUM(L51:L53)</f>
        <v>17895627.428632516</v>
      </c>
      <c r="M54" s="188">
        <f t="shared" ref="M54" si="57">SUM(M51:M53)</f>
        <v>17667554.190881446</v>
      </c>
      <c r="N54" s="188">
        <f t="shared" ref="N54" si="58">SUM(N51:N53)</f>
        <v>17441751.815931849</v>
      </c>
      <c r="O54" s="188">
        <f t="shared" ref="O54" si="59">SUM(O51:O53)</f>
        <v>11302297.351999408</v>
      </c>
      <c r="P54" s="188">
        <f t="shared" ref="P54" si="60">SUM(P51:P53)</f>
        <v>8345161.4283979991</v>
      </c>
      <c r="Q54" s="188">
        <f t="shared" ref="Q54" si="61">SUM(Q51:Q53)</f>
        <v>8458623.2791282982</v>
      </c>
      <c r="R54" s="188">
        <f t="shared" ref="R54" si="62">SUM(R51:R53)</f>
        <v>8574560.7669810727</v>
      </c>
      <c r="S54" s="188">
        <f t="shared" ref="S54" si="63">SUM(S51:S53)</f>
        <v>8693027.9081663713</v>
      </c>
      <c r="T54" s="188">
        <f t="shared" ref="T54" si="64">SUM(T51:T53)</f>
        <v>8814079.8974801265</v>
      </c>
      <c r="U54" s="188">
        <f t="shared" ref="U54" si="65">SUM(U51:U53)</f>
        <v>8937773.134019848</v>
      </c>
      <c r="V54" s="188">
        <f t="shared" ref="V54" si="66">SUM(V51:V53)</f>
        <v>10144165.247461414</v>
      </c>
      <c r="W54" s="188">
        <f t="shared" ref="W54" si="67">SUM(W51:W53)</f>
        <v>9733315.1249092035</v>
      </c>
      <c r="X54" s="188">
        <f t="shared" ref="X54" si="68">SUM(X51:X53)</f>
        <v>9325282.938332079</v>
      </c>
      <c r="Y54" s="188">
        <f t="shared" ref="Y54" si="69">SUM(Y51:Y53)</f>
        <v>9460130.1725979801</v>
      </c>
      <c r="Z54" s="188">
        <f t="shared" ref="Z54" si="70">SUM(Z51:Z53)</f>
        <v>20517919.654120229</v>
      </c>
      <c r="AA54" s="188">
        <f t="shared" ref="AA54" si="71">SUM(AA51:AA53)</f>
        <v>15198715.580128863</v>
      </c>
      <c r="AB54" s="188">
        <f t="shared" ref="AB54" si="72">SUM(AB51:AB53)</f>
        <v>9882583.5485806242</v>
      </c>
      <c r="AC54" s="188">
        <f t="shared" ref="AC54" si="73">SUM(AC51:AC53)</f>
        <v>10029590.588721607</v>
      </c>
      <c r="AD54" s="188">
        <f t="shared" ref="AD54" si="74">SUM(AD51:AD53)</f>
        <v>10179805.192316696</v>
      </c>
      <c r="AE54" s="188">
        <f t="shared" ref="AE54" si="75">SUM(AE51:AE53)</f>
        <v>10333297.345560446</v>
      </c>
      <c r="AF54" s="188">
        <f t="shared" ref="AF54" si="76">SUM(AF51:AF53)</f>
        <v>10490138.56168421</v>
      </c>
      <c r="AG54" s="188">
        <f t="shared" ref="AG54" si="77">SUM(AG51:AG53)</f>
        <v>10650401.91427473</v>
      </c>
    </row>
    <row r="55" spans="2:33" x14ac:dyDescent="0.2">
      <c r="B55" s="127" t="s">
        <v>46</v>
      </c>
      <c r="C55" s="216">
        <f t="shared" si="17"/>
        <v>-191816366.86595225</v>
      </c>
      <c r="D55" s="216">
        <f>D50-D54</f>
        <v>-771539.93068207847</v>
      </c>
      <c r="E55" s="216">
        <f t="shared" ref="E55:AG55" si="78">E50-E54</f>
        <v>-902666.91533603612</v>
      </c>
      <c r="F55" s="216">
        <f t="shared" si="78"/>
        <v>-1076114.0529371398</v>
      </c>
      <c r="G55" s="216">
        <f t="shared" si="78"/>
        <v>-2466328.5776078776</v>
      </c>
      <c r="H55" s="216">
        <f t="shared" si="78"/>
        <v>-10484918.021437958</v>
      </c>
      <c r="I55" s="216">
        <f t="shared" si="78"/>
        <v>-13928449.358741596</v>
      </c>
      <c r="J55" s="216">
        <f t="shared" si="78"/>
        <v>-13693850.354224812</v>
      </c>
      <c r="K55" s="216">
        <f t="shared" si="78"/>
        <v>-13368088.96179815</v>
      </c>
      <c r="L55" s="216">
        <f t="shared" si="78"/>
        <v>-13137793.351447996</v>
      </c>
      <c r="M55" s="216">
        <f t="shared" si="78"/>
        <v>-12814563.432153236</v>
      </c>
      <c r="N55" s="216">
        <f t="shared" si="78"/>
        <v>-12588761.057203639</v>
      </c>
      <c r="O55" s="216">
        <f t="shared" si="78"/>
        <v>-6352246.778096633</v>
      </c>
      <c r="P55" s="216">
        <f t="shared" si="78"/>
        <v>-3395110.8544952245</v>
      </c>
      <c r="Q55" s="216">
        <f t="shared" si="78"/>
        <v>-3409571.6937474683</v>
      </c>
      <c r="R55" s="216">
        <f t="shared" si="78"/>
        <v>-3525509.1816002429</v>
      </c>
      <c r="S55" s="216">
        <f t="shared" si="78"/>
        <v>-3542995.291077924</v>
      </c>
      <c r="T55" s="216">
        <f t="shared" si="78"/>
        <v>-3664047.2803916791</v>
      </c>
      <c r="U55" s="216">
        <f t="shared" si="78"/>
        <v>-3684739.8645896316</v>
      </c>
      <c r="V55" s="216">
        <f t="shared" si="78"/>
        <v>-4891131.9780311976</v>
      </c>
      <c r="W55" s="216">
        <f t="shared" si="78"/>
        <v>-4375221.1900903825</v>
      </c>
      <c r="X55" s="216">
        <f t="shared" si="78"/>
        <v>-3967189.003513258</v>
      </c>
      <c r="Y55" s="216">
        <f t="shared" si="78"/>
        <v>-3994874.3590827826</v>
      </c>
      <c r="Z55" s="216">
        <f t="shared" si="78"/>
        <v>-15052663.840605032</v>
      </c>
      <c r="AA55" s="216">
        <f t="shared" si="78"/>
        <v>-9624154.6503433622</v>
      </c>
      <c r="AB55" s="216">
        <f t="shared" si="78"/>
        <v>-4308022.618795123</v>
      </c>
      <c r="AC55" s="216">
        <f t="shared" si="78"/>
        <v>-4343538.4403403951</v>
      </c>
      <c r="AD55" s="216">
        <f t="shared" si="78"/>
        <v>-4493753.0439354843</v>
      </c>
      <c r="AE55" s="216">
        <f t="shared" si="78"/>
        <v>-4533524.1542116115</v>
      </c>
      <c r="AF55" s="216">
        <f t="shared" si="78"/>
        <v>-4690365.370335375</v>
      </c>
      <c r="AG55" s="216">
        <f t="shared" si="78"/>
        <v>-4734633.2590989172</v>
      </c>
    </row>
    <row r="56" spans="2:33" x14ac:dyDescent="0.2">
      <c r="B56" s="3" t="s">
        <v>24</v>
      </c>
      <c r="C56" s="188"/>
      <c r="D56" s="183">
        <f>D55</f>
        <v>-771539.93068207847</v>
      </c>
      <c r="E56" s="183">
        <f>D56+E55</f>
        <v>-1674206.8460181146</v>
      </c>
      <c r="F56" s="183">
        <f t="shared" ref="F56" si="79">E56+F55</f>
        <v>-2750320.8989552543</v>
      </c>
      <c r="G56" s="183">
        <f t="shared" ref="G56" si="80">F56+G55</f>
        <v>-5216649.4765631314</v>
      </c>
      <c r="H56" s="183">
        <f t="shared" ref="H56" si="81">G56+H55</f>
        <v>-15701567.498001089</v>
      </c>
      <c r="I56" s="183">
        <f t="shared" ref="I56" si="82">H56+I55</f>
        <v>-29630016.856742688</v>
      </c>
      <c r="J56" s="183">
        <f t="shared" ref="J56" si="83">I56+J55</f>
        <v>-43323867.210967496</v>
      </c>
      <c r="K56" s="183">
        <f t="shared" ref="K56" si="84">J56+K55</f>
        <v>-56691956.172765642</v>
      </c>
      <c r="L56" s="183">
        <f t="shared" ref="L56" si="85">K56+L55</f>
        <v>-69829749.524213642</v>
      </c>
      <c r="M56" s="183">
        <f t="shared" ref="M56" si="86">L56+M55</f>
        <v>-82644312.956366882</v>
      </c>
      <c r="N56" s="183">
        <f t="shared" ref="N56" si="87">M56+N55</f>
        <v>-95233074.013570517</v>
      </c>
      <c r="O56" s="183">
        <f t="shared" ref="O56" si="88">N56+O55</f>
        <v>-101585320.79166715</v>
      </c>
      <c r="P56" s="183">
        <f t="shared" ref="P56" si="89">O56+P55</f>
        <v>-104980431.64616238</v>
      </c>
      <c r="Q56" s="183">
        <f t="shared" ref="Q56" si="90">P56+Q55</f>
        <v>-108390003.33990985</v>
      </c>
      <c r="R56" s="183">
        <f t="shared" ref="R56" si="91">Q56+R55</f>
        <v>-111915512.52151009</v>
      </c>
      <c r="S56" s="183">
        <f t="shared" ref="S56" si="92">R56+S55</f>
        <v>-115458507.81258802</v>
      </c>
      <c r="T56" s="183">
        <f t="shared" ref="T56" si="93">S56+T55</f>
        <v>-119122555.0929797</v>
      </c>
      <c r="U56" s="183">
        <f t="shared" ref="U56" si="94">T56+U55</f>
        <v>-122807294.95756933</v>
      </c>
      <c r="V56" s="183">
        <f t="shared" ref="V56" si="95">U56+V55</f>
        <v>-127698426.93560053</v>
      </c>
      <c r="W56" s="183">
        <f t="shared" ref="W56" si="96">V56+W55</f>
        <v>-132073648.12569092</v>
      </c>
      <c r="X56" s="183">
        <f t="shared" ref="X56" si="97">W56+X55</f>
        <v>-136040837.12920418</v>
      </c>
      <c r="Y56" s="183">
        <f t="shared" ref="Y56" si="98">X56+Y55</f>
        <v>-140035711.48828697</v>
      </c>
      <c r="Z56" s="183">
        <f t="shared" ref="Z56" si="99">Y56+Z55</f>
        <v>-155088375.32889199</v>
      </c>
      <c r="AA56" s="183">
        <f t="shared" ref="AA56" si="100">Z56+AA55</f>
        <v>-164712529.97923535</v>
      </c>
      <c r="AB56" s="183">
        <f t="shared" ref="AB56" si="101">AA56+AB55</f>
        <v>-169020552.59803048</v>
      </c>
      <c r="AC56" s="183">
        <f t="shared" ref="AC56" si="102">AB56+AC55</f>
        <v>-173364091.03837088</v>
      </c>
      <c r="AD56" s="183">
        <f t="shared" ref="AD56" si="103">AC56+AD55</f>
        <v>-177857844.08230636</v>
      </c>
      <c r="AE56" s="183">
        <f t="shared" ref="AE56" si="104">AD56+AE55</f>
        <v>-182391368.23651797</v>
      </c>
      <c r="AF56" s="183">
        <f t="shared" ref="AF56" si="105">AE56+AF55</f>
        <v>-187081733.60685334</v>
      </c>
      <c r="AG56" s="183">
        <f t="shared" ref="AG56" si="106">AF56+AG55</f>
        <v>-191816366.86595225</v>
      </c>
    </row>
    <row r="57" spans="2:33" x14ac:dyDescent="0.2">
      <c r="B57" s="3" t="s">
        <v>244</v>
      </c>
      <c r="C57" s="188">
        <f t="shared" ref="C57" si="107">SUM(D57:AG57)</f>
        <v>3124908372.9621744</v>
      </c>
      <c r="D57" s="186">
        <f>IF(D56&lt;0,-D56,0)</f>
        <v>771539.93068207847</v>
      </c>
      <c r="E57" s="186">
        <f t="shared" ref="E57:AG57" si="108">IF(E56&lt;0,-E56,0)</f>
        <v>1674206.8460181146</v>
      </c>
      <c r="F57" s="186">
        <f t="shared" si="108"/>
        <v>2750320.8989552543</v>
      </c>
      <c r="G57" s="186">
        <f t="shared" si="108"/>
        <v>5216649.4765631314</v>
      </c>
      <c r="H57" s="186">
        <f t="shared" si="108"/>
        <v>15701567.498001089</v>
      </c>
      <c r="I57" s="186">
        <f t="shared" si="108"/>
        <v>29630016.856742688</v>
      </c>
      <c r="J57" s="186">
        <f t="shared" si="108"/>
        <v>43323867.210967496</v>
      </c>
      <c r="K57" s="186">
        <f t="shared" si="108"/>
        <v>56691956.172765642</v>
      </c>
      <c r="L57" s="186">
        <f t="shared" si="108"/>
        <v>69829749.524213642</v>
      </c>
      <c r="M57" s="186">
        <f t="shared" si="108"/>
        <v>82644312.956366882</v>
      </c>
      <c r="N57" s="186">
        <f t="shared" si="108"/>
        <v>95233074.013570517</v>
      </c>
      <c r="O57" s="186">
        <f t="shared" si="108"/>
        <v>101585320.79166715</v>
      </c>
      <c r="P57" s="186">
        <f t="shared" si="108"/>
        <v>104980431.64616238</v>
      </c>
      <c r="Q57" s="186">
        <f t="shared" si="108"/>
        <v>108390003.33990985</v>
      </c>
      <c r="R57" s="186">
        <f t="shared" si="108"/>
        <v>111915512.52151009</v>
      </c>
      <c r="S57" s="186">
        <f t="shared" si="108"/>
        <v>115458507.81258802</v>
      </c>
      <c r="T57" s="186">
        <f t="shared" si="108"/>
        <v>119122555.0929797</v>
      </c>
      <c r="U57" s="186">
        <f t="shared" si="108"/>
        <v>122807294.95756933</v>
      </c>
      <c r="V57" s="186">
        <f t="shared" si="108"/>
        <v>127698426.93560053</v>
      </c>
      <c r="W57" s="186">
        <f t="shared" si="108"/>
        <v>132073648.12569092</v>
      </c>
      <c r="X57" s="186">
        <f t="shared" si="108"/>
        <v>136040837.12920418</v>
      </c>
      <c r="Y57" s="186">
        <f t="shared" si="108"/>
        <v>140035711.48828697</v>
      </c>
      <c r="Z57" s="186">
        <f t="shared" si="108"/>
        <v>155088375.32889199</v>
      </c>
      <c r="AA57" s="186">
        <f t="shared" si="108"/>
        <v>164712529.97923535</v>
      </c>
      <c r="AB57" s="186">
        <f t="shared" si="108"/>
        <v>169020552.59803048</v>
      </c>
      <c r="AC57" s="186">
        <f t="shared" si="108"/>
        <v>173364091.03837088</v>
      </c>
      <c r="AD57" s="186">
        <f t="shared" si="108"/>
        <v>177857844.08230636</v>
      </c>
      <c r="AE57" s="186">
        <f t="shared" si="108"/>
        <v>182391368.23651797</v>
      </c>
      <c r="AF57" s="186">
        <f t="shared" si="108"/>
        <v>187081733.60685334</v>
      </c>
      <c r="AG57" s="186">
        <f t="shared" si="108"/>
        <v>191816366.86595225</v>
      </c>
    </row>
    <row r="58" spans="2:33" x14ac:dyDescent="0.2">
      <c r="B58" s="22" t="s">
        <v>245</v>
      </c>
      <c r="C58" s="217"/>
      <c r="D58" s="217">
        <f>D56+D57</f>
        <v>0</v>
      </c>
      <c r="E58" s="217">
        <f t="shared" ref="E58" si="109">E56+E57</f>
        <v>0</v>
      </c>
      <c r="F58" s="217">
        <f t="shared" ref="F58" si="110">F56+F57</f>
        <v>0</v>
      </c>
      <c r="G58" s="217">
        <f t="shared" ref="G58" si="111">G56+G57</f>
        <v>0</v>
      </c>
      <c r="H58" s="217">
        <f t="shared" ref="H58" si="112">H56+H57</f>
        <v>0</v>
      </c>
      <c r="I58" s="217">
        <f t="shared" ref="I58" si="113">I56+I57</f>
        <v>0</v>
      </c>
      <c r="J58" s="217">
        <f t="shared" ref="J58" si="114">J56+J57</f>
        <v>0</v>
      </c>
      <c r="K58" s="217">
        <f t="shared" ref="K58" si="115">K56+K57</f>
        <v>0</v>
      </c>
      <c r="L58" s="217">
        <f t="shared" ref="L58" si="116">L56+L57</f>
        <v>0</v>
      </c>
      <c r="M58" s="217">
        <f t="shared" ref="M58" si="117">M56+M57</f>
        <v>0</v>
      </c>
      <c r="N58" s="217">
        <f t="shared" ref="N58" si="118">N56+N57</f>
        <v>0</v>
      </c>
      <c r="O58" s="217">
        <f t="shared" ref="O58" si="119">O56+O57</f>
        <v>0</v>
      </c>
      <c r="P58" s="217">
        <f t="shared" ref="P58" si="120">P56+P57</f>
        <v>0</v>
      </c>
      <c r="Q58" s="217">
        <f t="shared" ref="Q58" si="121">Q56+Q57</f>
        <v>0</v>
      </c>
      <c r="R58" s="217">
        <f t="shared" ref="R58" si="122">R56+R57</f>
        <v>0</v>
      </c>
      <c r="S58" s="217">
        <f t="shared" ref="S58" si="123">S56+S57</f>
        <v>0</v>
      </c>
      <c r="T58" s="217">
        <f t="shared" ref="T58" si="124">T56+T57</f>
        <v>0</v>
      </c>
      <c r="U58" s="217">
        <f t="shared" ref="U58" si="125">U56+U57</f>
        <v>0</v>
      </c>
      <c r="V58" s="217">
        <f t="shared" ref="V58" si="126">V56+V57</f>
        <v>0</v>
      </c>
      <c r="W58" s="217">
        <f t="shared" ref="W58" si="127">W56+W57</f>
        <v>0</v>
      </c>
      <c r="X58" s="217">
        <f t="shared" ref="X58" si="128">X56+X57</f>
        <v>0</v>
      </c>
      <c r="Y58" s="217">
        <f t="shared" ref="Y58" si="129">Y56+Y57</f>
        <v>0</v>
      </c>
      <c r="Z58" s="217">
        <f t="shared" ref="Z58" si="130">Z56+Z57</f>
        <v>0</v>
      </c>
      <c r="AA58" s="217">
        <f t="shared" ref="AA58" si="131">AA56+AA57</f>
        <v>0</v>
      </c>
      <c r="AB58" s="217">
        <f t="shared" ref="AB58" si="132">AB56+AB57</f>
        <v>0</v>
      </c>
      <c r="AC58" s="217">
        <f t="shared" ref="AC58" si="133">AC56+AC57</f>
        <v>0</v>
      </c>
      <c r="AD58" s="217">
        <f t="shared" ref="AD58" si="134">AD56+AD57</f>
        <v>0</v>
      </c>
      <c r="AE58" s="217">
        <f t="shared" ref="AE58" si="135">AE56+AE57</f>
        <v>0</v>
      </c>
      <c r="AF58" s="217">
        <f t="shared" ref="AF58" si="136">AF56+AF57</f>
        <v>0</v>
      </c>
      <c r="AG58" s="217">
        <f t="shared" ref="AG58" si="137">AG56+AG57</f>
        <v>0</v>
      </c>
    </row>
    <row r="60" spans="2:33" x14ac:dyDescent="0.2">
      <c r="B60" s="1" t="s">
        <v>273</v>
      </c>
    </row>
  </sheetData>
  <sheetProtection algorithmName="SHA-512" hashValue="xZcQ/i3oOzl+mmaIhIpfWkCa0PMBYiewLK9qWR+DYF8cz30xk2rCHOPPPUbGlYXQqiTWIlhOmo0jUswiYGWngA==" saltValue="GuZ1iaf3BWhR/N83dT4BEw==" spinCount="100000" sheet="1" formatCells="0" formatColumns="0" formatRows="0" insertColumns="0" insertRows="0" insertHyperlinks="0" deleteColumns="0" deleteRows="0" sort="0" autoFilter="0" pivotTables="0"/>
  <phoneticPr fontId="5" type="noConversion"/>
  <conditionalFormatting sqref="D40:AG40">
    <cfRule type="cellIs" dxfId="11" priority="4" stopIfTrue="1" operator="lessThan">
      <formula>0</formula>
    </cfRule>
  </conditionalFormatting>
  <conditionalFormatting sqref="D42:AG42">
    <cfRule type="cellIs" dxfId="10" priority="3" stopIfTrue="1" operator="lessThan">
      <formula>0</formula>
    </cfRule>
  </conditionalFormatting>
  <conditionalFormatting sqref="D56:AG56">
    <cfRule type="cellIs" dxfId="9" priority="2" stopIfTrue="1" operator="lessThan">
      <formula>0</formula>
    </cfRule>
  </conditionalFormatting>
  <conditionalFormatting sqref="D58:AG58">
    <cfRule type="cellIs" dxfId="8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  <ignoredErrors>
    <ignoredError sqref="C26 C12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7D84A-33F4-E14D-AD8E-C1E15403ACBF}">
  <sheetPr>
    <tabColor rgb="FFFFFF00"/>
  </sheetPr>
  <dimension ref="B1:AT58"/>
  <sheetViews>
    <sheetView topLeftCell="C1" workbookViewId="0">
      <pane ySplit="6" topLeftCell="A7" activePane="bottomLeft" state="frozen"/>
      <selection pane="bottomLeft" activeCell="J21" sqref="J21"/>
    </sheetView>
  </sheetViews>
  <sheetFormatPr defaultColWidth="10.7109375" defaultRowHeight="15.75" outlineLevelRow="1" x14ac:dyDescent="0.25"/>
  <cols>
    <col min="1" max="1" width="3.140625" style="335" customWidth="1"/>
    <col min="2" max="2" width="47" style="335" customWidth="1"/>
    <col min="3" max="3" width="35" style="335" customWidth="1"/>
    <col min="4" max="4" width="47.42578125" style="335" customWidth="1"/>
    <col min="5" max="5" width="44.28515625" style="335" bestFit="1" customWidth="1"/>
    <col min="6" max="6" width="38.42578125" style="335" bestFit="1" customWidth="1"/>
    <col min="7" max="11" width="10.7109375" style="335"/>
    <col min="12" max="12" width="12.28515625" style="335" bestFit="1" customWidth="1"/>
    <col min="13" max="16384" width="10.7109375" style="335"/>
  </cols>
  <sheetData>
    <row r="1" spans="2:46" x14ac:dyDescent="0.25">
      <c r="B1" s="557" t="s">
        <v>454</v>
      </c>
      <c r="C1" s="557"/>
      <c r="D1" s="557"/>
      <c r="E1" s="557"/>
      <c r="F1" s="557"/>
      <c r="G1" s="334">
        <v>1</v>
      </c>
      <c r="H1" s="334">
        <v>2</v>
      </c>
      <c r="I1" s="334">
        <v>3</v>
      </c>
      <c r="J1" s="334">
        <v>4</v>
      </c>
      <c r="K1" s="334">
        <v>5</v>
      </c>
      <c r="L1" s="334">
        <v>6</v>
      </c>
      <c r="M1" s="334">
        <v>7</v>
      </c>
      <c r="N1" s="334">
        <v>8</v>
      </c>
      <c r="O1" s="334">
        <v>9</v>
      </c>
      <c r="P1" s="334">
        <v>10</v>
      </c>
      <c r="Q1" s="334">
        <v>11</v>
      </c>
      <c r="R1" s="334">
        <v>12</v>
      </c>
      <c r="S1" s="334">
        <v>13</v>
      </c>
      <c r="T1" s="334">
        <v>14</v>
      </c>
      <c r="U1" s="334">
        <v>15</v>
      </c>
      <c r="V1" s="334">
        <v>16</v>
      </c>
      <c r="W1" s="334">
        <v>17</v>
      </c>
      <c r="X1" s="334">
        <v>18</v>
      </c>
      <c r="Y1" s="334">
        <v>19</v>
      </c>
      <c r="Z1" s="334">
        <v>20</v>
      </c>
      <c r="AA1" s="334">
        <v>21</v>
      </c>
      <c r="AB1" s="334">
        <v>22</v>
      </c>
      <c r="AC1" s="334">
        <v>23</v>
      </c>
      <c r="AD1" s="334">
        <v>24</v>
      </c>
      <c r="AE1" s="334">
        <v>25</v>
      </c>
      <c r="AF1" s="334">
        <v>26</v>
      </c>
      <c r="AG1" s="334">
        <v>27</v>
      </c>
      <c r="AH1" s="334">
        <v>28</v>
      </c>
      <c r="AI1" s="334">
        <v>29</v>
      </c>
      <c r="AJ1" s="334">
        <v>30</v>
      </c>
      <c r="AK1" s="334">
        <v>31</v>
      </c>
      <c r="AL1" s="334">
        <v>32</v>
      </c>
      <c r="AM1" s="334">
        <v>33</v>
      </c>
      <c r="AN1" s="334">
        <v>34</v>
      </c>
      <c r="AO1" s="334">
        <v>35</v>
      </c>
      <c r="AP1" s="334">
        <v>36</v>
      </c>
      <c r="AQ1" s="334">
        <v>37</v>
      </c>
      <c r="AR1" s="334">
        <v>38</v>
      </c>
      <c r="AS1" s="334">
        <v>39</v>
      </c>
      <c r="AT1" s="334">
        <v>40</v>
      </c>
    </row>
    <row r="2" spans="2:46" ht="16.5" thickBot="1" x14ac:dyDescent="0.3">
      <c r="B2" s="336"/>
      <c r="C2" s="336"/>
      <c r="D2" s="336"/>
      <c r="E2" s="336"/>
      <c r="F2" s="336"/>
      <c r="G2" s="337">
        <v>2023</v>
      </c>
      <c r="H2" s="337">
        <f>G2+$G$1</f>
        <v>2024</v>
      </c>
      <c r="I2" s="337">
        <f t="shared" ref="I2:AT2" si="0">H2+$G$1</f>
        <v>2025</v>
      </c>
      <c r="J2" s="337">
        <f t="shared" si="0"/>
        <v>2026</v>
      </c>
      <c r="K2" s="337">
        <f t="shared" si="0"/>
        <v>2027</v>
      </c>
      <c r="L2" s="337">
        <f t="shared" si="0"/>
        <v>2028</v>
      </c>
      <c r="M2" s="337">
        <f t="shared" si="0"/>
        <v>2029</v>
      </c>
      <c r="N2" s="337">
        <f t="shared" si="0"/>
        <v>2030</v>
      </c>
      <c r="O2" s="337">
        <f t="shared" si="0"/>
        <v>2031</v>
      </c>
      <c r="P2" s="337">
        <f t="shared" si="0"/>
        <v>2032</v>
      </c>
      <c r="Q2" s="337">
        <f t="shared" si="0"/>
        <v>2033</v>
      </c>
      <c r="R2" s="337">
        <f t="shared" si="0"/>
        <v>2034</v>
      </c>
      <c r="S2" s="337">
        <f t="shared" si="0"/>
        <v>2035</v>
      </c>
      <c r="T2" s="337">
        <f t="shared" si="0"/>
        <v>2036</v>
      </c>
      <c r="U2" s="337">
        <f t="shared" si="0"/>
        <v>2037</v>
      </c>
      <c r="V2" s="337">
        <f t="shared" si="0"/>
        <v>2038</v>
      </c>
      <c r="W2" s="337">
        <f t="shared" si="0"/>
        <v>2039</v>
      </c>
      <c r="X2" s="337">
        <f t="shared" si="0"/>
        <v>2040</v>
      </c>
      <c r="Y2" s="337">
        <f t="shared" si="0"/>
        <v>2041</v>
      </c>
      <c r="Z2" s="337">
        <f t="shared" si="0"/>
        <v>2042</v>
      </c>
      <c r="AA2" s="337">
        <f t="shared" si="0"/>
        <v>2043</v>
      </c>
      <c r="AB2" s="337">
        <f t="shared" si="0"/>
        <v>2044</v>
      </c>
      <c r="AC2" s="337">
        <f t="shared" si="0"/>
        <v>2045</v>
      </c>
      <c r="AD2" s="337">
        <f t="shared" si="0"/>
        <v>2046</v>
      </c>
      <c r="AE2" s="337">
        <f t="shared" si="0"/>
        <v>2047</v>
      </c>
      <c r="AF2" s="337">
        <f t="shared" si="0"/>
        <v>2048</v>
      </c>
      <c r="AG2" s="337">
        <f t="shared" si="0"/>
        <v>2049</v>
      </c>
      <c r="AH2" s="337">
        <f t="shared" si="0"/>
        <v>2050</v>
      </c>
      <c r="AI2" s="337">
        <f t="shared" si="0"/>
        <v>2051</v>
      </c>
      <c r="AJ2" s="337">
        <f t="shared" si="0"/>
        <v>2052</v>
      </c>
      <c r="AK2" s="337">
        <f t="shared" si="0"/>
        <v>2053</v>
      </c>
      <c r="AL2" s="337">
        <f t="shared" si="0"/>
        <v>2054</v>
      </c>
      <c r="AM2" s="337">
        <f t="shared" si="0"/>
        <v>2055</v>
      </c>
      <c r="AN2" s="337">
        <f t="shared" si="0"/>
        <v>2056</v>
      </c>
      <c r="AO2" s="337">
        <f t="shared" si="0"/>
        <v>2057</v>
      </c>
      <c r="AP2" s="337">
        <f t="shared" si="0"/>
        <v>2058</v>
      </c>
      <c r="AQ2" s="337">
        <f t="shared" si="0"/>
        <v>2059</v>
      </c>
      <c r="AR2" s="337">
        <f t="shared" si="0"/>
        <v>2060</v>
      </c>
      <c r="AS2" s="337">
        <f t="shared" si="0"/>
        <v>2061</v>
      </c>
      <c r="AT2" s="337">
        <f t="shared" si="0"/>
        <v>2062</v>
      </c>
    </row>
    <row r="3" spans="2:46" ht="28.5" x14ac:dyDescent="0.25">
      <c r="B3" s="338" t="s">
        <v>455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1"/>
    </row>
    <row r="4" spans="2:46" x14ac:dyDescent="0.25">
      <c r="B4" s="342" t="s">
        <v>456</v>
      </c>
      <c r="C4" s="558" t="s">
        <v>457</v>
      </c>
      <c r="D4" s="559"/>
      <c r="E4" s="559"/>
      <c r="F4" s="560"/>
      <c r="G4" s="343">
        <f t="shared" ref="G4:AT4" si="1">G14</f>
        <v>0</v>
      </c>
      <c r="H4" s="343">
        <f t="shared" si="1"/>
        <v>0</v>
      </c>
      <c r="I4" s="343">
        <f t="shared" si="1"/>
        <v>0</v>
      </c>
      <c r="J4" s="343">
        <f t="shared" si="1"/>
        <v>1579.5838520590928</v>
      </c>
      <c r="K4" s="343">
        <f t="shared" si="1"/>
        <v>2370.8877415167235</v>
      </c>
      <c r="L4" s="343">
        <f t="shared" si="1"/>
        <v>2371.7783292684735</v>
      </c>
      <c r="M4" s="343">
        <f t="shared" si="1"/>
        <v>2372.1814600466423</v>
      </c>
      <c r="N4" s="343">
        <f t="shared" si="1"/>
        <v>2372.0827132314262</v>
      </c>
      <c r="O4" s="343">
        <f t="shared" si="1"/>
        <v>2372.3875378674693</v>
      </c>
      <c r="P4" s="343">
        <f t="shared" si="1"/>
        <v>2372.2175392627405</v>
      </c>
      <c r="Q4" s="343">
        <f t="shared" si="1"/>
        <v>2371.7314928490337</v>
      </c>
      <c r="R4" s="343">
        <f t="shared" si="1"/>
        <v>2370.9905238367519</v>
      </c>
      <c r="S4" s="343">
        <f t="shared" si="1"/>
        <v>2370.0342127280901</v>
      </c>
      <c r="T4" s="343">
        <f t="shared" si="1"/>
        <v>2367.5104755442735</v>
      </c>
      <c r="U4" s="343">
        <f t="shared" si="1"/>
        <v>2363.4232833121455</v>
      </c>
      <c r="V4" s="343">
        <f t="shared" si="1"/>
        <v>2357.7797082018492</v>
      </c>
      <c r="W4" s="343">
        <f t="shared" si="1"/>
        <v>2350.5899035632501</v>
      </c>
      <c r="X4" s="343">
        <f t="shared" si="1"/>
        <v>2341.8670737791826</v>
      </c>
      <c r="Y4" s="343">
        <f t="shared" si="1"/>
        <v>2331.0294652227822</v>
      </c>
      <c r="Z4" s="343">
        <f t="shared" si="1"/>
        <v>2318.1047984375591</v>
      </c>
      <c r="AA4" s="343">
        <f t="shared" si="1"/>
        <v>2303.1264316803054</v>
      </c>
      <c r="AB4" s="343">
        <f t="shared" si="1"/>
        <v>2286.1332176626247</v>
      </c>
      <c r="AC4" s="343">
        <f t="shared" si="1"/>
        <v>2267.1693356360015</v>
      </c>
      <c r="AD4" s="343">
        <f t="shared" si="1"/>
        <v>2245.3768446655513</v>
      </c>
      <c r="AE4" s="343">
        <f t="shared" si="1"/>
        <v>2220.8366107781403</v>
      </c>
      <c r="AF4" s="343">
        <f t="shared" si="1"/>
        <v>2193.6396857465752</v>
      </c>
      <c r="AG4" s="343">
        <f t="shared" si="1"/>
        <v>2163.8867429293255</v>
      </c>
      <c r="AH4" s="344">
        <f t="shared" si="1"/>
        <v>2131.6874544306074</v>
      </c>
      <c r="AI4" s="344">
        <f t="shared" si="1"/>
        <v>2095.9591869020487</v>
      </c>
      <c r="AJ4" s="344">
        <f t="shared" si="1"/>
        <v>2056.888808694478</v>
      </c>
      <c r="AK4" s="344">
        <f t="shared" si="1"/>
        <v>2014.6792595742886</v>
      </c>
      <c r="AL4" s="344">
        <f t="shared" si="1"/>
        <v>1969.5477852658864</v>
      </c>
      <c r="AM4" s="344">
        <f t="shared" si="1"/>
        <v>1921.7240637701157</v>
      </c>
      <c r="AN4" s="344">
        <f t="shared" si="1"/>
        <v>1870.0177751120664</v>
      </c>
      <c r="AO4" s="344">
        <f t="shared" si="1"/>
        <v>1814.7946127748235</v>
      </c>
      <c r="AP4" s="344">
        <f t="shared" si="1"/>
        <v>1756.4390820779208</v>
      </c>
      <c r="AQ4" s="344">
        <f t="shared" si="1"/>
        <v>1695.3500066738957</v>
      </c>
      <c r="AR4" s="344">
        <f t="shared" si="1"/>
        <v>1631.9359562520358</v>
      </c>
      <c r="AS4" s="344">
        <f t="shared" si="1"/>
        <v>1566.6682793259429</v>
      </c>
      <c r="AT4" s="345">
        <f t="shared" si="1"/>
        <v>1499.954308081135</v>
      </c>
    </row>
    <row r="5" spans="2:46" ht="7.15" customHeight="1" x14ac:dyDescent="0.25">
      <c r="B5" s="346"/>
      <c r="C5" s="347"/>
      <c r="D5" s="348"/>
      <c r="E5" s="347"/>
      <c r="F5" s="349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50"/>
      <c r="AI5" s="350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2"/>
    </row>
    <row r="6" spans="2:46" ht="16.5" thickBot="1" x14ac:dyDescent="0.3">
      <c r="B6" s="353" t="s">
        <v>458</v>
      </c>
      <c r="C6" s="561" t="s">
        <v>457</v>
      </c>
      <c r="D6" s="562"/>
      <c r="E6" s="562"/>
      <c r="F6" s="563"/>
      <c r="G6" s="354">
        <f t="shared" ref="G6:AT6" si="2">G33</f>
        <v>34609.343092822819</v>
      </c>
      <c r="H6" s="354">
        <f t="shared" si="2"/>
        <v>34636.579964293007</v>
      </c>
      <c r="I6" s="354">
        <f t="shared" si="2"/>
        <v>34655.479781713257</v>
      </c>
      <c r="J6" s="354">
        <f t="shared" si="2"/>
        <v>34686.506870598125</v>
      </c>
      <c r="K6" s="354">
        <f t="shared" si="2"/>
        <v>34709.183881430305</v>
      </c>
      <c r="L6" s="354">
        <f t="shared" si="2"/>
        <v>34723.188669717441</v>
      </c>
      <c r="M6" s="354">
        <f t="shared" si="2"/>
        <v>34730.470630073942</v>
      </c>
      <c r="N6" s="354">
        <f t="shared" si="2"/>
        <v>34730.591745849924</v>
      </c>
      <c r="O6" s="354">
        <f t="shared" si="2"/>
        <v>34737.776975699715</v>
      </c>
      <c r="P6" s="354">
        <f t="shared" si="2"/>
        <v>34738.311501641707</v>
      </c>
      <c r="Q6" s="354">
        <f t="shared" si="2"/>
        <v>34734.455421666949</v>
      </c>
      <c r="R6" s="354">
        <f t="shared" si="2"/>
        <v>34726.848117775611</v>
      </c>
      <c r="S6" s="354">
        <f t="shared" si="2"/>
        <v>34716.081465554831</v>
      </c>
      <c r="T6" s="354">
        <f t="shared" si="2"/>
        <v>34682.351858434042</v>
      </c>
      <c r="U6" s="354">
        <f t="shared" si="2"/>
        <v>34625.711039120681</v>
      </c>
      <c r="V6" s="354">
        <f t="shared" si="2"/>
        <v>34546.256204779616</v>
      </c>
      <c r="W6" s="354">
        <f t="shared" si="2"/>
        <v>34444.129735754934</v>
      </c>
      <c r="X6" s="354">
        <f t="shared" si="2"/>
        <v>34319.518774921824</v>
      </c>
      <c r="Y6" s="354">
        <f t="shared" si="2"/>
        <v>34163.890745283999</v>
      </c>
      <c r="Z6" s="354">
        <f t="shared" si="2"/>
        <v>33977.643247695487</v>
      </c>
      <c r="AA6" s="354">
        <f t="shared" si="2"/>
        <v>33761.256670486553</v>
      </c>
      <c r="AB6" s="354">
        <f t="shared" si="2"/>
        <v>33515.292128095774</v>
      </c>
      <c r="AC6" s="354">
        <f t="shared" si="2"/>
        <v>33240.389037066408</v>
      </c>
      <c r="AD6" s="354">
        <f t="shared" si="2"/>
        <v>32923.9592620654</v>
      </c>
      <c r="AE6" s="354">
        <f t="shared" si="2"/>
        <v>32567.176961973917</v>
      </c>
      <c r="AF6" s="354">
        <f t="shared" si="2"/>
        <v>32171.366112236898</v>
      </c>
      <c r="AG6" s="354">
        <f t="shared" si="2"/>
        <v>31737.992300741036</v>
      </c>
      <c r="AH6" s="354">
        <f t="shared" si="2"/>
        <v>31268.653658380736</v>
      </c>
      <c r="AI6" s="354">
        <f t="shared" si="2"/>
        <v>30747.457939885975</v>
      </c>
      <c r="AJ6" s="355">
        <f t="shared" si="2"/>
        <v>30177.132108018515</v>
      </c>
      <c r="AK6" s="354">
        <f t="shared" si="2"/>
        <v>29560.639952949419</v>
      </c>
      <c r="AL6" s="355">
        <f t="shared" si="2"/>
        <v>28901.156297700581</v>
      </c>
      <c r="AM6" s="355">
        <f t="shared" si="2"/>
        <v>28202.039600892218</v>
      </c>
      <c r="AN6" s="355">
        <f t="shared" si="2"/>
        <v>27445.808603665897</v>
      </c>
      <c r="AO6" s="355">
        <f t="shared" si="2"/>
        <v>26637.814857821122</v>
      </c>
      <c r="AP6" s="355">
        <f t="shared" si="2"/>
        <v>25783.688069547006</v>
      </c>
      <c r="AQ6" s="355">
        <f t="shared" si="2"/>
        <v>24889.270262662139</v>
      </c>
      <c r="AR6" s="355">
        <f t="shared" si="2"/>
        <v>23960.548747915895</v>
      </c>
      <c r="AS6" s="355">
        <f t="shared" si="2"/>
        <v>23004.434908356598</v>
      </c>
      <c r="AT6" s="356">
        <f t="shared" si="2"/>
        <v>22026.902642513935</v>
      </c>
    </row>
    <row r="7" spans="2:46" s="336" customFormat="1" ht="15" customHeight="1" outlineLevel="1" x14ac:dyDescent="0.25">
      <c r="B7" s="564" t="s">
        <v>459</v>
      </c>
      <c r="C7" s="564"/>
      <c r="D7" s="357" t="str">
        <f>B36</f>
        <v>Humenné  &lt;=&gt;  Žilina &lt;=&gt;  Praha</v>
      </c>
      <c r="E7" s="565" t="s">
        <v>460</v>
      </c>
      <c r="F7" s="565"/>
      <c r="G7" s="400">
        <v>1.0008655353589482</v>
      </c>
      <c r="H7" s="400">
        <v>1.0006206755360705</v>
      </c>
      <c r="I7" s="400">
        <v>1.0004134849547293</v>
      </c>
      <c r="J7" s="400">
        <v>1.0009621620031963</v>
      </c>
      <c r="K7" s="400">
        <v>1.000767850633445</v>
      </c>
      <c r="L7" s="400">
        <v>1.0005390790227957</v>
      </c>
      <c r="M7" s="400">
        <v>1.000369106251521</v>
      </c>
      <c r="N7" s="400">
        <v>1.0001707443601806</v>
      </c>
      <c r="O7" s="400">
        <v>1.0004545840727908</v>
      </c>
      <c r="P7" s="400">
        <v>1.0002751574180817</v>
      </c>
      <c r="Q7" s="400">
        <v>1.0001587575612709</v>
      </c>
      <c r="R7" s="400">
        <v>1.0000463908667117</v>
      </c>
      <c r="S7" s="400">
        <v>0.99995341158466289</v>
      </c>
      <c r="T7" s="400">
        <v>0.99929161517029941</v>
      </c>
      <c r="U7" s="400">
        <v>0.99862981875593582</v>
      </c>
      <c r="V7" s="400">
        <v>0.99796802234157267</v>
      </c>
      <c r="W7" s="400">
        <v>0.99730622592720908</v>
      </c>
      <c r="X7" s="400">
        <v>0.9966444295128456</v>
      </c>
      <c r="Y7" s="400">
        <v>0.99572720353560207</v>
      </c>
      <c r="Z7" s="400">
        <v>0.9948099775583582</v>
      </c>
      <c r="AA7" s="400">
        <v>0.99389275158111456</v>
      </c>
      <c r="AB7" s="400">
        <v>0.9929755256038707</v>
      </c>
      <c r="AC7" s="400">
        <v>0.99205829962662706</v>
      </c>
      <c r="AD7" s="400">
        <v>0.99074076014344448</v>
      </c>
      <c r="AE7" s="400">
        <v>0.989423220660262</v>
      </c>
      <c r="AF7" s="400">
        <v>0.98810568117707953</v>
      </c>
      <c r="AG7" s="400">
        <v>0.98678814169389684</v>
      </c>
      <c r="AH7" s="400">
        <v>0.98547060221071436</v>
      </c>
      <c r="AI7" s="400">
        <v>0.9835896331782642</v>
      </c>
      <c r="AJ7" s="400">
        <v>0.9817086641458137</v>
      </c>
      <c r="AK7" s="400">
        <v>0.97982769511336354</v>
      </c>
      <c r="AL7" s="400">
        <v>0.97794672608091304</v>
      </c>
      <c r="AM7" s="400">
        <v>0.97606575704846288</v>
      </c>
      <c r="AN7" s="400">
        <v>0.9734401544504202</v>
      </c>
      <c r="AO7" s="400">
        <v>0.97081455185237775</v>
      </c>
      <c r="AP7" s="400">
        <v>0.96818894925433507</v>
      </c>
      <c r="AQ7" s="400">
        <v>0.9655633466562924</v>
      </c>
      <c r="AR7" s="400">
        <v>0.96293774405824972</v>
      </c>
      <c r="AS7" s="400">
        <v>0.96034745562297263</v>
      </c>
      <c r="AT7" s="400">
        <v>0.95775716718769555</v>
      </c>
    </row>
    <row r="8" spans="2:46" s="336" customFormat="1" ht="15" customHeight="1" outlineLevel="1" x14ac:dyDescent="0.25">
      <c r="B8" s="564"/>
      <c r="C8" s="564"/>
      <c r="D8" s="357" t="str">
        <f t="shared" ref="D8:D9" si="3">B37</f>
        <v xml:space="preserve">Prešov &lt;=&gt;  Košice &lt;=&gt;  Zvolen &lt;=&gt; Bratislava &lt;=&gt;  Praha </v>
      </c>
      <c r="E8" s="565"/>
      <c r="F8" s="565"/>
      <c r="G8" s="400">
        <v>1.0006867180645598</v>
      </c>
      <c r="H8" s="400">
        <v>1.0004070628723658</v>
      </c>
      <c r="I8" s="400">
        <v>1.000151756582109</v>
      </c>
      <c r="J8" s="400">
        <v>1.0003062858438223</v>
      </c>
      <c r="K8" s="400">
        <v>1.0000268809180859</v>
      </c>
      <c r="L8" s="400">
        <v>0.99978810663577045</v>
      </c>
      <c r="M8" s="400">
        <v>0.99958421674676501</v>
      </c>
      <c r="N8" s="400">
        <v>0.99939449075806364</v>
      </c>
      <c r="O8" s="400">
        <v>0.9994670942529954</v>
      </c>
      <c r="P8" s="400">
        <v>0.99930672530208986</v>
      </c>
      <c r="Q8" s="400">
        <v>0.99920123382117587</v>
      </c>
      <c r="R8" s="400">
        <v>0.9991177894827743</v>
      </c>
      <c r="S8" s="400">
        <v>0.9990388147300705</v>
      </c>
      <c r="T8" s="400">
        <v>0.99837762362082616</v>
      </c>
      <c r="U8" s="400">
        <v>0.99771643251158182</v>
      </c>
      <c r="V8" s="400">
        <v>0.9970552414023377</v>
      </c>
      <c r="W8" s="400">
        <v>0.99639405029309336</v>
      </c>
      <c r="X8" s="400">
        <v>0.99573285918384891</v>
      </c>
      <c r="Y8" s="400">
        <v>0.99481647213768365</v>
      </c>
      <c r="Z8" s="400">
        <v>0.99390008509151795</v>
      </c>
      <c r="AA8" s="400">
        <v>0.99298369804535247</v>
      </c>
      <c r="AB8" s="400">
        <v>0.99206731099918688</v>
      </c>
      <c r="AC8" s="400">
        <v>0.9911509239530214</v>
      </c>
      <c r="AD8" s="400">
        <v>0.98983458954344838</v>
      </c>
      <c r="AE8" s="400">
        <v>0.98851825513387548</v>
      </c>
      <c r="AF8" s="400">
        <v>0.98720192072430268</v>
      </c>
      <c r="AG8" s="400">
        <v>0.98588558631472967</v>
      </c>
      <c r="AH8" s="400">
        <v>0.98456925190515665</v>
      </c>
      <c r="AI8" s="400">
        <v>0.98269000328121814</v>
      </c>
      <c r="AJ8" s="400">
        <v>0.98081075465727974</v>
      </c>
      <c r="AK8" s="400">
        <v>0.97893150603334123</v>
      </c>
      <c r="AL8" s="400">
        <v>0.97705225740940271</v>
      </c>
      <c r="AM8" s="400">
        <v>0.9751730087854642</v>
      </c>
      <c r="AN8" s="400">
        <v>0.97254980766718024</v>
      </c>
      <c r="AO8" s="400">
        <v>0.96992660654889618</v>
      </c>
      <c r="AP8" s="400">
        <v>0.96730340543061244</v>
      </c>
      <c r="AQ8" s="400">
        <v>0.96468020431232837</v>
      </c>
      <c r="AR8" s="400">
        <v>0.96205700319404441</v>
      </c>
      <c r="AS8" s="400">
        <v>0.95946908393879904</v>
      </c>
      <c r="AT8" s="400">
        <v>0.95688116468355366</v>
      </c>
    </row>
    <row r="9" spans="2:46" s="336" customFormat="1" ht="15" customHeight="1" outlineLevel="1" x14ac:dyDescent="0.25">
      <c r="B9" s="564"/>
      <c r="C9" s="564"/>
      <c r="D9" s="357" t="str">
        <f t="shared" si="3"/>
        <v xml:space="preserve">Humenné &lt;=&gt;   Košice &lt;=&gt;   Žilina &lt;=&gt;  Bratislava </v>
      </c>
      <c r="E9" s="565"/>
      <c r="F9" s="565"/>
      <c r="G9" s="400">
        <v>1.0013059854002668</v>
      </c>
      <c r="H9" s="400">
        <v>1.0010170800268974</v>
      </c>
      <c r="I9" s="400">
        <v>1.0007458569888212</v>
      </c>
      <c r="J9" s="400">
        <v>1.0009431692654858</v>
      </c>
      <c r="K9" s="400">
        <v>1.0006638517807558</v>
      </c>
      <c r="L9" s="400">
        <v>1.000390867533671</v>
      </c>
      <c r="M9" s="400">
        <v>1.0001762878625273</v>
      </c>
      <c r="N9" s="400">
        <v>0.99995937003931534</v>
      </c>
      <c r="O9" s="400">
        <v>1.0001108360598401</v>
      </c>
      <c r="P9" s="400">
        <v>0.99990181950119672</v>
      </c>
      <c r="Q9" s="400">
        <v>0.99976181254122432</v>
      </c>
      <c r="R9" s="400">
        <v>0.99965315266225829</v>
      </c>
      <c r="S9" s="400">
        <v>0.99956155546620451</v>
      </c>
      <c r="T9" s="400">
        <v>0.99890001839289744</v>
      </c>
      <c r="U9" s="400">
        <v>0.99823848131959025</v>
      </c>
      <c r="V9" s="400">
        <v>0.9975769442462834</v>
      </c>
      <c r="W9" s="400">
        <v>0.99691540717297633</v>
      </c>
      <c r="X9" s="400">
        <v>0.99625387009966937</v>
      </c>
      <c r="Y9" s="400">
        <v>0.9953370035597825</v>
      </c>
      <c r="Z9" s="400">
        <v>0.99442013701989562</v>
      </c>
      <c r="AA9" s="400">
        <v>0.99350327048000864</v>
      </c>
      <c r="AB9" s="400">
        <v>0.99258640394012165</v>
      </c>
      <c r="AC9" s="400">
        <v>0.99166953740023478</v>
      </c>
      <c r="AD9" s="400">
        <v>0.99035251422701409</v>
      </c>
      <c r="AE9" s="400">
        <v>0.98903549105379351</v>
      </c>
      <c r="AF9" s="400">
        <v>0.98771846788057294</v>
      </c>
      <c r="AG9" s="400">
        <v>0.98640144470735214</v>
      </c>
      <c r="AH9" s="400">
        <v>0.98508442153413134</v>
      </c>
      <c r="AI9" s="400">
        <v>0.98320418960524558</v>
      </c>
      <c r="AJ9" s="400">
        <v>0.98132395767635983</v>
      </c>
      <c r="AK9" s="400">
        <v>0.97944372574747407</v>
      </c>
      <c r="AL9" s="400">
        <v>0.9775634938185882</v>
      </c>
      <c r="AM9" s="400">
        <v>0.97568326188970245</v>
      </c>
      <c r="AN9" s="400">
        <v>0.97305868819803754</v>
      </c>
      <c r="AO9" s="400">
        <v>0.97043411450637274</v>
      </c>
      <c r="AP9" s="400">
        <v>0.96780954081470794</v>
      </c>
      <c r="AQ9" s="400">
        <v>0.96518496712304314</v>
      </c>
      <c r="AR9" s="400">
        <v>0.96256039343137811</v>
      </c>
      <c r="AS9" s="400">
        <v>0.95997112006376328</v>
      </c>
      <c r="AT9" s="400">
        <v>0.95738184669614856</v>
      </c>
    </row>
    <row r="11" spans="2:46" s="336" customFormat="1" ht="40.5" customHeight="1" x14ac:dyDescent="0.25"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</row>
    <row r="12" spans="2:46" s="336" customFormat="1" ht="18.75" customHeight="1" x14ac:dyDescent="0.25">
      <c r="B12" s="359"/>
      <c r="C12" s="360"/>
      <c r="D12" s="361"/>
      <c r="E12" s="361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</row>
    <row r="13" spans="2:46" s="336" customFormat="1" ht="15" x14ac:dyDescent="0.25">
      <c r="C13" s="362" t="str">
        <f>C32</f>
        <v>dĺžka cesty - železničná doprava  [km]</v>
      </c>
      <c r="D13" s="363" t="str">
        <f>D32</f>
        <v>vnímaná úspora času železničná doprava [hod.]</v>
      </c>
      <c r="E13" s="364"/>
      <c r="F13" s="365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</row>
    <row r="14" spans="2:46" s="336" customFormat="1" x14ac:dyDescent="0.25">
      <c r="B14" s="366" t="s">
        <v>461</v>
      </c>
      <c r="C14" s="367"/>
      <c r="D14" s="367"/>
      <c r="E14" s="368"/>
      <c r="G14" s="369">
        <f t="shared" ref="G14:AT14" si="4">SUM(G17:G19)</f>
        <v>0</v>
      </c>
      <c r="H14" s="369">
        <f t="shared" si="4"/>
        <v>0</v>
      </c>
      <c r="I14" s="369">
        <f t="shared" si="4"/>
        <v>0</v>
      </c>
      <c r="J14" s="369">
        <f t="shared" si="4"/>
        <v>1579.5838520590928</v>
      </c>
      <c r="K14" s="369">
        <f t="shared" si="4"/>
        <v>2370.8877415167235</v>
      </c>
      <c r="L14" s="369">
        <f t="shared" si="4"/>
        <v>2371.7783292684735</v>
      </c>
      <c r="M14" s="369">
        <f t="shared" si="4"/>
        <v>2372.1814600466423</v>
      </c>
      <c r="N14" s="369">
        <f t="shared" si="4"/>
        <v>2372.0827132314262</v>
      </c>
      <c r="O14" s="369">
        <f t="shared" si="4"/>
        <v>2372.3875378674693</v>
      </c>
      <c r="P14" s="369">
        <f t="shared" si="4"/>
        <v>2372.2175392627405</v>
      </c>
      <c r="Q14" s="369">
        <f t="shared" si="4"/>
        <v>2371.7314928490337</v>
      </c>
      <c r="R14" s="369">
        <f t="shared" si="4"/>
        <v>2370.9905238367519</v>
      </c>
      <c r="S14" s="369">
        <f t="shared" si="4"/>
        <v>2370.0342127280901</v>
      </c>
      <c r="T14" s="369">
        <f t="shared" si="4"/>
        <v>2367.5104755442735</v>
      </c>
      <c r="U14" s="369">
        <f t="shared" si="4"/>
        <v>2363.4232833121455</v>
      </c>
      <c r="V14" s="369">
        <f t="shared" si="4"/>
        <v>2357.7797082018492</v>
      </c>
      <c r="W14" s="369">
        <f t="shared" si="4"/>
        <v>2350.5899035632501</v>
      </c>
      <c r="X14" s="369">
        <f t="shared" si="4"/>
        <v>2341.8670737791826</v>
      </c>
      <c r="Y14" s="369">
        <f t="shared" si="4"/>
        <v>2331.0294652227822</v>
      </c>
      <c r="Z14" s="369">
        <f t="shared" si="4"/>
        <v>2318.1047984375591</v>
      </c>
      <c r="AA14" s="369">
        <f t="shared" si="4"/>
        <v>2303.1264316803054</v>
      </c>
      <c r="AB14" s="369">
        <f t="shared" si="4"/>
        <v>2286.1332176626247</v>
      </c>
      <c r="AC14" s="369">
        <f t="shared" si="4"/>
        <v>2267.1693356360015</v>
      </c>
      <c r="AD14" s="369">
        <f t="shared" si="4"/>
        <v>2245.3768446655513</v>
      </c>
      <c r="AE14" s="369">
        <f t="shared" si="4"/>
        <v>2220.8366107781403</v>
      </c>
      <c r="AF14" s="369">
        <f t="shared" si="4"/>
        <v>2193.6396857465752</v>
      </c>
      <c r="AG14" s="369">
        <f t="shared" si="4"/>
        <v>2163.8867429293255</v>
      </c>
      <c r="AH14" s="369">
        <f t="shared" si="4"/>
        <v>2131.6874544306074</v>
      </c>
      <c r="AI14" s="369">
        <f t="shared" si="4"/>
        <v>2095.9591869020487</v>
      </c>
      <c r="AJ14" s="369">
        <f t="shared" si="4"/>
        <v>2056.888808694478</v>
      </c>
      <c r="AK14" s="369">
        <f t="shared" si="4"/>
        <v>2014.6792595742886</v>
      </c>
      <c r="AL14" s="369">
        <f t="shared" si="4"/>
        <v>1969.5477852658864</v>
      </c>
      <c r="AM14" s="369">
        <f t="shared" si="4"/>
        <v>1921.7240637701157</v>
      </c>
      <c r="AN14" s="369">
        <f t="shared" si="4"/>
        <v>1870.0177751120664</v>
      </c>
      <c r="AO14" s="369">
        <f t="shared" si="4"/>
        <v>1814.7946127748235</v>
      </c>
      <c r="AP14" s="369">
        <f t="shared" si="4"/>
        <v>1756.4390820779208</v>
      </c>
      <c r="AQ14" s="369">
        <f t="shared" si="4"/>
        <v>1695.3500066738957</v>
      </c>
      <c r="AR14" s="369">
        <f t="shared" si="4"/>
        <v>1631.9359562520358</v>
      </c>
      <c r="AS14" s="369">
        <f t="shared" si="4"/>
        <v>1566.6682793259429</v>
      </c>
      <c r="AT14" s="369">
        <f t="shared" si="4"/>
        <v>1499.954308081135</v>
      </c>
    </row>
    <row r="15" spans="2:46" s="336" customFormat="1" ht="15" x14ac:dyDescent="0.25"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</row>
    <row r="16" spans="2:46" s="336" customFormat="1" ht="15" x14ac:dyDescent="0.25">
      <c r="B16" s="370" t="s">
        <v>462</v>
      </c>
      <c r="D16" s="371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</row>
    <row r="17" spans="2:46" s="336" customFormat="1" ht="15" x14ac:dyDescent="0.25">
      <c r="B17" s="372" t="str">
        <f>B36</f>
        <v>Humenné  &lt;=&gt;  Žilina &lt;=&gt;  Praha</v>
      </c>
      <c r="C17" s="398">
        <f>C36</f>
        <v>802</v>
      </c>
      <c r="D17" s="374">
        <f>D36</f>
        <v>1.0166666666666666E-2</v>
      </c>
      <c r="E17" s="361"/>
      <c r="G17" s="375">
        <f>$D17*G26*G36</f>
        <v>0</v>
      </c>
      <c r="H17" s="375">
        <f t="shared" ref="H17:AS19" si="5">$D17*H26*H36</f>
        <v>0</v>
      </c>
      <c r="I17" s="375">
        <f t="shared" si="5"/>
        <v>0</v>
      </c>
      <c r="J17" s="375">
        <f t="shared" si="5"/>
        <v>288.03793608844683</v>
      </c>
      <c r="K17" s="375">
        <f t="shared" si="5"/>
        <v>432.38865930019278</v>
      </c>
      <c r="L17" s="375">
        <f t="shared" si="5"/>
        <v>432.62175095611633</v>
      </c>
      <c r="M17" s="375">
        <f t="shared" si="5"/>
        <v>432.78143434893815</v>
      </c>
      <c r="N17" s="375">
        <f t="shared" si="5"/>
        <v>432.85532933804416</v>
      </c>
      <c r="O17" s="375">
        <f t="shared" si="5"/>
        <v>433.05209847658381</v>
      </c>
      <c r="P17" s="375">
        <f t="shared" si="5"/>
        <v>433.17125597389548</v>
      </c>
      <c r="Q17" s="375">
        <f t="shared" si="5"/>
        <v>433.24002518610655</v>
      </c>
      <c r="R17" s="375">
        <f t="shared" si="5"/>
        <v>433.26012356636915</v>
      </c>
      <c r="S17" s="375">
        <f t="shared" si="5"/>
        <v>433.23993866378339</v>
      </c>
      <c r="T17" s="375">
        <f t="shared" si="5"/>
        <v>432.93303806361359</v>
      </c>
      <c r="U17" s="375">
        <f t="shared" si="5"/>
        <v>432.33984133492311</v>
      </c>
      <c r="V17" s="375">
        <f t="shared" si="5"/>
        <v>431.4613364364825</v>
      </c>
      <c r="W17" s="375">
        <f t="shared" si="5"/>
        <v>430.29907707497819</v>
      </c>
      <c r="X17" s="375">
        <f t="shared" si="5"/>
        <v>428.85517819129564</v>
      </c>
      <c r="Y17" s="375">
        <f t="shared" si="5"/>
        <v>427.02276730218119</v>
      </c>
      <c r="Z17" s="375">
        <f t="shared" si="5"/>
        <v>424.80650955679084</v>
      </c>
      <c r="AA17" s="375">
        <f t="shared" si="5"/>
        <v>422.21211067296792</v>
      </c>
      <c r="AB17" s="375">
        <f t="shared" si="5"/>
        <v>419.24629251180988</v>
      </c>
      <c r="AC17" s="375">
        <f t="shared" si="5"/>
        <v>415.91676407403367</v>
      </c>
      <c r="AD17" s="375">
        <f t="shared" si="5"/>
        <v>412.06569099510972</v>
      </c>
      <c r="AE17" s="375">
        <f t="shared" si="5"/>
        <v>407.70736310797781</v>
      </c>
      <c r="AF17" s="375">
        <f t="shared" si="5"/>
        <v>402.85796174471932</v>
      </c>
      <c r="AG17" s="375">
        <f t="shared" si="5"/>
        <v>397.53545943666251</v>
      </c>
      <c r="AH17" s="375">
        <f t="shared" si="5"/>
        <v>391.75950861116087</v>
      </c>
      <c r="AI17" s="375">
        <f t="shared" si="5"/>
        <v>385.33059136894877</v>
      </c>
      <c r="AJ17" s="375">
        <f t="shared" si="5"/>
        <v>378.28238010732713</v>
      </c>
      <c r="AK17" s="375">
        <f t="shared" si="5"/>
        <v>370.6515526025596</v>
      </c>
      <c r="AL17" s="375">
        <f t="shared" si="5"/>
        <v>362.47747238448045</v>
      </c>
      <c r="AM17" s="375">
        <f t="shared" si="5"/>
        <v>353.80184849597117</v>
      </c>
      <c r="AN17" s="375">
        <f t="shared" si="5"/>
        <v>344.40492604476236</v>
      </c>
      <c r="AO17" s="375">
        <f t="shared" si="5"/>
        <v>334.35331393389725</v>
      </c>
      <c r="AP17" s="375">
        <f t="shared" si="5"/>
        <v>323.71718369736482</v>
      </c>
      <c r="AQ17" s="375">
        <f t="shared" si="5"/>
        <v>312.56944726097737</v>
      </c>
      <c r="AR17" s="375">
        <f t="shared" si="5"/>
        <v>300.98491840701962</v>
      </c>
      <c r="AS17" s="375">
        <f t="shared" si="5"/>
        <v>289.0501005730693</v>
      </c>
      <c r="AT17" s="375">
        <f>$D17*AT26*AT36</f>
        <v>276.83980550018134</v>
      </c>
    </row>
    <row r="18" spans="2:46" s="336" customFormat="1" ht="15" x14ac:dyDescent="0.25">
      <c r="B18" s="372" t="str">
        <f>B37</f>
        <v xml:space="preserve">Prešov &lt;=&gt;  Košice &lt;=&gt;  Zvolen &lt;=&gt; Bratislava &lt;=&gt;  Praha </v>
      </c>
      <c r="C18" s="398">
        <f t="shared" ref="C18:D19" si="6">C37</f>
        <v>870</v>
      </c>
      <c r="D18" s="374">
        <f t="shared" si="6"/>
        <v>2.1333333333333329E-2</v>
      </c>
      <c r="E18" s="361"/>
      <c r="G18" s="375">
        <f>$D18*G27*G37</f>
        <v>0</v>
      </c>
      <c r="H18" s="375">
        <f t="shared" si="5"/>
        <v>0</v>
      </c>
      <c r="I18" s="375">
        <f t="shared" si="5"/>
        <v>0</v>
      </c>
      <c r="J18" s="375">
        <f t="shared" si="5"/>
        <v>110.82068794798025</v>
      </c>
      <c r="K18" s="375">
        <f t="shared" si="5"/>
        <v>166.23550036472281</v>
      </c>
      <c r="L18" s="375">
        <f t="shared" si="5"/>
        <v>166.20027616529615</v>
      </c>
      <c r="M18" s="375">
        <f t="shared" si="5"/>
        <v>166.13117287378358</v>
      </c>
      <c r="N18" s="375">
        <f t="shared" si="5"/>
        <v>166.03057891323476</v>
      </c>
      <c r="O18" s="375">
        <f t="shared" si="5"/>
        <v>165.94210026355341</v>
      </c>
      <c r="P18" s="375">
        <f t="shared" si="5"/>
        <v>165.82705680412263</v>
      </c>
      <c r="Q18" s="375">
        <f t="shared" si="5"/>
        <v>165.69459975961354</v>
      </c>
      <c r="R18" s="375">
        <f t="shared" si="5"/>
        <v>165.54842224105812</v>
      </c>
      <c r="S18" s="375">
        <f t="shared" si="5"/>
        <v>165.38929953613993</v>
      </c>
      <c r="T18" s="375">
        <f t="shared" si="5"/>
        <v>165.12097584320441</v>
      </c>
      <c r="U18" s="375">
        <f t="shared" si="5"/>
        <v>164.74391095111298</v>
      </c>
      <c r="V18" s="375">
        <f t="shared" si="5"/>
        <v>164.25877990292719</v>
      </c>
      <c r="W18" s="375">
        <f t="shared" si="5"/>
        <v>163.66647100367936</v>
      </c>
      <c r="X18" s="375">
        <f t="shared" si="5"/>
        <v>162.96808312502418</v>
      </c>
      <c r="Y18" s="375">
        <f t="shared" si="5"/>
        <v>162.12333352547731</v>
      </c>
      <c r="Z18" s="375">
        <f t="shared" si="5"/>
        <v>161.13439498629245</v>
      </c>
      <c r="AA18" s="375">
        <f t="shared" si="5"/>
        <v>160.00382741578917</v>
      </c>
      <c r="AB18" s="375">
        <f t="shared" si="5"/>
        <v>158.73456681395993</v>
      </c>
      <c r="AC18" s="375">
        <f t="shared" si="5"/>
        <v>157.32991256093899</v>
      </c>
      <c r="AD18" s="375">
        <f t="shared" si="5"/>
        <v>155.73058942266368</v>
      </c>
      <c r="AE18" s="375">
        <f t="shared" si="5"/>
        <v>153.94253052706145</v>
      </c>
      <c r="AF18" s="375">
        <f t="shared" si="5"/>
        <v>151.97236181747468</v>
      </c>
      <c r="AG18" s="375">
        <f t="shared" si="5"/>
        <v>149.82736103405526</v>
      </c>
      <c r="AH18" s="375">
        <f t="shared" si="5"/>
        <v>147.51541276822363</v>
      </c>
      <c r="AI18" s="375">
        <f t="shared" si="5"/>
        <v>144.96192145723592</v>
      </c>
      <c r="AJ18" s="375">
        <f t="shared" si="5"/>
        <v>142.18021158104088</v>
      </c>
      <c r="AK18" s="375">
        <f t="shared" si="5"/>
        <v>139.18468865116745</v>
      </c>
      <c r="AL18" s="375">
        <f t="shared" si="5"/>
        <v>135.99071424344805</v>
      </c>
      <c r="AM18" s="375">
        <f t="shared" si="5"/>
        <v>132.61447397566752</v>
      </c>
      <c r="AN18" s="375">
        <f t="shared" si="5"/>
        <v>128.97418115891972</v>
      </c>
      <c r="AO18" s="375">
        <f t="shared" si="5"/>
        <v>125.09548986389358</v>
      </c>
      <c r="AP18" s="375">
        <f t="shared" si="5"/>
        <v>121.00529334935491</v>
      </c>
      <c r="AQ18" s="375">
        <f t="shared" si="5"/>
        <v>116.73141111112892</v>
      </c>
      <c r="AR18" s="375">
        <f t="shared" si="5"/>
        <v>112.30227155218468</v>
      </c>
      <c r="AS18" s="375">
        <f t="shared" si="5"/>
        <v>107.75055761042088</v>
      </c>
      <c r="AT18" s="375">
        <f>$D18*AT27*AT37</f>
        <v>103.10447906156188</v>
      </c>
    </row>
    <row r="19" spans="2:46" s="336" customFormat="1" ht="15" x14ac:dyDescent="0.25">
      <c r="B19" s="372" t="str">
        <f>B38</f>
        <v xml:space="preserve">Humenné &lt;=&gt;   Košice &lt;=&gt;   Žilina &lt;=&gt;  Bratislava </v>
      </c>
      <c r="C19" s="398">
        <f t="shared" si="6"/>
        <v>540</v>
      </c>
      <c r="D19" s="374">
        <f t="shared" si="6"/>
        <v>2.6666666666666668E-2</v>
      </c>
      <c r="E19" s="361"/>
      <c r="G19" s="375">
        <f>$D19*G28*G38</f>
        <v>0</v>
      </c>
      <c r="H19" s="375">
        <f t="shared" si="5"/>
        <v>0</v>
      </c>
      <c r="I19" s="375">
        <f t="shared" si="5"/>
        <v>0</v>
      </c>
      <c r="J19" s="375">
        <f t="shared" si="5"/>
        <v>1180.7252280226658</v>
      </c>
      <c r="K19" s="375">
        <f t="shared" si="5"/>
        <v>1772.2635818518079</v>
      </c>
      <c r="L19" s="375">
        <f t="shared" si="5"/>
        <v>1772.956302147061</v>
      </c>
      <c r="M19" s="375">
        <f t="shared" si="5"/>
        <v>1773.2688528239207</v>
      </c>
      <c r="N19" s="375">
        <f t="shared" si="5"/>
        <v>1773.1968049801471</v>
      </c>
      <c r="O19" s="375">
        <f t="shared" si="5"/>
        <v>1773.3933391273322</v>
      </c>
      <c r="P19" s="375">
        <f t="shared" si="5"/>
        <v>1773.2192264847222</v>
      </c>
      <c r="Q19" s="375">
        <f t="shared" si="5"/>
        <v>1772.7968679033136</v>
      </c>
      <c r="R19" s="375">
        <f t="shared" si="5"/>
        <v>1772.1819780293245</v>
      </c>
      <c r="S19" s="375">
        <f t="shared" si="5"/>
        <v>1771.4049745281666</v>
      </c>
      <c r="T19" s="375">
        <f t="shared" si="5"/>
        <v>1769.4564616374555</v>
      </c>
      <c r="U19" s="375">
        <f t="shared" si="5"/>
        <v>1766.3395310261094</v>
      </c>
      <c r="V19" s="375">
        <f t="shared" si="5"/>
        <v>1762.0595918624394</v>
      </c>
      <c r="W19" s="375">
        <f t="shared" si="5"/>
        <v>1756.6243554845923</v>
      </c>
      <c r="X19" s="375">
        <f t="shared" si="5"/>
        <v>1750.0438124628627</v>
      </c>
      <c r="Y19" s="375">
        <f t="shared" si="5"/>
        <v>1741.8833643951236</v>
      </c>
      <c r="Z19" s="375">
        <f t="shared" si="5"/>
        <v>1732.1638938944757</v>
      </c>
      <c r="AA19" s="375">
        <f t="shared" si="5"/>
        <v>1720.9104935915482</v>
      </c>
      <c r="AB19" s="375">
        <f t="shared" si="5"/>
        <v>1708.1523583368546</v>
      </c>
      <c r="AC19" s="375">
        <f t="shared" si="5"/>
        <v>1693.9226590010287</v>
      </c>
      <c r="AD19" s="375">
        <f t="shared" si="5"/>
        <v>1677.5805642477778</v>
      </c>
      <c r="AE19" s="375">
        <f t="shared" si="5"/>
        <v>1659.1867171431011</v>
      </c>
      <c r="AF19" s="375">
        <f t="shared" si="5"/>
        <v>1638.8093621843811</v>
      </c>
      <c r="AG19" s="375">
        <f t="shared" si="5"/>
        <v>1616.5239224586078</v>
      </c>
      <c r="AH19" s="375">
        <f t="shared" si="5"/>
        <v>1592.4125330512227</v>
      </c>
      <c r="AI19" s="375">
        <f t="shared" si="5"/>
        <v>1565.6666740758637</v>
      </c>
      <c r="AJ19" s="375">
        <f t="shared" si="5"/>
        <v>1536.4262170061099</v>
      </c>
      <c r="AK19" s="375">
        <f t="shared" si="5"/>
        <v>1504.8430183205614</v>
      </c>
      <c r="AL19" s="375">
        <f t="shared" si="5"/>
        <v>1471.0795986379578</v>
      </c>
      <c r="AM19" s="375">
        <f t="shared" si="5"/>
        <v>1435.3077412984769</v>
      </c>
      <c r="AN19" s="375">
        <f t="shared" si="5"/>
        <v>1396.6386679083841</v>
      </c>
      <c r="AO19" s="375">
        <f t="shared" si="5"/>
        <v>1355.3458089770327</v>
      </c>
      <c r="AP19" s="375">
        <f t="shared" si="5"/>
        <v>1311.716605031201</v>
      </c>
      <c r="AQ19" s="375">
        <f t="shared" si="5"/>
        <v>1266.0491483017895</v>
      </c>
      <c r="AR19" s="375">
        <f t="shared" si="5"/>
        <v>1218.6487662928316</v>
      </c>
      <c r="AS19" s="375">
        <f t="shared" si="5"/>
        <v>1169.8676211424527</v>
      </c>
      <c r="AT19" s="375">
        <f>$D19*AT28*AT38</f>
        <v>1120.0100235193918</v>
      </c>
    </row>
    <row r="20" spans="2:46" s="336" customFormat="1" ht="15" x14ac:dyDescent="0.25"/>
    <row r="21" spans="2:46" s="336" customFormat="1" ht="39" customHeight="1" x14ac:dyDescent="0.25">
      <c r="C21" s="376"/>
      <c r="D21" s="376"/>
      <c r="E21" s="376"/>
    </row>
    <row r="22" spans="2:46" s="336" customFormat="1" ht="15.75" customHeight="1" x14ac:dyDescent="0.25">
      <c r="C22" s="363"/>
      <c r="D22" s="362"/>
      <c r="E22" s="362"/>
      <c r="F22" s="365"/>
    </row>
    <row r="23" spans="2:46" s="336" customFormat="1" ht="15.75" customHeight="1" x14ac:dyDescent="0.25">
      <c r="B23" s="377" t="s">
        <v>463</v>
      </c>
      <c r="C23" s="367"/>
      <c r="D23" s="367"/>
      <c r="E23" s="367"/>
    </row>
    <row r="24" spans="2:46" s="336" customFormat="1" ht="15.75" customHeight="1" x14ac:dyDescent="0.25"/>
    <row r="25" spans="2:46" s="336" customFormat="1" ht="15.75" customHeight="1" x14ac:dyDescent="0.25">
      <c r="B25" s="370" t="s">
        <v>462</v>
      </c>
    </row>
    <row r="26" spans="2:46" s="336" customFormat="1" ht="15.75" customHeight="1" x14ac:dyDescent="0.25">
      <c r="B26" s="566" t="str">
        <f>B36</f>
        <v>Humenné  &lt;=&gt;  Žilina &lt;=&gt;  Praha</v>
      </c>
      <c r="C26" s="567"/>
      <c r="D26" s="568"/>
      <c r="E26" s="359"/>
      <c r="G26" s="401">
        <v>0</v>
      </c>
      <c r="H26" s="401">
        <v>0</v>
      </c>
      <c r="I26" s="401">
        <v>0</v>
      </c>
      <c r="J26" s="401">
        <f>'01 Investičné výdavky - nové'!$G$6/'01 Investičné výdavky - nové'!$C$6</f>
        <v>0.66666666666666663</v>
      </c>
      <c r="K26" s="401">
        <f>('01 Investičné výdavky - nové'!$H$6+'01 Investičné výdavky - nové'!$G$6)/'01 Investičné výdavky - nové'!$C$6</f>
        <v>1</v>
      </c>
      <c r="L26" s="401">
        <v>1</v>
      </c>
      <c r="M26" s="401">
        <v>1</v>
      </c>
      <c r="N26" s="401">
        <v>1</v>
      </c>
      <c r="O26" s="401">
        <v>1</v>
      </c>
      <c r="P26" s="401">
        <v>1</v>
      </c>
      <c r="Q26" s="401">
        <v>1</v>
      </c>
      <c r="R26" s="401">
        <v>1</v>
      </c>
      <c r="S26" s="401">
        <v>1</v>
      </c>
      <c r="T26" s="401">
        <v>1</v>
      </c>
      <c r="U26" s="401">
        <v>1</v>
      </c>
      <c r="V26" s="401">
        <v>1</v>
      </c>
      <c r="W26" s="401">
        <v>1</v>
      </c>
      <c r="X26" s="401">
        <v>1</v>
      </c>
      <c r="Y26" s="401">
        <v>1</v>
      </c>
      <c r="Z26" s="401">
        <v>1</v>
      </c>
      <c r="AA26" s="401">
        <v>1</v>
      </c>
      <c r="AB26" s="401">
        <v>1</v>
      </c>
      <c r="AC26" s="401">
        <v>1</v>
      </c>
      <c r="AD26" s="401">
        <v>1</v>
      </c>
      <c r="AE26" s="401">
        <v>1</v>
      </c>
      <c r="AF26" s="401">
        <v>1</v>
      </c>
      <c r="AG26" s="401">
        <v>1</v>
      </c>
      <c r="AH26" s="401">
        <v>1</v>
      </c>
      <c r="AI26" s="401">
        <v>1</v>
      </c>
      <c r="AJ26" s="401">
        <v>1</v>
      </c>
      <c r="AK26" s="401">
        <v>1</v>
      </c>
      <c r="AL26" s="401">
        <v>1</v>
      </c>
      <c r="AM26" s="401">
        <v>1</v>
      </c>
      <c r="AN26" s="401">
        <v>1</v>
      </c>
      <c r="AO26" s="401">
        <v>1</v>
      </c>
      <c r="AP26" s="401">
        <v>1</v>
      </c>
      <c r="AQ26" s="401">
        <v>1</v>
      </c>
      <c r="AR26" s="401">
        <v>1</v>
      </c>
      <c r="AS26" s="401">
        <v>1</v>
      </c>
      <c r="AT26" s="401">
        <v>1</v>
      </c>
    </row>
    <row r="27" spans="2:46" s="336" customFormat="1" ht="15.75" customHeight="1" x14ac:dyDescent="0.25">
      <c r="B27" s="569" t="str">
        <f>B37</f>
        <v xml:space="preserve">Prešov &lt;=&gt;  Košice &lt;=&gt;  Zvolen &lt;=&gt; Bratislava &lt;=&gt;  Praha </v>
      </c>
      <c r="C27" s="570"/>
      <c r="D27" s="571"/>
      <c r="E27" s="378"/>
      <c r="G27" s="401">
        <v>0</v>
      </c>
      <c r="H27" s="401">
        <v>0</v>
      </c>
      <c r="I27" s="401">
        <v>0</v>
      </c>
      <c r="J27" s="401">
        <f>'01 Investičné výdavky - nové'!$G$6/'01 Investičné výdavky - nové'!$C$6</f>
        <v>0.66666666666666663</v>
      </c>
      <c r="K27" s="401">
        <f>('01 Investičné výdavky - nové'!$H$6+'01 Investičné výdavky - nové'!$G$6)/'01 Investičné výdavky - nové'!$C$6</f>
        <v>1</v>
      </c>
      <c r="L27" s="401">
        <v>1</v>
      </c>
      <c r="M27" s="401">
        <v>1</v>
      </c>
      <c r="N27" s="401">
        <v>1</v>
      </c>
      <c r="O27" s="401">
        <v>1</v>
      </c>
      <c r="P27" s="401">
        <v>1</v>
      </c>
      <c r="Q27" s="401">
        <v>1</v>
      </c>
      <c r="R27" s="401">
        <v>1</v>
      </c>
      <c r="S27" s="401">
        <v>1</v>
      </c>
      <c r="T27" s="401">
        <v>1</v>
      </c>
      <c r="U27" s="401">
        <v>1</v>
      </c>
      <c r="V27" s="401">
        <v>1</v>
      </c>
      <c r="W27" s="401">
        <v>1</v>
      </c>
      <c r="X27" s="401">
        <v>1</v>
      </c>
      <c r="Y27" s="401">
        <v>1</v>
      </c>
      <c r="Z27" s="401">
        <v>1</v>
      </c>
      <c r="AA27" s="401">
        <v>1</v>
      </c>
      <c r="AB27" s="401">
        <v>1</v>
      </c>
      <c r="AC27" s="401">
        <v>1</v>
      </c>
      <c r="AD27" s="401">
        <v>1</v>
      </c>
      <c r="AE27" s="401">
        <v>1</v>
      </c>
      <c r="AF27" s="401">
        <v>1</v>
      </c>
      <c r="AG27" s="401">
        <v>1</v>
      </c>
      <c r="AH27" s="401">
        <v>1</v>
      </c>
      <c r="AI27" s="401">
        <v>1</v>
      </c>
      <c r="AJ27" s="401">
        <v>1</v>
      </c>
      <c r="AK27" s="401">
        <v>1</v>
      </c>
      <c r="AL27" s="401">
        <v>1</v>
      </c>
      <c r="AM27" s="401">
        <v>1</v>
      </c>
      <c r="AN27" s="401">
        <v>1</v>
      </c>
      <c r="AO27" s="401">
        <v>1</v>
      </c>
      <c r="AP27" s="401">
        <v>1</v>
      </c>
      <c r="AQ27" s="401">
        <v>1</v>
      </c>
      <c r="AR27" s="401">
        <v>1</v>
      </c>
      <c r="AS27" s="401">
        <v>1</v>
      </c>
      <c r="AT27" s="401">
        <v>1</v>
      </c>
    </row>
    <row r="28" spans="2:46" s="336" customFormat="1" ht="15.75" customHeight="1" x14ac:dyDescent="0.25">
      <c r="B28" s="569" t="str">
        <f>B38</f>
        <v xml:space="preserve">Humenné &lt;=&gt;   Košice &lt;=&gt;   Žilina &lt;=&gt;  Bratislava </v>
      </c>
      <c r="C28" s="570"/>
      <c r="D28" s="571"/>
      <c r="E28" s="378"/>
      <c r="G28" s="401">
        <v>0</v>
      </c>
      <c r="H28" s="401">
        <v>0</v>
      </c>
      <c r="I28" s="401">
        <v>0</v>
      </c>
      <c r="J28" s="401">
        <f>'01 Investičné výdavky - nové'!$G$6/'01 Investičné výdavky - nové'!$C$6</f>
        <v>0.66666666666666663</v>
      </c>
      <c r="K28" s="401">
        <f>('01 Investičné výdavky - nové'!$H$6+'01 Investičné výdavky - nové'!$G$6)/'01 Investičné výdavky - nové'!$C$6</f>
        <v>1</v>
      </c>
      <c r="L28" s="401">
        <v>1</v>
      </c>
      <c r="M28" s="401">
        <v>1</v>
      </c>
      <c r="N28" s="401">
        <v>1</v>
      </c>
      <c r="O28" s="401">
        <v>1</v>
      </c>
      <c r="P28" s="401">
        <v>1</v>
      </c>
      <c r="Q28" s="401">
        <v>1</v>
      </c>
      <c r="R28" s="401">
        <v>1</v>
      </c>
      <c r="S28" s="401">
        <v>1</v>
      </c>
      <c r="T28" s="401">
        <v>1</v>
      </c>
      <c r="U28" s="401">
        <v>1</v>
      </c>
      <c r="V28" s="401">
        <v>1</v>
      </c>
      <c r="W28" s="401">
        <v>1</v>
      </c>
      <c r="X28" s="401">
        <v>1</v>
      </c>
      <c r="Y28" s="401">
        <v>1</v>
      </c>
      <c r="Z28" s="401">
        <v>1</v>
      </c>
      <c r="AA28" s="401">
        <v>1</v>
      </c>
      <c r="AB28" s="401">
        <v>1</v>
      </c>
      <c r="AC28" s="401">
        <v>1</v>
      </c>
      <c r="AD28" s="401">
        <v>1</v>
      </c>
      <c r="AE28" s="401">
        <v>1</v>
      </c>
      <c r="AF28" s="401">
        <v>1</v>
      </c>
      <c r="AG28" s="401">
        <v>1</v>
      </c>
      <c r="AH28" s="401">
        <v>1</v>
      </c>
      <c r="AI28" s="401">
        <v>1</v>
      </c>
      <c r="AJ28" s="401">
        <v>1</v>
      </c>
      <c r="AK28" s="401">
        <v>1</v>
      </c>
      <c r="AL28" s="401">
        <v>1</v>
      </c>
      <c r="AM28" s="401">
        <v>1</v>
      </c>
      <c r="AN28" s="401">
        <v>1</v>
      </c>
      <c r="AO28" s="401">
        <v>1</v>
      </c>
      <c r="AP28" s="401">
        <v>1</v>
      </c>
      <c r="AQ28" s="401">
        <v>1</v>
      </c>
      <c r="AR28" s="401">
        <v>1</v>
      </c>
      <c r="AS28" s="401">
        <v>1</v>
      </c>
      <c r="AT28" s="401">
        <v>1</v>
      </c>
    </row>
    <row r="29" spans="2:46" s="336" customFormat="1" ht="15.75" customHeight="1" x14ac:dyDescent="0.25">
      <c r="B29" s="379"/>
      <c r="C29" s="379"/>
      <c r="D29" s="379"/>
      <c r="E29" s="379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</row>
    <row r="30" spans="2:46" s="336" customFormat="1" ht="39" customHeight="1" x14ac:dyDescent="0.25">
      <c r="C30" s="376"/>
      <c r="D30" s="376"/>
      <c r="E30" s="376"/>
    </row>
    <row r="31" spans="2:46" s="336" customFormat="1" ht="15" x14ac:dyDescent="0.25">
      <c r="E31" s="363"/>
      <c r="F31" s="363"/>
    </row>
    <row r="32" spans="2:46" s="336" customFormat="1" ht="15" x14ac:dyDescent="0.25">
      <c r="C32" s="362" t="s">
        <v>464</v>
      </c>
      <c r="D32" s="362" t="s">
        <v>465</v>
      </c>
      <c r="E32" s="364"/>
      <c r="F32" s="365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</row>
    <row r="33" spans="2:46" s="336" customFormat="1" x14ac:dyDescent="0.25">
      <c r="B33" s="377" t="s">
        <v>458</v>
      </c>
      <c r="C33" s="367"/>
      <c r="D33" s="367"/>
      <c r="E33" s="368"/>
      <c r="G33" s="369">
        <f t="shared" ref="G33:AT33" si="7">SUMPRODUCT(G36:G38,$C$36:$C$38)/SUM($C$36:$C$38)</f>
        <v>34609.343092822819</v>
      </c>
      <c r="H33" s="369">
        <f t="shared" si="7"/>
        <v>34636.579964293007</v>
      </c>
      <c r="I33" s="369">
        <f t="shared" si="7"/>
        <v>34655.479781713257</v>
      </c>
      <c r="J33" s="369">
        <f t="shared" si="7"/>
        <v>34686.506870598125</v>
      </c>
      <c r="K33" s="369">
        <f t="shared" si="7"/>
        <v>34709.183881430305</v>
      </c>
      <c r="L33" s="369">
        <f t="shared" si="7"/>
        <v>34723.188669717441</v>
      </c>
      <c r="M33" s="369">
        <f t="shared" si="7"/>
        <v>34730.470630073942</v>
      </c>
      <c r="N33" s="369">
        <f t="shared" si="7"/>
        <v>34730.591745849924</v>
      </c>
      <c r="O33" s="369">
        <f t="shared" si="7"/>
        <v>34737.776975699715</v>
      </c>
      <c r="P33" s="369">
        <f t="shared" si="7"/>
        <v>34738.311501641707</v>
      </c>
      <c r="Q33" s="369">
        <f t="shared" si="7"/>
        <v>34734.455421666949</v>
      </c>
      <c r="R33" s="369">
        <f t="shared" si="7"/>
        <v>34726.848117775611</v>
      </c>
      <c r="S33" s="369">
        <f t="shared" si="7"/>
        <v>34716.081465554831</v>
      </c>
      <c r="T33" s="369">
        <f t="shared" si="7"/>
        <v>34682.351858434042</v>
      </c>
      <c r="U33" s="369">
        <f t="shared" si="7"/>
        <v>34625.711039120681</v>
      </c>
      <c r="V33" s="369">
        <f t="shared" si="7"/>
        <v>34546.256204779616</v>
      </c>
      <c r="W33" s="369">
        <f t="shared" si="7"/>
        <v>34444.129735754934</v>
      </c>
      <c r="X33" s="369">
        <f t="shared" si="7"/>
        <v>34319.518774921824</v>
      </c>
      <c r="Y33" s="369">
        <f t="shared" si="7"/>
        <v>34163.890745283999</v>
      </c>
      <c r="Z33" s="369">
        <f t="shared" si="7"/>
        <v>33977.643247695487</v>
      </c>
      <c r="AA33" s="369">
        <f t="shared" si="7"/>
        <v>33761.256670486553</v>
      </c>
      <c r="AB33" s="369">
        <f t="shared" si="7"/>
        <v>33515.292128095774</v>
      </c>
      <c r="AC33" s="369">
        <f t="shared" si="7"/>
        <v>33240.389037066408</v>
      </c>
      <c r="AD33" s="369">
        <f t="shared" si="7"/>
        <v>32923.9592620654</v>
      </c>
      <c r="AE33" s="369">
        <f t="shared" si="7"/>
        <v>32567.176961973917</v>
      </c>
      <c r="AF33" s="369">
        <f t="shared" si="7"/>
        <v>32171.366112236898</v>
      </c>
      <c r="AG33" s="369">
        <f t="shared" si="7"/>
        <v>31737.992300741036</v>
      </c>
      <c r="AH33" s="369">
        <f t="shared" si="7"/>
        <v>31268.653658380736</v>
      </c>
      <c r="AI33" s="369">
        <f t="shared" si="7"/>
        <v>30747.457939885975</v>
      </c>
      <c r="AJ33" s="369">
        <f t="shared" si="7"/>
        <v>30177.132108018515</v>
      </c>
      <c r="AK33" s="369">
        <f t="shared" si="7"/>
        <v>29560.639952949419</v>
      </c>
      <c r="AL33" s="369">
        <f t="shared" si="7"/>
        <v>28901.156297700581</v>
      </c>
      <c r="AM33" s="369">
        <f t="shared" si="7"/>
        <v>28202.039600892218</v>
      </c>
      <c r="AN33" s="369">
        <f t="shared" si="7"/>
        <v>27445.808603665897</v>
      </c>
      <c r="AO33" s="369">
        <f t="shared" si="7"/>
        <v>26637.814857821122</v>
      </c>
      <c r="AP33" s="369">
        <f t="shared" si="7"/>
        <v>25783.688069547006</v>
      </c>
      <c r="AQ33" s="369">
        <f t="shared" si="7"/>
        <v>24889.270262662139</v>
      </c>
      <c r="AR33" s="369">
        <f t="shared" si="7"/>
        <v>23960.548747915895</v>
      </c>
      <c r="AS33" s="369">
        <f t="shared" si="7"/>
        <v>23004.434908356598</v>
      </c>
      <c r="AT33" s="369">
        <f t="shared" si="7"/>
        <v>22026.902642513935</v>
      </c>
    </row>
    <row r="34" spans="2:46" s="336" customFormat="1" ht="15" x14ac:dyDescent="0.25"/>
    <row r="35" spans="2:46" s="336" customFormat="1" ht="15" x14ac:dyDescent="0.25">
      <c r="B35" s="370" t="s">
        <v>462</v>
      </c>
      <c r="D35" s="371"/>
    </row>
    <row r="36" spans="2:46" s="336" customFormat="1" ht="15" x14ac:dyDescent="0.25">
      <c r="B36" s="372" t="s">
        <v>466</v>
      </c>
      <c r="C36" s="373">
        <v>802</v>
      </c>
      <c r="D36" s="374">
        <f>$D$56/60</f>
        <v>1.0166666666666666E-2</v>
      </c>
      <c r="E36" s="382"/>
      <c r="G36" s="358">
        <v>42412.677926370787</v>
      </c>
      <c r="H36" s="358">
        <f t="shared" ref="H36:AT38" si="8">G36*H7</f>
        <v>42439.002437978925</v>
      </c>
      <c r="I36" s="358">
        <f t="shared" si="8"/>
        <v>42456.550326980745</v>
      </c>
      <c r="J36" s="358">
        <f t="shared" si="8"/>
        <v>42497.400406492161</v>
      </c>
      <c r="K36" s="358">
        <f t="shared" si="8"/>
        <v>42530.032062314051</v>
      </c>
      <c r="L36" s="358">
        <f t="shared" si="8"/>
        <v>42552.959110437674</v>
      </c>
      <c r="M36" s="358">
        <f t="shared" si="8"/>
        <v>42568.665673666052</v>
      </c>
      <c r="N36" s="358">
        <f t="shared" si="8"/>
        <v>42575.934033250247</v>
      </c>
      <c r="O36" s="358">
        <f t="shared" si="8"/>
        <v>42595.288374745949</v>
      </c>
      <c r="P36" s="358">
        <f t="shared" si="8"/>
        <v>42607.008784317593</v>
      </c>
      <c r="Q36" s="358">
        <f t="shared" si="8"/>
        <v>42613.772969125239</v>
      </c>
      <c r="R36" s="358">
        <f t="shared" si="8"/>
        <v>42615.749858987132</v>
      </c>
      <c r="S36" s="358">
        <f t="shared" si="8"/>
        <v>42613.764458732796</v>
      </c>
      <c r="T36" s="358">
        <f t="shared" si="8"/>
        <v>42583.577514453798</v>
      </c>
      <c r="U36" s="358">
        <f t="shared" si="8"/>
        <v>42525.23029523834</v>
      </c>
      <c r="V36" s="358">
        <f t="shared" si="8"/>
        <v>42438.819977358937</v>
      </c>
      <c r="W36" s="358">
        <f t="shared" si="8"/>
        <v>42324.499384424089</v>
      </c>
      <c r="X36" s="358">
        <f t="shared" si="8"/>
        <v>42182.476543406134</v>
      </c>
      <c r="Y36" s="358">
        <f t="shared" si="8"/>
        <v>42002.239406771921</v>
      </c>
      <c r="Z36" s="358">
        <f t="shared" si="8"/>
        <v>41784.246841651562</v>
      </c>
      <c r="AA36" s="358">
        <f t="shared" si="8"/>
        <v>41529.060066193568</v>
      </c>
      <c r="AB36" s="358">
        <f t="shared" si="8"/>
        <v>41237.340247063272</v>
      </c>
      <c r="AC36" s="358">
        <f t="shared" si="8"/>
        <v>40909.845646626265</v>
      </c>
      <c r="AD36" s="358">
        <f t="shared" si="8"/>
        <v>40531.051573289486</v>
      </c>
      <c r="AE36" s="358">
        <f t="shared" si="8"/>
        <v>40102.363584391263</v>
      </c>
      <c r="AF36" s="358">
        <f t="shared" si="8"/>
        <v>39625.373286365837</v>
      </c>
      <c r="AG36" s="358">
        <f t="shared" si="8"/>
        <v>39101.848469179924</v>
      </c>
      <c r="AH36" s="358">
        <f t="shared" si="8"/>
        <v>38533.72215847484</v>
      </c>
      <c r="AI36" s="358">
        <f t="shared" si="8"/>
        <v>37901.369642847421</v>
      </c>
      <c r="AJ36" s="358">
        <f t="shared" si="8"/>
        <v>37208.10296137644</v>
      </c>
      <c r="AK36" s="358">
        <f t="shared" si="8"/>
        <v>36457.529764186191</v>
      </c>
      <c r="AL36" s="358">
        <f t="shared" si="8"/>
        <v>35653.521873883328</v>
      </c>
      <c r="AM36" s="358">
        <f t="shared" si="8"/>
        <v>34800.181819275858</v>
      </c>
      <c r="AN36" s="358">
        <f t="shared" si="8"/>
        <v>33875.894365058593</v>
      </c>
      <c r="AO36" s="358">
        <f t="shared" si="8"/>
        <v>32887.211206612847</v>
      </c>
      <c r="AP36" s="358">
        <f t="shared" si="8"/>
        <v>31841.034462035885</v>
      </c>
      <c r="AQ36" s="358">
        <f t="shared" si="8"/>
        <v>30744.535796161708</v>
      </c>
      <c r="AR36" s="358">
        <f t="shared" si="8"/>
        <v>29605.073941674062</v>
      </c>
      <c r="AS36" s="358">
        <f t="shared" si="8"/>
        <v>28431.157433416654</v>
      </c>
      <c r="AT36" s="358">
        <f t="shared" si="8"/>
        <v>27230.144803296527</v>
      </c>
    </row>
    <row r="37" spans="2:46" s="336" customFormat="1" ht="15" customHeight="1" x14ac:dyDescent="0.25">
      <c r="B37" s="372" t="s">
        <v>467</v>
      </c>
      <c r="C37" s="373">
        <v>870</v>
      </c>
      <c r="D37" s="374">
        <f>$E$56/60</f>
        <v>2.1333333333333329E-2</v>
      </c>
      <c r="E37" s="382"/>
      <c r="G37" s="358">
        <v>7785.3426665422749</v>
      </c>
      <c r="H37" s="358">
        <f t="shared" si="8"/>
        <v>7788.51179049047</v>
      </c>
      <c r="I37" s="358">
        <f t="shared" si="8"/>
        <v>7789.6937484195105</v>
      </c>
      <c r="J37" s="358">
        <f t="shared" si="8"/>
        <v>7792.0796213423628</v>
      </c>
      <c r="K37" s="358">
        <f t="shared" si="8"/>
        <v>7792.2890795963831</v>
      </c>
      <c r="L37" s="358">
        <f t="shared" si="8"/>
        <v>7790.6379452482579</v>
      </c>
      <c r="M37" s="358">
        <f t="shared" si="8"/>
        <v>7787.3987284586065</v>
      </c>
      <c r="N37" s="358">
        <f t="shared" si="8"/>
        <v>7782.683386557881</v>
      </c>
      <c r="O37" s="358">
        <f t="shared" si="8"/>
        <v>7778.5359498540674</v>
      </c>
      <c r="P37" s="358">
        <f t="shared" si="8"/>
        <v>7773.1432876932495</v>
      </c>
      <c r="Q37" s="358">
        <f t="shared" si="8"/>
        <v>7766.9343637318862</v>
      </c>
      <c r="R37" s="358">
        <f t="shared" si="8"/>
        <v>7760.0822925496004</v>
      </c>
      <c r="S37" s="358">
        <f t="shared" si="8"/>
        <v>7752.6234157565614</v>
      </c>
      <c r="T37" s="358">
        <f t="shared" si="8"/>
        <v>7740.045742650208</v>
      </c>
      <c r="U37" s="358">
        <f t="shared" si="8"/>
        <v>7722.3708258334227</v>
      </c>
      <c r="V37" s="358">
        <f t="shared" si="8"/>
        <v>7699.6303079497129</v>
      </c>
      <c r="W37" s="358">
        <f t="shared" si="8"/>
        <v>7671.865828297472</v>
      </c>
      <c r="X37" s="358">
        <f t="shared" si="8"/>
        <v>7639.1288964855094</v>
      </c>
      <c r="Y37" s="358">
        <f t="shared" si="8"/>
        <v>7599.5312590067506</v>
      </c>
      <c r="Z37" s="358">
        <f t="shared" si="8"/>
        <v>7553.1747649824601</v>
      </c>
      <c r="AA37" s="358">
        <f t="shared" si="8"/>
        <v>7500.179410115119</v>
      </c>
      <c r="AB37" s="358">
        <f t="shared" si="8"/>
        <v>7440.6828194043737</v>
      </c>
      <c r="AC37" s="358">
        <f t="shared" si="8"/>
        <v>7374.8396512940171</v>
      </c>
      <c r="AD37" s="358">
        <f t="shared" si="8"/>
        <v>7299.8713791873615</v>
      </c>
      <c r="AE37" s="358">
        <f t="shared" si="8"/>
        <v>7216.0561184560074</v>
      </c>
      <c r="AF37" s="358">
        <f t="shared" si="8"/>
        <v>7123.704460194127</v>
      </c>
      <c r="AG37" s="358">
        <f t="shared" si="8"/>
        <v>7023.1575484713421</v>
      </c>
      <c r="AH37" s="358">
        <f t="shared" si="8"/>
        <v>6914.7849735104837</v>
      </c>
      <c r="AI37" s="358">
        <f t="shared" si="8"/>
        <v>6795.0900683079353</v>
      </c>
      <c r="AJ37" s="358">
        <f t="shared" si="8"/>
        <v>6664.6974178612927</v>
      </c>
      <c r="AK37" s="358">
        <f t="shared" si="8"/>
        <v>6524.2822805234755</v>
      </c>
      <c r="AL37" s="358">
        <f t="shared" si="8"/>
        <v>6374.5647301616282</v>
      </c>
      <c r="AM37" s="358">
        <f t="shared" si="8"/>
        <v>6216.3034676094157</v>
      </c>
      <c r="AN37" s="358">
        <f t="shared" si="8"/>
        <v>6045.6647418243629</v>
      </c>
      <c r="AO37" s="358">
        <f t="shared" si="8"/>
        <v>5863.8510873700125</v>
      </c>
      <c r="AP37" s="358">
        <f t="shared" si="8"/>
        <v>5672.1231257510126</v>
      </c>
      <c r="AQ37" s="358">
        <f t="shared" si="8"/>
        <v>5471.7848958341692</v>
      </c>
      <c r="AR37" s="358">
        <f t="shared" si="8"/>
        <v>5264.1689790086575</v>
      </c>
      <c r="AS37" s="358">
        <f t="shared" si="8"/>
        <v>5050.8073879884796</v>
      </c>
      <c r="AT37" s="358">
        <f t="shared" si="8"/>
        <v>4833.0224560107135</v>
      </c>
    </row>
    <row r="38" spans="2:46" s="336" customFormat="1" ht="15" customHeight="1" x14ac:dyDescent="0.25">
      <c r="B38" s="372" t="s">
        <v>468</v>
      </c>
      <c r="C38" s="373">
        <v>540</v>
      </c>
      <c r="D38" s="374">
        <f>$F$56/60</f>
        <v>2.6666666666666668E-2</v>
      </c>
      <c r="E38" s="382"/>
      <c r="G38" s="358">
        <v>66236.390934227646</v>
      </c>
      <c r="H38" s="358">
        <f t="shared" si="8"/>
        <v>66303.758644500616</v>
      </c>
      <c r="I38" s="358">
        <f t="shared" si="8"/>
        <v>66353.211766270731</v>
      </c>
      <c r="J38" s="358">
        <f t="shared" si="8"/>
        <v>66415.794076274949</v>
      </c>
      <c r="K38" s="358">
        <f t="shared" si="8"/>
        <v>66459.88431944279</v>
      </c>
      <c r="L38" s="358">
        <f t="shared" si="8"/>
        <v>66485.861330514788</v>
      </c>
      <c r="M38" s="358">
        <f t="shared" si="8"/>
        <v>66497.581980897026</v>
      </c>
      <c r="N38" s="358">
        <f t="shared" si="8"/>
        <v>66494.880186755516</v>
      </c>
      <c r="O38" s="358">
        <f t="shared" si="8"/>
        <v>66502.250217274952</v>
      </c>
      <c r="P38" s="358">
        <f t="shared" si="8"/>
        <v>66495.720993177078</v>
      </c>
      <c r="Q38" s="358">
        <f t="shared" si="8"/>
        <v>66479.882546374254</v>
      </c>
      <c r="R38" s="358">
        <f t="shared" si="8"/>
        <v>66456.824176099661</v>
      </c>
      <c r="S38" s="358">
        <f t="shared" si="8"/>
        <v>66427.686544806245</v>
      </c>
      <c r="T38" s="358">
        <f t="shared" si="8"/>
        <v>66354.617311404581</v>
      </c>
      <c r="U38" s="358">
        <f t="shared" si="8"/>
        <v>66237.732413479098</v>
      </c>
      <c r="V38" s="358">
        <f t="shared" si="8"/>
        <v>66077.234694841478</v>
      </c>
      <c r="W38" s="358">
        <f t="shared" si="8"/>
        <v>65873.413330672207</v>
      </c>
      <c r="X38" s="358">
        <f t="shared" si="8"/>
        <v>65626.642967357344</v>
      </c>
      <c r="Y38" s="358">
        <f t="shared" si="8"/>
        <v>65320.626164817135</v>
      </c>
      <c r="Z38" s="358">
        <f t="shared" si="8"/>
        <v>64956.146021042834</v>
      </c>
      <c r="AA38" s="358">
        <f t="shared" si="8"/>
        <v>64534.143509683054</v>
      </c>
      <c r="AB38" s="358">
        <f t="shared" si="8"/>
        <v>64055.713437632046</v>
      </c>
      <c r="AC38" s="358">
        <f t="shared" si="8"/>
        <v>63522.099712538577</v>
      </c>
      <c r="AD38" s="358">
        <f t="shared" si="8"/>
        <v>62909.271159291668</v>
      </c>
      <c r="AE38" s="358">
        <f t="shared" si="8"/>
        <v>62219.501892866283</v>
      </c>
      <c r="AF38" s="358">
        <f t="shared" si="8"/>
        <v>61455.35108191429</v>
      </c>
      <c r="AG38" s="358">
        <f t="shared" si="8"/>
        <v>60619.647092197789</v>
      </c>
      <c r="AH38" s="358">
        <f t="shared" si="8"/>
        <v>59715.469989420846</v>
      </c>
      <c r="AI38" s="358">
        <f t="shared" si="8"/>
        <v>58712.500277844883</v>
      </c>
      <c r="AJ38" s="358">
        <f t="shared" si="8"/>
        <v>57615.983137729119</v>
      </c>
      <c r="AK38" s="358">
        <f t="shared" si="8"/>
        <v>56431.613187021052</v>
      </c>
      <c r="AL38" s="358">
        <f t="shared" si="8"/>
        <v>55165.484948923411</v>
      </c>
      <c r="AM38" s="358">
        <f t="shared" si="8"/>
        <v>53824.040298692882</v>
      </c>
      <c r="AN38" s="358">
        <f t="shared" si="8"/>
        <v>52373.950046564401</v>
      </c>
      <c r="AO38" s="358">
        <f t="shared" si="8"/>
        <v>50825.467836638723</v>
      </c>
      <c r="AP38" s="358">
        <f t="shared" si="8"/>
        <v>49189.372688670031</v>
      </c>
      <c r="AQ38" s="358">
        <f t="shared" si="8"/>
        <v>47476.8430613171</v>
      </c>
      <c r="AR38" s="358">
        <f t="shared" si="8"/>
        <v>45699.32873598118</v>
      </c>
      <c r="AS38" s="358">
        <f t="shared" si="8"/>
        <v>43870.035792841976</v>
      </c>
      <c r="AT38" s="358">
        <f t="shared" si="8"/>
        <v>42000.37588197719</v>
      </c>
    </row>
    <row r="39" spans="2:46" s="336" customFormat="1" ht="15" x14ac:dyDescent="0.25"/>
    <row r="40" spans="2:46" s="336" customFormat="1" ht="15" x14ac:dyDescent="0.25"/>
    <row r="41" spans="2:46" s="336" customFormat="1" ht="15" x14ac:dyDescent="0.25">
      <c r="L41" s="383"/>
    </row>
    <row r="42" spans="2:46" s="336" customFormat="1" thickBot="1" x14ac:dyDescent="0.3"/>
    <row r="43" spans="2:46" s="336" customFormat="1" ht="16.149999999999999" customHeight="1" x14ac:dyDescent="0.25">
      <c r="B43" s="572" t="s">
        <v>469</v>
      </c>
      <c r="C43" s="384" t="s">
        <v>470</v>
      </c>
      <c r="D43" s="555" t="s">
        <v>466</v>
      </c>
      <c r="E43" s="574" t="s">
        <v>467</v>
      </c>
      <c r="F43" s="555" t="s">
        <v>468</v>
      </c>
    </row>
    <row r="44" spans="2:46" s="336" customFormat="1" thickBot="1" x14ac:dyDescent="0.3">
      <c r="B44" s="573"/>
      <c r="C44" s="385" t="s">
        <v>471</v>
      </c>
      <c r="D44" s="556"/>
      <c r="E44" s="575"/>
      <c r="F44" s="556"/>
    </row>
    <row r="45" spans="2:46" x14ac:dyDescent="0.25">
      <c r="B45" s="386" t="s">
        <v>472</v>
      </c>
      <c r="C45" s="387">
        <v>0.15</v>
      </c>
      <c r="D45" s="387">
        <v>0</v>
      </c>
      <c r="E45" s="387">
        <v>0.15</v>
      </c>
      <c r="F45" s="387">
        <v>0.15</v>
      </c>
    </row>
    <row r="46" spans="2:46" x14ac:dyDescent="0.25">
      <c r="B46" s="388" t="s">
        <v>473</v>
      </c>
      <c r="C46" s="389">
        <v>0.22</v>
      </c>
      <c r="D46" s="387">
        <v>0.22</v>
      </c>
      <c r="E46" s="387">
        <v>0.22</v>
      </c>
      <c r="F46" s="387">
        <v>0.22</v>
      </c>
    </row>
    <row r="47" spans="2:46" x14ac:dyDescent="0.25">
      <c r="B47" s="388" t="s">
        <v>474</v>
      </c>
      <c r="C47" s="389">
        <v>7.0000000000000007E-2</v>
      </c>
      <c r="D47" s="387">
        <v>7.0000000000000007E-2</v>
      </c>
      <c r="E47" s="387">
        <v>7.0000000000000007E-2</v>
      </c>
      <c r="F47" s="387">
        <v>7.0000000000000007E-2</v>
      </c>
    </row>
    <row r="48" spans="2:46" x14ac:dyDescent="0.25">
      <c r="B48" s="388" t="s">
        <v>475</v>
      </c>
      <c r="C48" s="389">
        <v>0.1</v>
      </c>
      <c r="D48" s="387">
        <v>0.1</v>
      </c>
      <c r="E48" s="387">
        <v>0.1</v>
      </c>
      <c r="F48" s="387">
        <v>0.1</v>
      </c>
    </row>
    <row r="49" spans="2:6" x14ac:dyDescent="0.25">
      <c r="B49" s="388" t="s">
        <v>476</v>
      </c>
      <c r="C49" s="389">
        <v>0.22</v>
      </c>
      <c r="D49" s="387">
        <v>0.22</v>
      </c>
      <c r="E49" s="387">
        <v>0.22</v>
      </c>
      <c r="F49" s="387">
        <v>0.22</v>
      </c>
    </row>
    <row r="50" spans="2:6" x14ac:dyDescent="0.25">
      <c r="B50" s="388" t="s">
        <v>477</v>
      </c>
      <c r="C50" s="389">
        <v>0.15</v>
      </c>
      <c r="D50" s="387">
        <v>0</v>
      </c>
      <c r="E50" s="387">
        <v>0.15</v>
      </c>
      <c r="F50" s="387">
        <v>0.15</v>
      </c>
    </row>
    <row r="51" spans="2:6" x14ac:dyDescent="0.25">
      <c r="B51" s="388" t="s">
        <v>478</v>
      </c>
      <c r="C51" s="389">
        <v>0.13</v>
      </c>
      <c r="D51" s="387">
        <v>0</v>
      </c>
      <c r="E51" s="387">
        <v>0.13</v>
      </c>
      <c r="F51" s="387">
        <v>0.13</v>
      </c>
    </row>
    <row r="52" spans="2:6" x14ac:dyDescent="0.25">
      <c r="B52" s="388" t="s">
        <v>479</v>
      </c>
      <c r="C52" s="389">
        <v>0.26</v>
      </c>
      <c r="D52" s="387">
        <v>0</v>
      </c>
      <c r="E52" s="387">
        <v>0.26</v>
      </c>
      <c r="F52" s="387">
        <v>0.26</v>
      </c>
    </row>
    <row r="53" spans="2:6" x14ac:dyDescent="0.25">
      <c r="B53" s="388" t="s">
        <v>480</v>
      </c>
      <c r="C53" s="389">
        <v>0.08</v>
      </c>
      <c r="D53" s="387">
        <v>0</v>
      </c>
      <c r="E53" s="387">
        <v>0.08</v>
      </c>
      <c r="F53" s="387">
        <v>0.08</v>
      </c>
    </row>
    <row r="54" spans="2:6" x14ac:dyDescent="0.25">
      <c r="B54" s="388" t="s">
        <v>481</v>
      </c>
      <c r="C54" s="389">
        <v>0.16</v>
      </c>
      <c r="D54" s="387">
        <v>0</v>
      </c>
      <c r="E54" s="387">
        <v>0.16</v>
      </c>
      <c r="F54" s="387">
        <v>0.16</v>
      </c>
    </row>
    <row r="55" spans="2:6" ht="16.5" thickBot="1" x14ac:dyDescent="0.3">
      <c r="B55" s="388" t="s">
        <v>482</v>
      </c>
      <c r="C55" s="390">
        <v>0.38</v>
      </c>
      <c r="D55" s="399">
        <v>0</v>
      </c>
      <c r="E55" s="399">
        <v>0.38</v>
      </c>
      <c r="F55" s="399">
        <v>0.38</v>
      </c>
    </row>
    <row r="56" spans="2:6" ht="16.5" thickBot="1" x14ac:dyDescent="0.3">
      <c r="B56" s="391" t="s">
        <v>483</v>
      </c>
      <c r="C56" s="392">
        <f>SUM(C45:C55)</f>
        <v>1.92</v>
      </c>
      <c r="D56" s="393">
        <f>SUM(D45:D55)</f>
        <v>0.61</v>
      </c>
      <c r="E56" s="394">
        <f>SUM(E45:E55)*(2/3)</f>
        <v>1.2799999999999998</v>
      </c>
      <c r="F56" s="393">
        <f>SUM(F45:F55)*(5/6)</f>
        <v>1.6</v>
      </c>
    </row>
    <row r="57" spans="2:6" ht="16.5" thickBot="1" x14ac:dyDescent="0.3">
      <c r="B57" s="395" t="s">
        <v>484</v>
      </c>
      <c r="C57" s="392">
        <v>2.23</v>
      </c>
      <c r="D57" s="336"/>
      <c r="E57" s="336"/>
      <c r="F57" s="336"/>
    </row>
    <row r="58" spans="2:6" ht="30" x14ac:dyDescent="0.25">
      <c r="B58" s="396" t="s">
        <v>485</v>
      </c>
      <c r="C58" s="397"/>
      <c r="D58" s="397"/>
      <c r="E58" s="397"/>
      <c r="F58" s="397"/>
    </row>
  </sheetData>
  <sheetProtection algorithmName="SHA-512" hashValue="lzf6XHzhgCTKWR/CCu0FhxWqvyVKeHdV48QZFgLrTFnMAFaRGUeQOjVYZ3auOTOuhkSdW8gpr7pQAEeGeZ753g==" saltValue="PMjD8oqbcM69P4zhvBI/zA==" spinCount="100000" sheet="1" formatCells="0" formatColumns="0" formatRows="0" insertColumns="0" insertRows="0" insertHyperlinks="0" deleteColumns="0" deleteRows="0" sort="0" autoFilter="0" pivotTables="0"/>
  <mergeCells count="12">
    <mergeCell ref="F43:F44"/>
    <mergeCell ref="B1:F1"/>
    <mergeCell ref="C4:F4"/>
    <mergeCell ref="C6:F6"/>
    <mergeCell ref="B7:C9"/>
    <mergeCell ref="E7:F9"/>
    <mergeCell ref="B26:D26"/>
    <mergeCell ref="B27:D27"/>
    <mergeCell ref="B28:D28"/>
    <mergeCell ref="B43:B44"/>
    <mergeCell ref="D43:D44"/>
    <mergeCell ref="E43:E44"/>
  </mergeCells>
  <conditionalFormatting sqref="G26:AT28">
    <cfRule type="cellIs" dxfId="7" priority="1" operator="between">
      <formula>0.01</formula>
      <formula>0.99</formula>
    </cfRule>
    <cfRule type="cellIs" dxfId="6" priority="2" operator="equal">
      <formula>1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2:AG19"/>
  <sheetViews>
    <sheetView zoomScaleNormal="100" workbookViewId="0">
      <selection activeCell="AG5" sqref="AG5"/>
    </sheetView>
  </sheetViews>
  <sheetFormatPr defaultColWidth="9.140625" defaultRowHeight="11.25" x14ac:dyDescent="0.2"/>
  <cols>
    <col min="1" max="1" width="2.7109375" style="2" customWidth="1"/>
    <col min="2" max="2" width="45.42578125" style="2" bestFit="1" customWidth="1"/>
    <col min="3" max="3" width="10.7109375" style="2" customWidth="1"/>
    <col min="4" max="33" width="8.7109375" style="2" customWidth="1"/>
    <col min="34" max="16384" width="9.140625" style="2"/>
  </cols>
  <sheetData>
    <row r="2" spans="2:33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/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</row>
    <row r="4" spans="2:33" x14ac:dyDescent="0.2">
      <c r="B4" s="6" t="s">
        <v>451</v>
      </c>
      <c r="C4" s="6" t="s">
        <v>9</v>
      </c>
      <c r="D4" s="15">
        <f>Parametre!C13</f>
        <v>2023</v>
      </c>
      <c r="E4" s="15">
        <f>$D$4+D3</f>
        <v>2024</v>
      </c>
      <c r="F4" s="15">
        <f>$D$4+E3</f>
        <v>2025</v>
      </c>
      <c r="G4" s="15">
        <f t="shared" ref="G4:AG4" si="0">$D$4+F3</f>
        <v>2026</v>
      </c>
      <c r="H4" s="15">
        <f t="shared" si="0"/>
        <v>2027</v>
      </c>
      <c r="I4" s="15">
        <f t="shared" si="0"/>
        <v>2028</v>
      </c>
      <c r="J4" s="15">
        <f t="shared" si="0"/>
        <v>2029</v>
      </c>
      <c r="K4" s="15">
        <f t="shared" si="0"/>
        <v>2030</v>
      </c>
      <c r="L4" s="15">
        <f t="shared" si="0"/>
        <v>2031</v>
      </c>
      <c r="M4" s="15">
        <f t="shared" si="0"/>
        <v>2032</v>
      </c>
      <c r="N4" s="15">
        <f t="shared" si="0"/>
        <v>2033</v>
      </c>
      <c r="O4" s="15">
        <f t="shared" si="0"/>
        <v>2034</v>
      </c>
      <c r="P4" s="15">
        <f t="shared" si="0"/>
        <v>2035</v>
      </c>
      <c r="Q4" s="15">
        <f t="shared" si="0"/>
        <v>2036</v>
      </c>
      <c r="R4" s="15">
        <f t="shared" si="0"/>
        <v>2037</v>
      </c>
      <c r="S4" s="15">
        <f t="shared" si="0"/>
        <v>2038</v>
      </c>
      <c r="T4" s="15">
        <f t="shared" si="0"/>
        <v>2039</v>
      </c>
      <c r="U4" s="15">
        <f t="shared" si="0"/>
        <v>2040</v>
      </c>
      <c r="V4" s="15">
        <f t="shared" si="0"/>
        <v>2041</v>
      </c>
      <c r="W4" s="15">
        <f t="shared" si="0"/>
        <v>2042</v>
      </c>
      <c r="X4" s="15">
        <f t="shared" si="0"/>
        <v>2043</v>
      </c>
      <c r="Y4" s="15">
        <f t="shared" si="0"/>
        <v>2044</v>
      </c>
      <c r="Z4" s="15">
        <f t="shared" si="0"/>
        <v>2045</v>
      </c>
      <c r="AA4" s="15">
        <f t="shared" si="0"/>
        <v>2046</v>
      </c>
      <c r="AB4" s="15">
        <f t="shared" si="0"/>
        <v>2047</v>
      </c>
      <c r="AC4" s="15">
        <f t="shared" si="0"/>
        <v>2048</v>
      </c>
      <c r="AD4" s="15">
        <f t="shared" si="0"/>
        <v>2049</v>
      </c>
      <c r="AE4" s="15">
        <f t="shared" si="0"/>
        <v>2050</v>
      </c>
      <c r="AF4" s="15">
        <f t="shared" si="0"/>
        <v>2051</v>
      </c>
      <c r="AG4" s="15">
        <f t="shared" si="0"/>
        <v>2052</v>
      </c>
    </row>
    <row r="5" spans="2:33" ht="12" thickBot="1" x14ac:dyDescent="0.25">
      <c r="B5" s="21" t="s">
        <v>452</v>
      </c>
      <c r="C5" s="131">
        <f t="shared" ref="C5:C8" si="1">SUM(D5:AG5)</f>
        <v>61318.884429853148</v>
      </c>
      <c r="D5" s="131">
        <f>'Úspora času cestujúci - nové'!G4</f>
        <v>0</v>
      </c>
      <c r="E5" s="131">
        <f>'Úspora času cestujúci - nové'!H4</f>
        <v>0</v>
      </c>
      <c r="F5" s="131">
        <f>'Úspora času cestujúci - nové'!I4</f>
        <v>0</v>
      </c>
      <c r="G5" s="131">
        <f>'Úspora času cestujúci - nové'!J4</f>
        <v>1579.5838520590928</v>
      </c>
      <c r="H5" s="131">
        <f>'Úspora času cestujúci - nové'!K4</f>
        <v>2370.8877415167235</v>
      </c>
      <c r="I5" s="131">
        <f>'Úspora času cestujúci - nové'!L4</f>
        <v>2371.7783292684735</v>
      </c>
      <c r="J5" s="131">
        <f>'Úspora času cestujúci - nové'!M4</f>
        <v>2372.1814600466423</v>
      </c>
      <c r="K5" s="131">
        <f>'Úspora času cestujúci - nové'!N4</f>
        <v>2372.0827132314262</v>
      </c>
      <c r="L5" s="131">
        <f>'Úspora času cestujúci - nové'!O4</f>
        <v>2372.3875378674693</v>
      </c>
      <c r="M5" s="131">
        <f>'Úspora času cestujúci - nové'!P4</f>
        <v>2372.2175392627405</v>
      </c>
      <c r="N5" s="131">
        <f>'Úspora času cestujúci - nové'!Q4</f>
        <v>2371.7314928490337</v>
      </c>
      <c r="O5" s="131">
        <f>'Úspora času cestujúci - nové'!R4</f>
        <v>2370.9905238367519</v>
      </c>
      <c r="P5" s="131">
        <f>'Úspora času cestujúci - nové'!S4</f>
        <v>2370.0342127280901</v>
      </c>
      <c r="Q5" s="131">
        <f>'Úspora času cestujúci - nové'!T4</f>
        <v>2367.5104755442735</v>
      </c>
      <c r="R5" s="131">
        <f>'Úspora času cestujúci - nové'!U4</f>
        <v>2363.4232833121455</v>
      </c>
      <c r="S5" s="131">
        <f>'Úspora času cestujúci - nové'!V4</f>
        <v>2357.7797082018492</v>
      </c>
      <c r="T5" s="131">
        <f>'Úspora času cestujúci - nové'!W4</f>
        <v>2350.5899035632501</v>
      </c>
      <c r="U5" s="131">
        <f>'Úspora času cestujúci - nové'!X4</f>
        <v>2341.8670737791826</v>
      </c>
      <c r="V5" s="131">
        <f>'Úspora času cestujúci - nové'!Y4</f>
        <v>2331.0294652227822</v>
      </c>
      <c r="W5" s="131">
        <f>'Úspora času cestujúci - nové'!Z4</f>
        <v>2318.1047984375591</v>
      </c>
      <c r="X5" s="131">
        <f>'Úspora času cestujúci - nové'!AA4</f>
        <v>2303.1264316803054</v>
      </c>
      <c r="Y5" s="131">
        <f>'Úspora času cestujúci - nové'!AB4</f>
        <v>2286.1332176626247</v>
      </c>
      <c r="Z5" s="131">
        <f>'Úspora času cestujúci - nové'!AC4</f>
        <v>2267.1693356360015</v>
      </c>
      <c r="AA5" s="131">
        <f>'Úspora času cestujúci - nové'!AD4</f>
        <v>2245.3768446655513</v>
      </c>
      <c r="AB5" s="131">
        <f>'Úspora času cestujúci - nové'!AE4</f>
        <v>2220.8366107781403</v>
      </c>
      <c r="AC5" s="131">
        <f>'Úspora času cestujúci - nové'!AF4</f>
        <v>2193.6396857465752</v>
      </c>
      <c r="AD5" s="131">
        <f>'Úspora času cestujúci - nové'!AG4</f>
        <v>2163.8867429293255</v>
      </c>
      <c r="AE5" s="131">
        <f>'Úspora času cestujúci - nové'!AH4</f>
        <v>2131.6874544306074</v>
      </c>
      <c r="AF5" s="131">
        <f>'Úspora času cestujúci - nové'!AI4</f>
        <v>2095.9591869020487</v>
      </c>
      <c r="AG5" s="131">
        <f>'Úspora času cestujúci - nové'!AJ4</f>
        <v>2056.888808694478</v>
      </c>
    </row>
    <row r="6" spans="2:33" ht="12" thickTop="1" x14ac:dyDescent="0.2">
      <c r="B6" s="23" t="s">
        <v>183</v>
      </c>
      <c r="C6" s="132">
        <f t="shared" si="1"/>
        <v>2636.7120304836849</v>
      </c>
      <c r="D6" s="132">
        <f>D5*Parametre!$C$78</f>
        <v>0</v>
      </c>
      <c r="E6" s="132">
        <f>E5*Parametre!$C$78</f>
        <v>0</v>
      </c>
      <c r="F6" s="132">
        <f>F5*Parametre!$C$78</f>
        <v>0</v>
      </c>
      <c r="G6" s="132">
        <f>G5*Parametre!$C$78</f>
        <v>67.922105638540984</v>
      </c>
      <c r="H6" s="132">
        <f>H5*Parametre!$C$78</f>
        <v>101.94817288521911</v>
      </c>
      <c r="I6" s="132">
        <f>I5*Parametre!$C$78</f>
        <v>101.98646815854435</v>
      </c>
      <c r="J6" s="132">
        <f>J5*Parametre!$C$78</f>
        <v>102.00380278200561</v>
      </c>
      <c r="K6" s="132">
        <f>K5*Parametre!$C$78</f>
        <v>101.99955666895131</v>
      </c>
      <c r="L6" s="132">
        <f>L5*Parametre!$C$78</f>
        <v>102.01266412830117</v>
      </c>
      <c r="M6" s="132">
        <f>M5*Parametre!$C$78</f>
        <v>102.00535418829783</v>
      </c>
      <c r="N6" s="132">
        <f>N5*Parametre!$C$78</f>
        <v>101.98445419250844</v>
      </c>
      <c r="O6" s="132">
        <f>O5*Parametre!$C$78</f>
        <v>101.95259252498032</v>
      </c>
      <c r="P6" s="132">
        <f>P5*Parametre!$C$78</f>
        <v>101.91147114730786</v>
      </c>
      <c r="Q6" s="132">
        <f>Q5*Parametre!$C$78</f>
        <v>101.80295044840375</v>
      </c>
      <c r="R6" s="132">
        <f>R5*Parametre!$C$78</f>
        <v>101.62720118242225</v>
      </c>
      <c r="S6" s="132">
        <f>S5*Parametre!$C$78</f>
        <v>101.38452745267951</v>
      </c>
      <c r="T6" s="132">
        <f>T5*Parametre!$C$78</f>
        <v>101.07536585321975</v>
      </c>
      <c r="U6" s="132">
        <f>U5*Parametre!$C$78</f>
        <v>100.70028417250485</v>
      </c>
      <c r="V6" s="132">
        <f>V5*Parametre!$C$78</f>
        <v>100.23426700457962</v>
      </c>
      <c r="W6" s="132">
        <f>W5*Parametre!$C$78</f>
        <v>99.678506332815033</v>
      </c>
      <c r="X6" s="132">
        <f>X5*Parametre!$C$78</f>
        <v>99.03443656225312</v>
      </c>
      <c r="Y6" s="132">
        <f>Y5*Parametre!$C$78</f>
        <v>98.303728359492851</v>
      </c>
      <c r="Z6" s="132">
        <f>Z5*Parametre!$C$78</f>
        <v>97.48828143234806</v>
      </c>
      <c r="AA6" s="132">
        <f>AA5*Parametre!$C$78</f>
        <v>96.551204320618695</v>
      </c>
      <c r="AB6" s="132">
        <f>AB5*Parametre!$C$78</f>
        <v>95.495974263460027</v>
      </c>
      <c r="AC6" s="132">
        <f>AC5*Parametre!$C$78</f>
        <v>94.326506487102719</v>
      </c>
      <c r="AD6" s="132">
        <f>AD5*Parametre!$C$78</f>
        <v>93.04712994596099</v>
      </c>
      <c r="AE6" s="132">
        <f>AE5*Parametre!$C$78</f>
        <v>91.662560540516111</v>
      </c>
      <c r="AF6" s="132">
        <f>AF5*Parametre!$C$78</f>
        <v>90.126245036788092</v>
      </c>
      <c r="AG6" s="132">
        <f>AG5*Parametre!$C$78</f>
        <v>88.446218773862554</v>
      </c>
    </row>
    <row r="7" spans="2:33" x14ac:dyDescent="0.2">
      <c r="B7" s="3" t="s">
        <v>114</v>
      </c>
      <c r="C7" s="130">
        <f t="shared" si="1"/>
        <v>15697.634414042406</v>
      </c>
      <c r="D7" s="130">
        <f>D5*Parametre!$D$78</f>
        <v>0</v>
      </c>
      <c r="E7" s="130">
        <f>E5*Parametre!$D$78</f>
        <v>0</v>
      </c>
      <c r="F7" s="130">
        <f>F5*Parametre!$D$78</f>
        <v>0</v>
      </c>
      <c r="G7" s="130">
        <f>G5*Parametre!$D$78</f>
        <v>404.37346612712776</v>
      </c>
      <c r="H7" s="130">
        <f>H5*Parametre!$D$78</f>
        <v>606.94726182828128</v>
      </c>
      <c r="I7" s="130">
        <f>I5*Parametre!$D$78</f>
        <v>607.17525229272928</v>
      </c>
      <c r="J7" s="130">
        <f>J5*Parametre!$D$78</f>
        <v>607.27845377194046</v>
      </c>
      <c r="K7" s="130">
        <f>K5*Parametre!$D$78</f>
        <v>607.2531745872451</v>
      </c>
      <c r="L7" s="130">
        <f>L5*Parametre!$D$78</f>
        <v>607.33120969407219</v>
      </c>
      <c r="M7" s="130">
        <f>M5*Parametre!$D$78</f>
        <v>607.28769005126162</v>
      </c>
      <c r="N7" s="130">
        <f>N5*Parametre!$D$78</f>
        <v>607.16326216935261</v>
      </c>
      <c r="O7" s="130">
        <f>O5*Parametre!$D$78</f>
        <v>606.97357410220854</v>
      </c>
      <c r="P7" s="130">
        <f>P5*Parametre!$D$78</f>
        <v>606.7287584583911</v>
      </c>
      <c r="Q7" s="130">
        <f>Q5*Parametre!$D$78</f>
        <v>606.08268173933402</v>
      </c>
      <c r="R7" s="130">
        <f>R5*Parametre!$D$78</f>
        <v>605.03636052790921</v>
      </c>
      <c r="S7" s="130">
        <f>S5*Parametre!$D$78</f>
        <v>603.59160529967346</v>
      </c>
      <c r="T7" s="130">
        <f>T5*Parametre!$D$78</f>
        <v>601.75101531219207</v>
      </c>
      <c r="U7" s="130">
        <f>U5*Parametre!$D$78</f>
        <v>599.51797088747082</v>
      </c>
      <c r="V7" s="130">
        <f>V5*Parametre!$D$78</f>
        <v>596.74354309703222</v>
      </c>
      <c r="W7" s="130">
        <f>W5*Parametre!$D$78</f>
        <v>593.43482840001514</v>
      </c>
      <c r="X7" s="130">
        <f>X5*Parametre!$D$78</f>
        <v>589.60036651015821</v>
      </c>
      <c r="Y7" s="130">
        <f>Y5*Parametre!$D$78</f>
        <v>585.25010372163194</v>
      </c>
      <c r="Z7" s="130">
        <f>Z5*Parametre!$D$78</f>
        <v>580.39534992281642</v>
      </c>
      <c r="AA7" s="130">
        <f>AA5*Parametre!$D$78</f>
        <v>574.81647223438119</v>
      </c>
      <c r="AB7" s="130">
        <f>AB5*Parametre!$D$78</f>
        <v>568.53417235920392</v>
      </c>
      <c r="AC7" s="130">
        <f>AC5*Parametre!$D$78</f>
        <v>561.57175955112325</v>
      </c>
      <c r="AD7" s="130">
        <f>AD5*Parametre!$D$78</f>
        <v>553.95500618990729</v>
      </c>
      <c r="AE7" s="130">
        <f>AE5*Parametre!$D$78</f>
        <v>545.71198833423546</v>
      </c>
      <c r="AF7" s="130">
        <f>AF5*Parametre!$D$78</f>
        <v>536.56555184692445</v>
      </c>
      <c r="AG7" s="130">
        <f>AG5*Parametre!$D$78</f>
        <v>526.56353502578634</v>
      </c>
    </row>
    <row r="8" spans="2:33" x14ac:dyDescent="0.2">
      <c r="B8" s="3" t="s">
        <v>115</v>
      </c>
      <c r="C8" s="130">
        <f t="shared" si="1"/>
        <v>42984.53798532705</v>
      </c>
      <c r="D8" s="130">
        <f>D5*Parametre!$E$78</f>
        <v>0</v>
      </c>
      <c r="E8" s="130">
        <f>E5*Parametre!$E$78</f>
        <v>0</v>
      </c>
      <c r="F8" s="130">
        <f>F5*Parametre!$E$78</f>
        <v>0</v>
      </c>
      <c r="G8" s="130">
        <f>G5*Parametre!$E$78</f>
        <v>1107.2882802934239</v>
      </c>
      <c r="H8" s="130">
        <f>H5*Parametre!$E$78</f>
        <v>1661.9923068032231</v>
      </c>
      <c r="I8" s="130">
        <f>I5*Parametre!$E$78</f>
        <v>1662.6166088171999</v>
      </c>
      <c r="J8" s="130">
        <f>J5*Parametre!$E$78</f>
        <v>1662.8992034926962</v>
      </c>
      <c r="K8" s="130">
        <f>K5*Parametre!$E$78</f>
        <v>1662.8299819752297</v>
      </c>
      <c r="L8" s="130">
        <f>L5*Parametre!$E$78</f>
        <v>1663.043664045096</v>
      </c>
      <c r="M8" s="130">
        <f>M5*Parametre!$E$78</f>
        <v>1662.924495023181</v>
      </c>
      <c r="N8" s="130">
        <f>N5*Parametre!$E$78</f>
        <v>1662.5837764871726</v>
      </c>
      <c r="O8" s="130">
        <f>O5*Parametre!$E$78</f>
        <v>1662.064357209563</v>
      </c>
      <c r="P8" s="130">
        <f>P5*Parametre!$E$78</f>
        <v>1661.3939831223911</v>
      </c>
      <c r="Q8" s="130">
        <f>Q5*Parametre!$E$78</f>
        <v>1659.6248433565356</v>
      </c>
      <c r="R8" s="130">
        <f>R5*Parametre!$E$78</f>
        <v>1656.7597216018139</v>
      </c>
      <c r="S8" s="130">
        <f>S5*Parametre!$E$78</f>
        <v>1652.8035754494961</v>
      </c>
      <c r="T8" s="130">
        <f>T5*Parametre!$E$78</f>
        <v>1647.7635223978382</v>
      </c>
      <c r="U8" s="130">
        <f>U5*Parametre!$E$78</f>
        <v>1641.6488187192069</v>
      </c>
      <c r="V8" s="130">
        <f>V5*Parametre!$E$78</f>
        <v>1634.0516551211701</v>
      </c>
      <c r="W8" s="130">
        <f>W5*Parametre!$E$78</f>
        <v>1624.9914637047289</v>
      </c>
      <c r="X8" s="130">
        <f>X5*Parametre!$E$78</f>
        <v>1614.491628607894</v>
      </c>
      <c r="Y8" s="130">
        <f>Y5*Parametre!$E$78</f>
        <v>1602.5793855814998</v>
      </c>
      <c r="Z8" s="130">
        <f>Z5*Parametre!$E$78</f>
        <v>1589.2857042808369</v>
      </c>
      <c r="AA8" s="130">
        <f>AA5*Parametre!$E$78</f>
        <v>1574.0091681105514</v>
      </c>
      <c r="AB8" s="130">
        <f>AB5*Parametre!$E$78</f>
        <v>1556.8064641554763</v>
      </c>
      <c r="AC8" s="130">
        <f>AC5*Parametre!$E$78</f>
        <v>1537.7414197083492</v>
      </c>
      <c r="AD8" s="130">
        <f>AD5*Parametre!$E$78</f>
        <v>1516.8846067934571</v>
      </c>
      <c r="AE8" s="130">
        <f>AE5*Parametre!$E$78</f>
        <v>1494.3129055558557</v>
      </c>
      <c r="AF8" s="130">
        <f>AF5*Parametre!$E$78</f>
        <v>1469.2673900183361</v>
      </c>
      <c r="AG8" s="130">
        <f>AG5*Parametre!$E$78</f>
        <v>1441.8790548948291</v>
      </c>
    </row>
    <row r="10" spans="2:33" x14ac:dyDescent="0.2">
      <c r="B10" s="10" t="s">
        <v>453</v>
      </c>
    </row>
    <row r="11" spans="2:33" x14ac:dyDescent="0.2">
      <c r="B11" s="129" t="s">
        <v>183</v>
      </c>
      <c r="C11" s="130">
        <f>SUM(D11:AG11)</f>
        <v>61603.07314455344</v>
      </c>
      <c r="D11" s="130">
        <f>D6*Parametre!E82</f>
        <v>0</v>
      </c>
      <c r="E11" s="130">
        <f>E6*Parametre!F82</f>
        <v>0</v>
      </c>
      <c r="F11" s="130">
        <f>F6*Parametre!G82</f>
        <v>0</v>
      </c>
      <c r="G11" s="130">
        <f>G6*Parametre!H82</f>
        <v>1408.7044709433399</v>
      </c>
      <c r="H11" s="130">
        <f>H6*Parametre!I82</f>
        <v>2139.8921488607489</v>
      </c>
      <c r="I11" s="130">
        <f>I6*Parametre!J82</f>
        <v>2166.1925836874821</v>
      </c>
      <c r="J11" s="130">
        <f>J6*Parametre!K82</f>
        <v>2192.0617217853005</v>
      </c>
      <c r="K11" s="130">
        <f>K6*Parametre!L82</f>
        <v>2218.490357549691</v>
      </c>
      <c r="L11" s="130">
        <f>L6*Parametre!M82</f>
        <v>2237.1377243336447</v>
      </c>
      <c r="M11" s="130">
        <f>M6*Parametre!N82</f>
        <v>2255.338381103265</v>
      </c>
      <c r="N11" s="130">
        <f>N6*Parametre!O82</f>
        <v>2274.2533284929382</v>
      </c>
      <c r="O11" s="130">
        <f>O6*Parametre!P82</f>
        <v>2292.913805886807</v>
      </c>
      <c r="P11" s="130">
        <f>P6*Parametre!Q82</f>
        <v>2311.3521656209423</v>
      </c>
      <c r="Q11" s="130">
        <f>Q6*Parametre!R82</f>
        <v>2328.2334767549937</v>
      </c>
      <c r="R11" s="130">
        <f>R6*Parametre!S82</f>
        <v>2343.5232592666571</v>
      </c>
      <c r="S11" s="130">
        <f>S6*Parametre!T82</f>
        <v>2357.1902632747983</v>
      </c>
      <c r="T11" s="130">
        <f>T6*Parametre!U82</f>
        <v>2370.2173292580032</v>
      </c>
      <c r="U11" s="130">
        <f>U6*Parametre!V82</f>
        <v>2381.5617206797397</v>
      </c>
      <c r="V11" s="130">
        <f>V6*Parametre!W82</f>
        <v>2387.5802400490866</v>
      </c>
      <c r="W11" s="130">
        <f>W6*Parametre!X82</f>
        <v>2391.2873669242326</v>
      </c>
      <c r="X11" s="130">
        <f>X6*Parametre!Y82</f>
        <v>2392.6719873440352</v>
      </c>
      <c r="Y11" s="130">
        <f>Y6*Parametre!Z82</f>
        <v>2391.7297109864608</v>
      </c>
      <c r="Z11" s="130">
        <f>Z6*Parametre!AA82</f>
        <v>2388.4628950925276</v>
      </c>
      <c r="AA11" s="130">
        <f>AA6*Parametre!AB82</f>
        <v>2381.9182105896634</v>
      </c>
      <c r="AB11" s="130">
        <f>AB6*Parametre!AC82</f>
        <v>2372.1200007043471</v>
      </c>
      <c r="AC11" s="130">
        <f>AC6*Parametre!AD82</f>
        <v>2359.1059272424391</v>
      </c>
      <c r="AD11" s="130">
        <f>AD6*Parametre!AE82</f>
        <v>2343.8572033387572</v>
      </c>
      <c r="AE11" s="130">
        <f>AE6*Parametre!AF82</f>
        <v>2325.4791609128938</v>
      </c>
      <c r="AF11" s="130">
        <f>AF6*Parametre!AG82</f>
        <v>2307.2318729417752</v>
      </c>
      <c r="AG11" s="130">
        <f>AG6*Parametre!AH82</f>
        <v>2284.5658309288697</v>
      </c>
    </row>
    <row r="12" spans="2:33" x14ac:dyDescent="0.2">
      <c r="B12" s="129" t="s">
        <v>114</v>
      </c>
      <c r="C12" s="130">
        <f>SUM(D12:AG12)</f>
        <v>164696.33500371143</v>
      </c>
      <c r="D12" s="130">
        <f>D7*Parametre!E83</f>
        <v>0</v>
      </c>
      <c r="E12" s="130">
        <f>E7*Parametre!F83</f>
        <v>0</v>
      </c>
      <c r="F12" s="130">
        <f>F7*Parametre!G83</f>
        <v>0</v>
      </c>
      <c r="G12" s="130">
        <f>G7*Parametre!H83</f>
        <v>3910.2914174493253</v>
      </c>
      <c r="H12" s="130">
        <f>H7*Parametre!I83</f>
        <v>5917.7358028257422</v>
      </c>
      <c r="I12" s="130">
        <f>I7*Parametre!J83</f>
        <v>5968.5327300375293</v>
      </c>
      <c r="J12" s="130">
        <f>J7*Parametre!K83</f>
        <v>6018.1294768799298</v>
      </c>
      <c r="K12" s="130">
        <f>K7*Parametre!L83</f>
        <v>6066.4592141265784</v>
      </c>
      <c r="L12" s="130">
        <f>L7*Parametre!M83</f>
        <v>6103.6786574254256</v>
      </c>
      <c r="M12" s="130">
        <f>M7*Parametre!N83</f>
        <v>6139.6785464182549</v>
      </c>
      <c r="N12" s="130">
        <f>N7*Parametre!O83</f>
        <v>6174.8503762623159</v>
      </c>
      <c r="O12" s="130">
        <f>O7*Parametre!P83</f>
        <v>6209.3396630655934</v>
      </c>
      <c r="P12" s="130">
        <f>P7*Parametre!Q83</f>
        <v>6243.238924536844</v>
      </c>
      <c r="Q12" s="130">
        <f>Q7*Parametre!R83</f>
        <v>6272.9557560021067</v>
      </c>
      <c r="R12" s="130">
        <f>R7*Parametre!S83</f>
        <v>6298.428513095535</v>
      </c>
      <c r="S12" s="130">
        <f>S7*Parametre!T83</f>
        <v>6319.6041074875811</v>
      </c>
      <c r="T12" s="130">
        <f>T7*Parametre!U83</f>
        <v>6336.4381912373819</v>
      </c>
      <c r="U12" s="130">
        <f>U7*Parametre!V83</f>
        <v>6348.8953116983157</v>
      </c>
      <c r="V12" s="130">
        <f>V7*Parametre!W83</f>
        <v>6349.351298552423</v>
      </c>
      <c r="W12" s="130">
        <f>W7*Parametre!X83</f>
        <v>6343.8183155961615</v>
      </c>
      <c r="X12" s="130">
        <f>X7*Parametre!Y83</f>
        <v>6332.3079363190991</v>
      </c>
      <c r="Y12" s="130">
        <f>Y7*Parametre!Z83</f>
        <v>6314.8486191564079</v>
      </c>
      <c r="Z12" s="130">
        <f>Z7*Parametre!AA83</f>
        <v>6291.4855931633301</v>
      </c>
      <c r="AA12" s="130">
        <f>AA7*Parametre!AB83</f>
        <v>6259.7513826324112</v>
      </c>
      <c r="AB12" s="130">
        <f>AB7*Parametre!AC83</f>
        <v>6219.7638456096902</v>
      </c>
      <c r="AC12" s="130">
        <f>AC7*Parametre!AD83</f>
        <v>6171.6736374668444</v>
      </c>
      <c r="AD12" s="130">
        <f>AD7*Parametre!AE83</f>
        <v>6115.663268336576</v>
      </c>
      <c r="AE12" s="130">
        <f>AE7*Parametre!AF83</f>
        <v>6057.4030705100131</v>
      </c>
      <c r="AF12" s="130">
        <f>AF7*Parametre!AG83</f>
        <v>5993.4372141301465</v>
      </c>
      <c r="AG12" s="130">
        <f>AG7*Parametre!AH83</f>
        <v>5918.5741336898382</v>
      </c>
    </row>
    <row r="13" spans="2:33" x14ac:dyDescent="0.2">
      <c r="B13" s="129" t="s">
        <v>115</v>
      </c>
      <c r="C13" s="133">
        <f>SUM(D13:AG13)</f>
        <v>293926.52641824866</v>
      </c>
      <c r="D13" s="130">
        <f>D8*Parametre!E84</f>
        <v>0</v>
      </c>
      <c r="E13" s="130">
        <f>E8*Parametre!F84</f>
        <v>0</v>
      </c>
      <c r="F13" s="130">
        <f>F8*Parametre!G84</f>
        <v>0</v>
      </c>
      <c r="G13" s="130">
        <f>G8*Parametre!H84</f>
        <v>6975.91616584857</v>
      </c>
      <c r="H13" s="130">
        <f>H8*Parametre!I84</f>
        <v>10553.651148200466</v>
      </c>
      <c r="I13" s="130">
        <f>I8*Parametre!J84</f>
        <v>10640.746296430079</v>
      </c>
      <c r="J13" s="130">
        <f>J8*Parametre!K84</f>
        <v>10725.69986252789</v>
      </c>
      <c r="K13" s="130">
        <f>K8*Parametre!L84</f>
        <v>10808.394882838993</v>
      </c>
      <c r="L13" s="130">
        <f>L8*Parametre!M84</f>
        <v>10876.305562854928</v>
      </c>
      <c r="M13" s="130">
        <f>M8*Parametre!N84</f>
        <v>10942.043177252532</v>
      </c>
      <c r="N13" s="130">
        <f>N8*Parametre!O84</f>
        <v>11006.304600345084</v>
      </c>
      <c r="O13" s="130">
        <f>O8*Parametre!P84</f>
        <v>11069.348619015689</v>
      </c>
      <c r="P13" s="130">
        <f>P8*Parametre!Q84</f>
        <v>11131.339686920021</v>
      </c>
      <c r="Q13" s="130">
        <f>Q8*Parametre!R84</f>
        <v>11185.87144422305</v>
      </c>
      <c r="R13" s="130">
        <f>R8*Parametre!S84</f>
        <v>11232.830912460298</v>
      </c>
      <c r="S13" s="130">
        <f>S8*Parametre!T84</f>
        <v>11272.120384565564</v>
      </c>
      <c r="T13" s="130">
        <f>T8*Parametre!U84</f>
        <v>11303.657763649171</v>
      </c>
      <c r="U13" s="130">
        <f>U8*Parametre!V84</f>
        <v>11327.376849162529</v>
      </c>
      <c r="V13" s="130">
        <f>V8*Parametre!W84</f>
        <v>11323.977969989708</v>
      </c>
      <c r="W13" s="130">
        <f>W8*Parametre!X84</f>
        <v>11309.940587384914</v>
      </c>
      <c r="X13" s="130">
        <f>X8*Parametre!Y84</f>
        <v>11285.296483969179</v>
      </c>
      <c r="Y13" s="130">
        <f>Y8*Parametre!Z84</f>
        <v>11250.107286782128</v>
      </c>
      <c r="Z13" s="130">
        <f>Z8*Parametre!AA84</f>
        <v>11220.357072222707</v>
      </c>
      <c r="AA13" s="130">
        <f>AA8*Parametre!AB84</f>
        <v>11175.465093584915</v>
      </c>
      <c r="AB13" s="130">
        <f>AB8*Parametre!AC84</f>
        <v>11115.5981540701</v>
      </c>
      <c r="AC13" s="130">
        <f>AC8*Parametre!AD84</f>
        <v>11040.983393505947</v>
      </c>
      <c r="AD13" s="130">
        <f>AD8*Parametre!AE84</f>
        <v>10951.906861048759</v>
      </c>
      <c r="AE13" s="130">
        <f>AE8*Parametre!AF84</f>
        <v>10848.711694335512</v>
      </c>
      <c r="AF13" s="130">
        <f>AF8*Parametre!AG84</f>
        <v>10740.344621034035</v>
      </c>
      <c r="AG13" s="130">
        <f>AG8*Parametre!AH84</f>
        <v>10612.229844025942</v>
      </c>
    </row>
    <row r="14" spans="2:33" x14ac:dyDescent="0.2">
      <c r="B14" s="177" t="s">
        <v>355</v>
      </c>
      <c r="C14" s="178">
        <f>SUM(D14:AG14)</f>
        <v>520225.93456651352</v>
      </c>
      <c r="D14" s="179">
        <f>SUM(D11:D13)</f>
        <v>0</v>
      </c>
      <c r="E14" s="178">
        <f t="shared" ref="E14:AG14" si="2">SUM(E11:E13)</f>
        <v>0</v>
      </c>
      <c r="F14" s="178">
        <f t="shared" si="2"/>
        <v>0</v>
      </c>
      <c r="G14" s="178">
        <f t="shared" si="2"/>
        <v>12294.912054241235</v>
      </c>
      <c r="H14" s="178">
        <f t="shared" si="2"/>
        <v>18611.279099886957</v>
      </c>
      <c r="I14" s="178">
        <f t="shared" si="2"/>
        <v>18775.471610155091</v>
      </c>
      <c r="J14" s="178">
        <f t="shared" si="2"/>
        <v>18935.891061193121</v>
      </c>
      <c r="K14" s="178">
        <f t="shared" si="2"/>
        <v>19093.34445451526</v>
      </c>
      <c r="L14" s="178">
        <f t="shared" si="2"/>
        <v>19217.121944613998</v>
      </c>
      <c r="M14" s="178">
        <f t="shared" si="2"/>
        <v>19337.060104774049</v>
      </c>
      <c r="N14" s="178">
        <f t="shared" si="2"/>
        <v>19455.40830510034</v>
      </c>
      <c r="O14" s="178">
        <f t="shared" si="2"/>
        <v>19571.602087968087</v>
      </c>
      <c r="P14" s="178">
        <f t="shared" si="2"/>
        <v>19685.930777077807</v>
      </c>
      <c r="Q14" s="178">
        <f t="shared" si="2"/>
        <v>19787.060676980152</v>
      </c>
      <c r="R14" s="178">
        <f t="shared" si="2"/>
        <v>19874.78268482249</v>
      </c>
      <c r="S14" s="178">
        <f t="shared" si="2"/>
        <v>19948.914755327944</v>
      </c>
      <c r="T14" s="178">
        <f t="shared" si="2"/>
        <v>20010.313284144555</v>
      </c>
      <c r="U14" s="178">
        <f t="shared" si="2"/>
        <v>20057.833881540584</v>
      </c>
      <c r="V14" s="178">
        <f t="shared" si="2"/>
        <v>20060.909508591219</v>
      </c>
      <c r="W14" s="178">
        <f t="shared" si="2"/>
        <v>20045.04626990531</v>
      </c>
      <c r="X14" s="178">
        <f t="shared" si="2"/>
        <v>20010.276407632315</v>
      </c>
      <c r="Y14" s="178">
        <f t="shared" si="2"/>
        <v>19956.685616924995</v>
      </c>
      <c r="Z14" s="178">
        <f t="shared" si="2"/>
        <v>19900.305560478562</v>
      </c>
      <c r="AA14" s="178">
        <f t="shared" si="2"/>
        <v>19817.134686806989</v>
      </c>
      <c r="AB14" s="178">
        <f t="shared" si="2"/>
        <v>19707.482000384138</v>
      </c>
      <c r="AC14" s="178">
        <f t="shared" si="2"/>
        <v>19571.762958215229</v>
      </c>
      <c r="AD14" s="178">
        <f t="shared" si="2"/>
        <v>19411.427332724092</v>
      </c>
      <c r="AE14" s="178">
        <f t="shared" si="2"/>
        <v>19231.593925758418</v>
      </c>
      <c r="AF14" s="178">
        <f t="shared" si="2"/>
        <v>19041.013708105958</v>
      </c>
      <c r="AG14" s="178">
        <f t="shared" si="2"/>
        <v>18815.369808644649</v>
      </c>
    </row>
    <row r="16" spans="2:33" x14ac:dyDescent="0.2">
      <c r="B16" s="1" t="s">
        <v>2</v>
      </c>
    </row>
    <row r="17" spans="2:2" x14ac:dyDescent="0.2">
      <c r="B17" s="1" t="s">
        <v>356</v>
      </c>
    </row>
    <row r="18" spans="2:2" x14ac:dyDescent="0.2">
      <c r="B18" s="1" t="s">
        <v>357</v>
      </c>
    </row>
    <row r="19" spans="2:2" x14ac:dyDescent="0.2">
      <c r="B19" s="10"/>
    </row>
  </sheetData>
  <sheetProtection algorithmName="SHA-512" hashValue="C40Q53rrWke8gqnSAxaxaKySKwIoQ/X3x9pn/UimnI4CK0XbWN2rVdNEuC10cbolxIVdVhjMiiIAUEQPyi08fQ==" saltValue="FGvNWtGdKsm1+aKUS+cUZw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2:AG14"/>
  <sheetViews>
    <sheetView zoomScaleNormal="100" workbookViewId="0">
      <selection activeCell="H23" sqref="H23"/>
    </sheetView>
  </sheetViews>
  <sheetFormatPr defaultColWidth="9.140625" defaultRowHeight="11.25" x14ac:dyDescent="0.2"/>
  <cols>
    <col min="1" max="1" width="2.7109375" style="24" customWidth="1"/>
    <col min="2" max="2" width="46.7109375" style="24" bestFit="1" customWidth="1"/>
    <col min="3" max="3" width="14.28515625" style="24" customWidth="1"/>
    <col min="4" max="6" width="8.7109375" style="24" customWidth="1"/>
    <col min="7" max="8" width="10.7109375" style="24" customWidth="1"/>
    <col min="9" max="25" width="8.7109375" style="24" customWidth="1"/>
    <col min="26" max="26" width="10" style="24" customWidth="1"/>
    <col min="27" max="33" width="8.7109375" style="24" customWidth="1"/>
    <col min="34" max="34" width="5" style="24" bestFit="1" customWidth="1"/>
    <col min="35" max="16384" width="9.140625" style="24"/>
  </cols>
  <sheetData>
    <row r="2" spans="2:33" x14ac:dyDescent="0.2">
      <c r="B2" s="30" t="s">
        <v>358</v>
      </c>
      <c r="C2" s="30"/>
      <c r="D2" s="25" t="s">
        <v>10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2:33" x14ac:dyDescent="0.2">
      <c r="B3" s="26"/>
      <c r="C3" s="26"/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7">
        <v>25</v>
      </c>
      <c r="AC3" s="27">
        <v>26</v>
      </c>
      <c r="AD3" s="27">
        <v>27</v>
      </c>
      <c r="AE3" s="27">
        <v>28</v>
      </c>
      <c r="AF3" s="27">
        <v>29</v>
      </c>
      <c r="AG3" s="27">
        <v>30</v>
      </c>
    </row>
    <row r="4" spans="2:33" ht="22.5" x14ac:dyDescent="0.2">
      <c r="B4" s="28" t="s">
        <v>37</v>
      </c>
      <c r="C4" s="32" t="s">
        <v>34</v>
      </c>
      <c r="D4" s="29">
        <f>Parametre!C13</f>
        <v>2023</v>
      </c>
      <c r="E4" s="29">
        <f>$D$4+D3</f>
        <v>2024</v>
      </c>
      <c r="F4" s="29">
        <f>$D$4+E3</f>
        <v>2025</v>
      </c>
      <c r="G4" s="29">
        <f t="shared" ref="G4:AG4" si="0">$D$4+F3</f>
        <v>2026</v>
      </c>
      <c r="H4" s="29">
        <f t="shared" si="0"/>
        <v>2027</v>
      </c>
      <c r="I4" s="29">
        <f t="shared" si="0"/>
        <v>2028</v>
      </c>
      <c r="J4" s="29">
        <f t="shared" si="0"/>
        <v>2029</v>
      </c>
      <c r="K4" s="29">
        <f t="shared" si="0"/>
        <v>2030</v>
      </c>
      <c r="L4" s="29">
        <f t="shared" si="0"/>
        <v>2031</v>
      </c>
      <c r="M4" s="29">
        <f t="shared" si="0"/>
        <v>2032</v>
      </c>
      <c r="N4" s="29">
        <f t="shared" si="0"/>
        <v>2033</v>
      </c>
      <c r="O4" s="29">
        <f t="shared" si="0"/>
        <v>2034</v>
      </c>
      <c r="P4" s="29">
        <f t="shared" si="0"/>
        <v>2035</v>
      </c>
      <c r="Q4" s="29">
        <f t="shared" si="0"/>
        <v>2036</v>
      </c>
      <c r="R4" s="29">
        <f t="shared" si="0"/>
        <v>2037</v>
      </c>
      <c r="S4" s="29">
        <f t="shared" si="0"/>
        <v>2038</v>
      </c>
      <c r="T4" s="29">
        <f t="shared" si="0"/>
        <v>2039</v>
      </c>
      <c r="U4" s="29">
        <f t="shared" si="0"/>
        <v>2040</v>
      </c>
      <c r="V4" s="29">
        <f t="shared" si="0"/>
        <v>2041</v>
      </c>
      <c r="W4" s="29">
        <f t="shared" si="0"/>
        <v>2042</v>
      </c>
      <c r="X4" s="29">
        <f t="shared" si="0"/>
        <v>2043</v>
      </c>
      <c r="Y4" s="29">
        <f t="shared" si="0"/>
        <v>2044</v>
      </c>
      <c r="Z4" s="29">
        <f t="shared" si="0"/>
        <v>2045</v>
      </c>
      <c r="AA4" s="29">
        <f t="shared" si="0"/>
        <v>2046</v>
      </c>
      <c r="AB4" s="29">
        <f t="shared" si="0"/>
        <v>2047</v>
      </c>
      <c r="AC4" s="29">
        <f t="shared" si="0"/>
        <v>2048</v>
      </c>
      <c r="AD4" s="29">
        <f t="shared" si="0"/>
        <v>2049</v>
      </c>
      <c r="AE4" s="29">
        <f t="shared" si="0"/>
        <v>2050</v>
      </c>
      <c r="AF4" s="29">
        <f t="shared" si="0"/>
        <v>2051</v>
      </c>
      <c r="AG4" s="29">
        <f t="shared" si="0"/>
        <v>2052</v>
      </c>
    </row>
    <row r="5" spans="2:33" x14ac:dyDescent="0.2">
      <c r="B5" s="25" t="s">
        <v>14</v>
      </c>
      <c r="C5" s="31">
        <f>D5+NPV(Parametre!$C$10,E5:H5)</f>
        <v>-48202137.99805636</v>
      </c>
      <c r="D5" s="31">
        <f>-'01 Investičné výdavky - nové'!D27</f>
        <v>0</v>
      </c>
      <c r="E5" s="31">
        <f>-'01 Investičné výdavky - nové'!E27</f>
        <v>0</v>
      </c>
      <c r="F5" s="31">
        <f>-'01 Investičné výdavky - nové'!F27</f>
        <v>0</v>
      </c>
      <c r="G5" s="31">
        <f>-'01 Investičné výdavky - nové'!G27</f>
        <v>-37800000</v>
      </c>
      <c r="H5" s="31">
        <f>-'01 Investičné výdavky - nové'!H27</f>
        <v>-18900000</v>
      </c>
      <c r="I5" s="31">
        <f>-'01 Investičné výdavky - nové'!I27</f>
        <v>0</v>
      </c>
      <c r="J5" s="31">
        <f>-'01 Investičné výdavky - nové'!J27</f>
        <v>0</v>
      </c>
      <c r="K5" s="31">
        <f>-'01 Investičné výdavky - nové'!K27</f>
        <v>0</v>
      </c>
      <c r="L5" s="31">
        <f>-'01 Investičné výdavky - nové'!L27</f>
        <v>0</v>
      </c>
      <c r="M5" s="31">
        <f>-'01 Investičné výdavky - nové'!M27</f>
        <v>0</v>
      </c>
      <c r="N5" s="31">
        <f>-'01 Investičné výdavky - nové'!N27</f>
        <v>0</v>
      </c>
      <c r="O5" s="31">
        <f>-'01 Investičné výdavky - nové'!O27</f>
        <v>0</v>
      </c>
      <c r="P5" s="31">
        <f>-'01 Investičné výdavky - nové'!P27</f>
        <v>0</v>
      </c>
      <c r="Q5" s="31">
        <f>-'01 Investičné výdavky - nové'!Q27</f>
        <v>0</v>
      </c>
      <c r="R5" s="31">
        <f>-'01 Investičné výdavky - nové'!R27</f>
        <v>0</v>
      </c>
      <c r="S5" s="31">
        <f>-'01 Investičné výdavky - nové'!S27</f>
        <v>0</v>
      </c>
      <c r="T5" s="31">
        <f>-'01 Investičné výdavky - nové'!T27</f>
        <v>0</v>
      </c>
      <c r="U5" s="31">
        <f>-'01 Investičné výdavky - nové'!U27</f>
        <v>0</v>
      </c>
      <c r="V5" s="31">
        <f>-'01 Investičné výdavky - nové'!V27</f>
        <v>0</v>
      </c>
      <c r="W5" s="31">
        <f>-'01 Investičné výdavky - nové'!W27</f>
        <v>0</v>
      </c>
      <c r="X5" s="31">
        <f>-'01 Investičné výdavky - nové'!X27</f>
        <v>0</v>
      </c>
      <c r="Y5" s="31">
        <f>-'01 Investičné výdavky - nové'!Y27</f>
        <v>0</v>
      </c>
      <c r="Z5" s="31">
        <f>-'01 Investičné výdavky - nové'!Z27</f>
        <v>0</v>
      </c>
      <c r="AA5" s="31">
        <f>-'01 Investičné výdavky - nové'!AA27</f>
        <v>0</v>
      </c>
      <c r="AB5" s="31">
        <f>-'01 Investičné výdavky - nové'!AB27</f>
        <v>0</v>
      </c>
      <c r="AC5" s="31">
        <f>-'01 Investičné výdavky - nové'!AC27</f>
        <v>0</v>
      </c>
      <c r="AD5" s="31">
        <f>-'01 Investičné výdavky - nové'!AD27</f>
        <v>0</v>
      </c>
      <c r="AE5" s="31">
        <f>-'01 Investičné výdavky - nové'!AE27</f>
        <v>0</v>
      </c>
      <c r="AF5" s="31">
        <f>-'01 Investičné výdavky - nové'!AF27</f>
        <v>0</v>
      </c>
      <c r="AG5" s="31">
        <f>-'01 Investičné výdavky - nové'!AG27</f>
        <v>0</v>
      </c>
    </row>
    <row r="6" spans="2:33" x14ac:dyDescent="0.2">
      <c r="B6" s="25" t="s">
        <v>12</v>
      </c>
      <c r="C6" s="31">
        <f>D6+NPV(Parametre!$C$10,E6:AG6)</f>
        <v>22144862.065111089</v>
      </c>
      <c r="D6" s="31">
        <f>-'03 Prevádzkové výdavky - nové'!D43</f>
        <v>0</v>
      </c>
      <c r="E6" s="31">
        <f>-'03 Prevádzkové výdavky - nové'!E43</f>
        <v>0</v>
      </c>
      <c r="F6" s="31">
        <f>-'03 Prevádzkové výdavky - nové'!F43</f>
        <v>0</v>
      </c>
      <c r="G6" s="31">
        <f>-'03 Prevádzkové výdavky - nové'!G43</f>
        <v>16642419.00499553</v>
      </c>
      <c r="H6" s="31">
        <f>-'03 Prevádzkové výdavky - nové'!H43</f>
        <v>13179612.883387107</v>
      </c>
      <c r="I6" s="31">
        <f>-'03 Prevádzkové výdavky - nové'!I43</f>
        <v>22359146.02134005</v>
      </c>
      <c r="J6" s="31">
        <f>-'03 Prevádzkové výdavky - nové'!J43</f>
        <v>938668.9727764884</v>
      </c>
      <c r="K6" s="31">
        <f>-'03 Prevádzkové výdavky - nové'!K43</f>
        <v>-2121818.4845643439</v>
      </c>
      <c r="L6" s="31">
        <f>-'03 Prevádzkové výdavky - nové'!L43</f>
        <v>-2122316.5777927525</v>
      </c>
      <c r="M6" s="31">
        <f>-'03 Prevádzkové výdavky - nové'!M43</f>
        <v>-2122825.538974389</v>
      </c>
      <c r="N6" s="31">
        <f>-'03 Prevádzkové výdavky - nové'!N43</f>
        <v>-2123345.6052383669</v>
      </c>
      <c r="O6" s="31">
        <f>-'03 Prevádzkové výdavky - nové'!O43</f>
        <v>-2123877.0188877527</v>
      </c>
      <c r="P6" s="31">
        <f>-'03 Prevádzkové výdavky - nové'!P43</f>
        <v>-2124420.0275124465</v>
      </c>
      <c r="Q6" s="31">
        <f>-'03 Prevádzkové výdavky - nové'!Q43</f>
        <v>-2124974.8841045452</v>
      </c>
      <c r="R6" s="31">
        <f>-'03 Prevádzkové výdavky - nové'!R43</f>
        <v>-2125541.847176211</v>
      </c>
      <c r="S6" s="31">
        <f>-'03 Prevádzkové výdavky - nové'!S43</f>
        <v>-2126121.1808801019</v>
      </c>
      <c r="T6" s="31">
        <f>-'03 Prevádzkové výdavky - nové'!T43</f>
        <v>-2126713.1551324613</v>
      </c>
      <c r="U6" s="31">
        <f>-'03 Prevádzkové výdavky - nové'!U43</f>
        <v>-2127318.0457388675</v>
      </c>
      <c r="V6" s="31">
        <f>-'03 Prevádzkové výdavky - nové'!V43</f>
        <v>-2613936.1345227286</v>
      </c>
      <c r="W6" s="31">
        <f>-'03 Prevádzkové výdavky - nové'!W43</f>
        <v>-2209567.7094565886</v>
      </c>
      <c r="X6" s="31">
        <f>-'03 Prevádzkové výdavky - nové'!X43</f>
        <v>-1481213.0647963039</v>
      </c>
      <c r="Y6" s="31">
        <f>-'03 Prevádzkové výdavky - nové'!Y43</f>
        <v>-2048872.5012181252</v>
      </c>
      <c r="Z6" s="31">
        <f>-'03 Prevádzkové výdavky - nové'!Z43</f>
        <v>-11958546.3259588</v>
      </c>
      <c r="AA6" s="31">
        <f>-'03 Prevádzkové výdavky - nové'!AA43</f>
        <v>-2131234.8529587034</v>
      </c>
      <c r="AB6" s="31">
        <f>-'03 Prevádzkové výdavky - nové'!AB43</f>
        <v>1963061.5969918887</v>
      </c>
      <c r="AC6" s="31">
        <f>-'03 Prevádzkové výdavky - nové'!AC43</f>
        <v>4419342.6961033326</v>
      </c>
      <c r="AD6" s="31">
        <f>-'03 Prevádzkové výdavky - nové'!AD43</f>
        <v>-1314391.8905660906</v>
      </c>
      <c r="AE6" s="31">
        <f>-'03 Prevádzkové výdavky - nové'!AE43</f>
        <v>-2134142.5052662273</v>
      </c>
      <c r="AF6" s="31">
        <f>-'03 Prevádzkové výdavky - nové'!AF43</f>
        <v>-2134909.4977145176</v>
      </c>
      <c r="AG6" s="31">
        <f>-'03 Prevádzkové výdavky - nové'!AG43</f>
        <v>-2135693.2252589259</v>
      </c>
    </row>
    <row r="7" spans="2:33" x14ac:dyDescent="0.2">
      <c r="B7" s="25" t="s">
        <v>254</v>
      </c>
      <c r="C7" s="31">
        <f>D7+NPV(Parametre!$C$10,E7:AG7)</f>
        <v>252366.17406282746</v>
      </c>
      <c r="D7" s="31">
        <f>'07 Čas cestujúcich - nové'!D14</f>
        <v>0</v>
      </c>
      <c r="E7" s="31">
        <f>'07 Čas cestujúcich - nové'!E14</f>
        <v>0</v>
      </c>
      <c r="F7" s="31">
        <f>'07 Čas cestujúcich - nové'!F14</f>
        <v>0</v>
      </c>
      <c r="G7" s="31">
        <f>'07 Čas cestujúcich - nové'!G14</f>
        <v>12294.912054241235</v>
      </c>
      <c r="H7" s="31">
        <f>'07 Čas cestujúcich - nové'!H14</f>
        <v>18611.279099886957</v>
      </c>
      <c r="I7" s="31">
        <f>'07 Čas cestujúcich - nové'!I14</f>
        <v>18775.471610155091</v>
      </c>
      <c r="J7" s="31">
        <f>'07 Čas cestujúcich - nové'!J14</f>
        <v>18935.891061193121</v>
      </c>
      <c r="K7" s="31">
        <f>'07 Čas cestujúcich - nové'!K14</f>
        <v>19093.34445451526</v>
      </c>
      <c r="L7" s="31">
        <f>'07 Čas cestujúcich - nové'!L14</f>
        <v>19217.121944613998</v>
      </c>
      <c r="M7" s="31">
        <f>'07 Čas cestujúcich - nové'!M14</f>
        <v>19337.060104774049</v>
      </c>
      <c r="N7" s="31">
        <f>'07 Čas cestujúcich - nové'!N14</f>
        <v>19455.40830510034</v>
      </c>
      <c r="O7" s="31">
        <f>'07 Čas cestujúcich - nové'!O14</f>
        <v>19571.602087968087</v>
      </c>
      <c r="P7" s="31">
        <f>'07 Čas cestujúcich - nové'!P14</f>
        <v>19685.930777077807</v>
      </c>
      <c r="Q7" s="31">
        <f>'07 Čas cestujúcich - nové'!Q14</f>
        <v>19787.060676980152</v>
      </c>
      <c r="R7" s="31">
        <f>'07 Čas cestujúcich - nové'!R14</f>
        <v>19874.78268482249</v>
      </c>
      <c r="S7" s="31">
        <f>'07 Čas cestujúcich - nové'!S14</f>
        <v>19948.914755327944</v>
      </c>
      <c r="T7" s="31">
        <f>'07 Čas cestujúcich - nové'!T14</f>
        <v>20010.313284144555</v>
      </c>
      <c r="U7" s="31">
        <f>'07 Čas cestujúcich - nové'!U14</f>
        <v>20057.833881540584</v>
      </c>
      <c r="V7" s="31">
        <f>'07 Čas cestujúcich - nové'!V14</f>
        <v>20060.909508591219</v>
      </c>
      <c r="W7" s="31">
        <f>'07 Čas cestujúcich - nové'!W14</f>
        <v>20045.04626990531</v>
      </c>
      <c r="X7" s="31">
        <f>'07 Čas cestujúcich - nové'!X14</f>
        <v>20010.276407632315</v>
      </c>
      <c r="Y7" s="31">
        <f>'07 Čas cestujúcich - nové'!Y14</f>
        <v>19956.685616924995</v>
      </c>
      <c r="Z7" s="31">
        <f>'07 Čas cestujúcich - nové'!Z14</f>
        <v>19900.305560478562</v>
      </c>
      <c r="AA7" s="31">
        <f>'07 Čas cestujúcich - nové'!AA14</f>
        <v>19817.134686806989</v>
      </c>
      <c r="AB7" s="31">
        <f>'07 Čas cestujúcich - nové'!AB14</f>
        <v>19707.482000384138</v>
      </c>
      <c r="AC7" s="31">
        <f>'07 Čas cestujúcich - nové'!AC14</f>
        <v>19571.762958215229</v>
      </c>
      <c r="AD7" s="31">
        <f>'07 Čas cestujúcich - nové'!AD14</f>
        <v>19411.427332724092</v>
      </c>
      <c r="AE7" s="31">
        <f>'07 Čas cestujúcich - nové'!AE14</f>
        <v>19231.593925758418</v>
      </c>
      <c r="AF7" s="31">
        <f>'07 Čas cestujúcich - nové'!AF14</f>
        <v>19041.013708105958</v>
      </c>
      <c r="AG7" s="31">
        <f>'07 Čas cestujúcich - nové'!AG14</f>
        <v>18815.369808644649</v>
      </c>
    </row>
    <row r="8" spans="2:33" x14ac:dyDescent="0.2">
      <c r="B8" s="25" t="s">
        <v>16</v>
      </c>
      <c r="C8" s="31">
        <f>D8+NPV(Parametre!$C$10,E8:AG8)</f>
        <v>545586.2997912328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134">
        <f>MIN('02 Zostatková hodnota - nové'!I7,'02 Zostatková hodnota - nové'!C13)</f>
        <v>2245707.1889232239</v>
      </c>
    </row>
    <row r="9" spans="2:33" x14ac:dyDescent="0.2">
      <c r="B9" s="173" t="s">
        <v>38</v>
      </c>
      <c r="C9" s="172">
        <f>D9+NPV(Parametre!$C$10,E9:AG9)</f>
        <v>-25259323.459091205</v>
      </c>
      <c r="D9" s="172">
        <f t="shared" ref="D9:AG9" si="1">SUM(D5:D8)</f>
        <v>0</v>
      </c>
      <c r="E9" s="172">
        <f t="shared" si="1"/>
        <v>0</v>
      </c>
      <c r="F9" s="172">
        <f t="shared" si="1"/>
        <v>0</v>
      </c>
      <c r="G9" s="172">
        <f t="shared" si="1"/>
        <v>-21145286.082950227</v>
      </c>
      <c r="H9" s="172">
        <f t="shared" si="1"/>
        <v>-5701775.8375130054</v>
      </c>
      <c r="I9" s="172">
        <f t="shared" si="1"/>
        <v>22377921.492950205</v>
      </c>
      <c r="J9" s="172">
        <f t="shared" si="1"/>
        <v>957604.86383768148</v>
      </c>
      <c r="K9" s="172">
        <f t="shared" si="1"/>
        <v>-2102725.1401098287</v>
      </c>
      <c r="L9" s="172">
        <f t="shared" si="1"/>
        <v>-2103099.4558481383</v>
      </c>
      <c r="M9" s="172">
        <f t="shared" si="1"/>
        <v>-2103488.4788696151</v>
      </c>
      <c r="N9" s="172">
        <f t="shared" si="1"/>
        <v>-2103890.1969332667</v>
      </c>
      <c r="O9" s="172">
        <f t="shared" si="1"/>
        <v>-2104305.4167997846</v>
      </c>
      <c r="P9" s="172">
        <f t="shared" si="1"/>
        <v>-2104734.0967353685</v>
      </c>
      <c r="Q9" s="172">
        <f t="shared" si="1"/>
        <v>-2105187.8234275649</v>
      </c>
      <c r="R9" s="172">
        <f t="shared" si="1"/>
        <v>-2105667.0644913884</v>
      </c>
      <c r="S9" s="172">
        <f t="shared" si="1"/>
        <v>-2106172.2661247738</v>
      </c>
      <c r="T9" s="172">
        <f t="shared" si="1"/>
        <v>-2106702.8418483166</v>
      </c>
      <c r="U9" s="172">
        <f t="shared" si="1"/>
        <v>-2107260.2118573268</v>
      </c>
      <c r="V9" s="172">
        <f t="shared" si="1"/>
        <v>-2593875.2250141376</v>
      </c>
      <c r="W9" s="172">
        <f t="shared" si="1"/>
        <v>-2189522.6631866833</v>
      </c>
      <c r="X9" s="172">
        <f t="shared" si="1"/>
        <v>-1461202.7883886716</v>
      </c>
      <c r="Y9" s="172">
        <f t="shared" si="1"/>
        <v>-2028915.8156012003</v>
      </c>
      <c r="Z9" s="172">
        <f t="shared" si="1"/>
        <v>-11938646.020398321</v>
      </c>
      <c r="AA9" s="172">
        <f t="shared" si="1"/>
        <v>-2111417.7182718962</v>
      </c>
      <c r="AB9" s="172">
        <f t="shared" si="1"/>
        <v>1982769.078992273</v>
      </c>
      <c r="AC9" s="172">
        <f t="shared" si="1"/>
        <v>4438914.4590615481</v>
      </c>
      <c r="AD9" s="172">
        <f t="shared" si="1"/>
        <v>-1294980.4632333666</v>
      </c>
      <c r="AE9" s="172">
        <f t="shared" si="1"/>
        <v>-2114910.911340469</v>
      </c>
      <c r="AF9" s="172">
        <f t="shared" si="1"/>
        <v>-2115868.4840064119</v>
      </c>
      <c r="AG9" s="172">
        <f t="shared" si="1"/>
        <v>128829.33347294247</v>
      </c>
    </row>
    <row r="11" spans="2:33" x14ac:dyDescent="0.2">
      <c r="B11" s="33" t="s">
        <v>39</v>
      </c>
      <c r="C11" s="174">
        <f>C5--C6+C7+C8</f>
        <v>-25259323.459091213</v>
      </c>
      <c r="D11" s="24" t="s">
        <v>0</v>
      </c>
    </row>
    <row r="12" spans="2:33" x14ac:dyDescent="0.2">
      <c r="B12" s="33" t="s">
        <v>40</v>
      </c>
      <c r="C12" s="175" t="e">
        <f>IRR(D9:AG9,10)</f>
        <v>#NUM!</v>
      </c>
    </row>
    <row r="13" spans="2:33" hidden="1" x14ac:dyDescent="0.2">
      <c r="B13" s="33" t="s">
        <v>1</v>
      </c>
      <c r="C13" s="176">
        <f>ABS((C7+C8)/(C5+C6))</f>
        <v>3.0623019685844313E-2</v>
      </c>
    </row>
    <row r="14" spans="2:33" x14ac:dyDescent="0.2">
      <c r="B14" s="33" t="s">
        <v>1</v>
      </c>
      <c r="C14" s="176">
        <f>(C7+C8)/(C5+C6)</f>
        <v>-3.0623019685844313E-2</v>
      </c>
    </row>
  </sheetData>
  <sheetProtection algorithmName="SHA-512" hashValue="W3ajSc7GdUEEvPJAClgNLXE/ct6LlarKoJ/Xeq0/L1Bkq8kosHbEB+EKvjwfYSi0R9108S7dc9dzrTYuj5g7/Q==" saltValue="uX4tFzMWwqPN+oB74ddFJw==" spinCount="100000" sheet="1" formatCells="0" formatColumns="0" formatRows="0" insertColumns="0" insertRows="0" insertHyperlinks="0" deleteColumns="0" deleteRows="0" sort="0" autoFilter="0" pivotTables="0"/>
  <pageMargins left="0.19687499999999999" right="0.19687499999999999" top="1" bottom="1" header="0.5" footer="0.5"/>
  <pageSetup scale="75" orientation="landscape" r:id="rId1"/>
  <headerFooter alignWithMargins="0">
    <oddHeader>&amp;LPríloha 7: Štandardné tabuľky - Cesty
&amp;"Arial,Tučné"&amp;12 11 Ekonomická analýza</oddHeader>
    <oddFooter>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682FB-8F7C-4247-AA91-DA76A3D3E0C8}">
  <sheetPr>
    <tabColor rgb="FF7030A0"/>
  </sheetPr>
  <dimension ref="A1"/>
  <sheetViews>
    <sheetView workbookViewId="0">
      <selection activeCell="T24" sqref="T24"/>
    </sheetView>
  </sheetViews>
  <sheetFormatPr defaultColWidth="8.7109375" defaultRowHeight="12.75" x14ac:dyDescent="0.2"/>
  <sheetData/>
  <sheetProtection algorithmName="SHA-512" hashValue="R3xp1Usm7By+EXeti2c+haYvYfzc2u8MSWV3KQd+8vjKgTZMDAutBdAz/t245KURpBIfHJ/rO9RePBCo1siBLA==" saltValue="nLO3pNjdcE+CTekLVsF5y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E7E1-BF2D-4783-B2E9-A460FC9E2285}">
  <sheetPr>
    <tabColor rgb="FFFFC000"/>
  </sheetPr>
  <dimension ref="B2:N41"/>
  <sheetViews>
    <sheetView zoomScaleNormal="100" workbookViewId="0">
      <selection activeCell="D52" sqref="D52"/>
    </sheetView>
  </sheetViews>
  <sheetFormatPr defaultColWidth="9.140625" defaultRowHeight="11.25" x14ac:dyDescent="0.2"/>
  <cols>
    <col min="1" max="1" width="2.7109375" style="2" customWidth="1"/>
    <col min="2" max="2" width="42.28515625" style="2" customWidth="1"/>
    <col min="3" max="3" width="12.7109375" style="2" bestFit="1" customWidth="1"/>
    <col min="4" max="10" width="12.7109375" style="2" customWidth="1"/>
    <col min="11" max="16384" width="9.140625" style="2"/>
  </cols>
  <sheetData>
    <row r="2" spans="2:10" x14ac:dyDescent="0.2">
      <c r="B2" s="3" t="s">
        <v>339</v>
      </c>
      <c r="C2" s="3"/>
      <c r="D2" s="3" t="s">
        <v>10</v>
      </c>
      <c r="E2" s="3"/>
      <c r="F2" s="3"/>
      <c r="G2" s="3"/>
      <c r="H2" s="3"/>
      <c r="I2" s="3"/>
      <c r="J2" s="3"/>
    </row>
    <row r="3" spans="2:10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/>
      <c r="J3" s="5">
        <v>30</v>
      </c>
    </row>
    <row r="4" spans="2:10" x14ac:dyDescent="0.2">
      <c r="B4" s="6" t="s">
        <v>216</v>
      </c>
      <c r="C4" s="6" t="s">
        <v>9</v>
      </c>
      <c r="D4" s="7">
        <v>2023</v>
      </c>
      <c r="E4" s="7">
        <f>$D$4+D3</f>
        <v>2024</v>
      </c>
      <c r="F4" s="7">
        <f>$D$4+E3</f>
        <v>2025</v>
      </c>
      <c r="G4" s="7">
        <f>$D$4+F3</f>
        <v>2026</v>
      </c>
      <c r="H4" s="7">
        <v>2027</v>
      </c>
      <c r="I4" s="7" t="s">
        <v>47</v>
      </c>
      <c r="J4" s="7">
        <v>2052</v>
      </c>
    </row>
    <row r="5" spans="2:10" x14ac:dyDescent="0.2">
      <c r="B5" s="3" t="s">
        <v>341</v>
      </c>
      <c r="C5" s="183">
        <f t="shared" ref="C5:C13" si="0">SUM(D5:J5)</f>
        <v>31284000</v>
      </c>
      <c r="D5" s="183">
        <f t="shared" ref="D5:J5" si="1">SUM(D6:D6)</f>
        <v>0</v>
      </c>
      <c r="E5" s="183">
        <v>0</v>
      </c>
      <c r="F5" s="183">
        <f t="shared" si="1"/>
        <v>20856000</v>
      </c>
      <c r="G5" s="183">
        <f t="shared" si="1"/>
        <v>10428000</v>
      </c>
      <c r="H5" s="183">
        <f t="shared" si="1"/>
        <v>0</v>
      </c>
      <c r="I5" s="183">
        <f t="shared" si="1"/>
        <v>0</v>
      </c>
      <c r="J5" s="183">
        <f t="shared" si="1"/>
        <v>0</v>
      </c>
    </row>
    <row r="6" spans="2:10" x14ac:dyDescent="0.2">
      <c r="B6" s="122" t="s">
        <v>365</v>
      </c>
      <c r="C6" s="184">
        <f t="shared" si="0"/>
        <v>31284000</v>
      </c>
      <c r="D6" s="185">
        <v>0</v>
      </c>
      <c r="E6" s="185">
        <v>0</v>
      </c>
      <c r="F6" s="185">
        <v>20856000</v>
      </c>
      <c r="G6" s="185">
        <v>10428000</v>
      </c>
      <c r="H6" s="185">
        <v>0</v>
      </c>
      <c r="I6" s="185">
        <v>0</v>
      </c>
      <c r="J6" s="185">
        <v>0</v>
      </c>
    </row>
    <row r="7" spans="2:10" x14ac:dyDescent="0.2">
      <c r="B7" s="11" t="s">
        <v>340</v>
      </c>
      <c r="C7" s="183">
        <f t="shared" si="0"/>
        <v>0</v>
      </c>
      <c r="D7" s="185">
        <v>0</v>
      </c>
      <c r="E7" s="185">
        <v>0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</row>
    <row r="8" spans="2:10" x14ac:dyDescent="0.2">
      <c r="B8" s="3" t="s">
        <v>49</v>
      </c>
      <c r="C8" s="183">
        <f t="shared" si="0"/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</row>
    <row r="9" spans="2:10" s="9" customFormat="1" x14ac:dyDescent="0.2">
      <c r="B9" s="8" t="s">
        <v>237</v>
      </c>
      <c r="C9" s="187">
        <f t="shared" si="0"/>
        <v>31284000</v>
      </c>
      <c r="D9" s="187">
        <f t="shared" ref="D9:J9" si="2">SUM(D5:D5,D7:D8)</f>
        <v>0</v>
      </c>
      <c r="E9" s="187">
        <f t="shared" si="2"/>
        <v>0</v>
      </c>
      <c r="F9" s="187">
        <f t="shared" si="2"/>
        <v>20856000</v>
      </c>
      <c r="G9" s="187">
        <f t="shared" si="2"/>
        <v>10428000</v>
      </c>
      <c r="H9" s="187">
        <f t="shared" si="2"/>
        <v>0</v>
      </c>
      <c r="I9" s="187">
        <f t="shared" si="2"/>
        <v>0</v>
      </c>
      <c r="J9" s="187">
        <f t="shared" si="2"/>
        <v>0</v>
      </c>
    </row>
    <row r="10" spans="2:10" x14ac:dyDescent="0.2">
      <c r="B10" s="3" t="s">
        <v>43</v>
      </c>
      <c r="C10" s="183">
        <f t="shared" si="0"/>
        <v>0</v>
      </c>
      <c r="D10" s="186">
        <v>0</v>
      </c>
      <c r="E10" s="186">
        <v>0</v>
      </c>
      <c r="F10" s="186">
        <v>0</v>
      </c>
      <c r="G10" s="186">
        <v>0</v>
      </c>
      <c r="H10" s="186">
        <v>0</v>
      </c>
      <c r="I10" s="186">
        <v>0</v>
      </c>
      <c r="J10" s="186">
        <v>0</v>
      </c>
    </row>
    <row r="11" spans="2:10" ht="11.25" customHeight="1" x14ac:dyDescent="0.2">
      <c r="B11" s="8" t="s">
        <v>342</v>
      </c>
      <c r="C11" s="188">
        <f t="shared" si="0"/>
        <v>31284000</v>
      </c>
      <c r="D11" s="188">
        <f t="shared" ref="D11:J11" si="3">SUM(D9:D10)</f>
        <v>0</v>
      </c>
      <c r="E11" s="188">
        <f t="shared" si="3"/>
        <v>0</v>
      </c>
      <c r="F11" s="188">
        <f t="shared" si="3"/>
        <v>20856000</v>
      </c>
      <c r="G11" s="188">
        <f t="shared" si="3"/>
        <v>10428000</v>
      </c>
      <c r="H11" s="188">
        <f t="shared" si="3"/>
        <v>0</v>
      </c>
      <c r="I11" s="188">
        <f t="shared" si="3"/>
        <v>0</v>
      </c>
      <c r="J11" s="188">
        <f t="shared" si="3"/>
        <v>0</v>
      </c>
    </row>
    <row r="12" spans="2:10" x14ac:dyDescent="0.2">
      <c r="B12" s="3" t="s">
        <v>50</v>
      </c>
      <c r="C12" s="183">
        <f t="shared" si="0"/>
        <v>6256800</v>
      </c>
      <c r="D12" s="186">
        <f>D11*0.2</f>
        <v>0</v>
      </c>
      <c r="E12" s="186">
        <f t="shared" ref="E12:J12" si="4">E11*0.2</f>
        <v>0</v>
      </c>
      <c r="F12" s="186">
        <f t="shared" si="4"/>
        <v>4171200</v>
      </c>
      <c r="G12" s="186">
        <f t="shared" si="4"/>
        <v>2085600</v>
      </c>
      <c r="H12" s="186">
        <f t="shared" si="4"/>
        <v>0</v>
      </c>
      <c r="I12" s="186">
        <f t="shared" si="4"/>
        <v>0</v>
      </c>
      <c r="J12" s="186">
        <f t="shared" si="4"/>
        <v>0</v>
      </c>
    </row>
    <row r="13" spans="2:10" x14ac:dyDescent="0.2">
      <c r="B13" s="4" t="s">
        <v>217</v>
      </c>
      <c r="C13" s="188">
        <f t="shared" si="0"/>
        <v>37540800</v>
      </c>
      <c r="D13" s="188">
        <f t="shared" ref="D13:J13" si="5">SUM(D11:D12)</f>
        <v>0</v>
      </c>
      <c r="E13" s="188">
        <f t="shared" si="5"/>
        <v>0</v>
      </c>
      <c r="F13" s="188">
        <f t="shared" si="5"/>
        <v>25027200</v>
      </c>
      <c r="G13" s="188">
        <f t="shared" si="5"/>
        <v>12513600</v>
      </c>
      <c r="H13" s="188">
        <f t="shared" si="5"/>
        <v>0</v>
      </c>
      <c r="I13" s="188">
        <f t="shared" si="5"/>
        <v>0</v>
      </c>
      <c r="J13" s="188">
        <f t="shared" si="5"/>
        <v>0</v>
      </c>
    </row>
    <row r="14" spans="2:10" x14ac:dyDescent="0.2">
      <c r="C14" s="189"/>
      <c r="D14" s="189"/>
      <c r="E14" s="189"/>
      <c r="F14" s="189"/>
      <c r="G14" s="189"/>
      <c r="H14" s="189"/>
      <c r="I14" s="189"/>
      <c r="J14" s="189"/>
    </row>
    <row r="15" spans="2:10" x14ac:dyDescent="0.2">
      <c r="B15" s="123" t="s">
        <v>218</v>
      </c>
      <c r="C15" s="190">
        <f>SUM(D15:J15)</f>
        <v>31284000</v>
      </c>
      <c r="D15" s="191">
        <f>D11</f>
        <v>0</v>
      </c>
      <c r="E15" s="191">
        <f t="shared" ref="E15:J15" si="6">E11</f>
        <v>0</v>
      </c>
      <c r="F15" s="191">
        <f t="shared" si="6"/>
        <v>20856000</v>
      </c>
      <c r="G15" s="191">
        <f t="shared" si="6"/>
        <v>10428000</v>
      </c>
      <c r="H15" s="191">
        <f t="shared" si="6"/>
        <v>0</v>
      </c>
      <c r="I15" s="191">
        <f t="shared" si="6"/>
        <v>0</v>
      </c>
      <c r="J15" s="191">
        <f t="shared" si="6"/>
        <v>0</v>
      </c>
    </row>
    <row r="16" spans="2:10" x14ac:dyDescent="0.2">
      <c r="B16" s="123" t="s">
        <v>343</v>
      </c>
      <c r="C16" s="190">
        <f>SUM(D16:J16)</f>
        <v>31284000</v>
      </c>
      <c r="D16" s="190">
        <f>D9</f>
        <v>0</v>
      </c>
      <c r="E16" s="190">
        <f t="shared" ref="E16:J16" si="7">E9</f>
        <v>0</v>
      </c>
      <c r="F16" s="190">
        <f t="shared" si="7"/>
        <v>20856000</v>
      </c>
      <c r="G16" s="190">
        <f t="shared" si="7"/>
        <v>10428000</v>
      </c>
      <c r="H16" s="190">
        <f t="shared" si="7"/>
        <v>0</v>
      </c>
      <c r="I16" s="190">
        <f t="shared" si="7"/>
        <v>0</v>
      </c>
      <c r="J16" s="190">
        <f t="shared" si="7"/>
        <v>0</v>
      </c>
    </row>
    <row r="17" spans="2:12" x14ac:dyDescent="0.2">
      <c r="B17" s="123" t="s">
        <v>219</v>
      </c>
      <c r="C17" s="190">
        <f>SUM(D17:J17)</f>
        <v>6256800</v>
      </c>
      <c r="D17" s="190">
        <f>D13-D15</f>
        <v>0</v>
      </c>
      <c r="E17" s="190">
        <f t="shared" ref="E17:J17" si="8">E13-E15</f>
        <v>0</v>
      </c>
      <c r="F17" s="190">
        <f t="shared" si="8"/>
        <v>4171200</v>
      </c>
      <c r="G17" s="190">
        <f t="shared" si="8"/>
        <v>2085600</v>
      </c>
      <c r="H17" s="190">
        <f t="shared" si="8"/>
        <v>0</v>
      </c>
      <c r="I17" s="190">
        <f t="shared" si="8"/>
        <v>0</v>
      </c>
      <c r="J17" s="190">
        <f t="shared" si="8"/>
        <v>0</v>
      </c>
    </row>
    <row r="18" spans="2:12" ht="14.65" customHeight="1" x14ac:dyDescent="0.2">
      <c r="B18" s="1" t="s">
        <v>51</v>
      </c>
    </row>
    <row r="20" spans="2:12" x14ac:dyDescent="0.2">
      <c r="B20" s="3"/>
      <c r="C20" s="3"/>
      <c r="D20" s="3" t="s">
        <v>10</v>
      </c>
      <c r="E20" s="3"/>
      <c r="F20" s="3"/>
      <c r="G20" s="3"/>
      <c r="H20" s="3"/>
      <c r="I20" s="3"/>
      <c r="J20" s="3"/>
      <c r="L20" s="2" t="s">
        <v>214</v>
      </c>
    </row>
    <row r="21" spans="2:12" x14ac:dyDescent="0.2">
      <c r="B21" s="4"/>
      <c r="C21" s="4"/>
      <c r="D21" s="5">
        <v>1</v>
      </c>
      <c r="E21" s="5">
        <v>2</v>
      </c>
      <c r="F21" s="5">
        <v>3</v>
      </c>
      <c r="G21" s="5">
        <v>4</v>
      </c>
      <c r="H21" s="5">
        <v>5</v>
      </c>
      <c r="I21" s="5"/>
      <c r="J21" s="5">
        <v>30</v>
      </c>
      <c r="L21" s="2" t="s">
        <v>215</v>
      </c>
    </row>
    <row r="22" spans="2:12" x14ac:dyDescent="0.2">
      <c r="B22" s="6" t="s">
        <v>36</v>
      </c>
      <c r="C22" s="6" t="s">
        <v>9</v>
      </c>
      <c r="D22" s="7">
        <f>D4</f>
        <v>2023</v>
      </c>
      <c r="E22" s="7">
        <f>E4</f>
        <v>2024</v>
      </c>
      <c r="F22" s="7">
        <f>F4</f>
        <v>2025</v>
      </c>
      <c r="G22" s="7">
        <f>G4</f>
        <v>2026</v>
      </c>
      <c r="H22" s="7">
        <v>2025</v>
      </c>
      <c r="I22" s="7" t="s">
        <v>48</v>
      </c>
      <c r="J22" s="7">
        <f>J4</f>
        <v>2052</v>
      </c>
    </row>
    <row r="23" spans="2:12" x14ac:dyDescent="0.2">
      <c r="B23" s="3" t="s">
        <v>341</v>
      </c>
      <c r="C23" s="183">
        <f t="shared" ref="C23:C27" si="9">SUM(D23:J23)</f>
        <v>28155600</v>
      </c>
      <c r="D23" s="183">
        <f t="shared" ref="D23:J23" si="10">SUM(D24:D24)</f>
        <v>0</v>
      </c>
      <c r="E23" s="183">
        <f t="shared" si="10"/>
        <v>0</v>
      </c>
      <c r="F23" s="183">
        <f t="shared" si="10"/>
        <v>18770400</v>
      </c>
      <c r="G23" s="183">
        <f t="shared" si="10"/>
        <v>9385200</v>
      </c>
      <c r="H23" s="183">
        <f t="shared" si="10"/>
        <v>0</v>
      </c>
      <c r="I23" s="183">
        <f t="shared" si="10"/>
        <v>0</v>
      </c>
      <c r="J23" s="183">
        <f t="shared" si="10"/>
        <v>0</v>
      </c>
    </row>
    <row r="24" spans="2:12" x14ac:dyDescent="0.2">
      <c r="B24" s="122" t="s">
        <v>365</v>
      </c>
      <c r="C24" s="184">
        <f t="shared" si="9"/>
        <v>28155600</v>
      </c>
      <c r="D24" s="184">
        <f>D6*Parametre!$C$71</f>
        <v>0</v>
      </c>
      <c r="E24" s="184">
        <f>E6*Parametre!$C$71</f>
        <v>0</v>
      </c>
      <c r="F24" s="184">
        <f>F6*Parametre!$C$71</f>
        <v>18770400</v>
      </c>
      <c r="G24" s="184">
        <f>G6*Parametre!$C$71</f>
        <v>9385200</v>
      </c>
      <c r="H24" s="184">
        <f>H6*Parametre!$C$71</f>
        <v>0</v>
      </c>
      <c r="I24" s="184">
        <f>I6*Parametre!$C$71</f>
        <v>0</v>
      </c>
      <c r="J24" s="184">
        <f>J6*Parametre!$C$71</f>
        <v>0</v>
      </c>
    </row>
    <row r="25" spans="2:12" x14ac:dyDescent="0.2">
      <c r="B25" s="11" t="s">
        <v>340</v>
      </c>
      <c r="C25" s="183">
        <f t="shared" si="9"/>
        <v>0</v>
      </c>
      <c r="D25" s="183">
        <f>D7*Parametre!$C$71</f>
        <v>0</v>
      </c>
      <c r="E25" s="183">
        <f>E7*Parametre!$C$71</f>
        <v>0</v>
      </c>
      <c r="F25" s="183">
        <f>F7*Parametre!$C$71</f>
        <v>0</v>
      </c>
      <c r="G25" s="183">
        <f>G7*Parametre!$C$71</f>
        <v>0</v>
      </c>
      <c r="H25" s="183">
        <f>H7*Parametre!$C$71</f>
        <v>0</v>
      </c>
      <c r="I25" s="183">
        <f>I7*Parametre!$C$71</f>
        <v>0</v>
      </c>
      <c r="J25" s="183">
        <f>J7*Parametre!$C$71</f>
        <v>0</v>
      </c>
    </row>
    <row r="26" spans="2:12" x14ac:dyDescent="0.2">
      <c r="B26" s="3" t="s">
        <v>49</v>
      </c>
      <c r="C26" s="183">
        <f t="shared" si="9"/>
        <v>0</v>
      </c>
      <c r="D26" s="183">
        <f>D8*Parametre!$C$71</f>
        <v>0</v>
      </c>
      <c r="E26" s="183">
        <f>E8*Parametre!$C$71</f>
        <v>0</v>
      </c>
      <c r="F26" s="183">
        <f>F8*Parametre!$C$71</f>
        <v>0</v>
      </c>
      <c r="G26" s="183">
        <f>G8*Parametre!$C$71</f>
        <v>0</v>
      </c>
      <c r="H26" s="183">
        <f>H8*Parametre!$C$71</f>
        <v>0</v>
      </c>
      <c r="I26" s="183">
        <f>I8*Parametre!$C$71</f>
        <v>0</v>
      </c>
      <c r="J26" s="183">
        <f>J8*Parametre!$C$71</f>
        <v>0</v>
      </c>
    </row>
    <row r="27" spans="2:12" x14ac:dyDescent="0.2">
      <c r="B27" s="4" t="s">
        <v>44</v>
      </c>
      <c r="C27" s="188">
        <f t="shared" si="9"/>
        <v>28155600</v>
      </c>
      <c r="D27" s="188">
        <f t="shared" ref="D27:J27" si="11">SUM(D23:D23,D25:D26)</f>
        <v>0</v>
      </c>
      <c r="E27" s="188">
        <f t="shared" si="11"/>
        <v>0</v>
      </c>
      <c r="F27" s="188">
        <f t="shared" si="11"/>
        <v>18770400</v>
      </c>
      <c r="G27" s="188">
        <f t="shared" si="11"/>
        <v>9385200</v>
      </c>
      <c r="H27" s="188">
        <f t="shared" si="11"/>
        <v>0</v>
      </c>
      <c r="I27" s="188">
        <f t="shared" si="11"/>
        <v>0</v>
      </c>
      <c r="J27" s="188">
        <f t="shared" si="11"/>
        <v>0</v>
      </c>
    </row>
    <row r="28" spans="2:12" x14ac:dyDescent="0.2">
      <c r="B28" s="10"/>
      <c r="C28" s="34"/>
      <c r="D28" s="34"/>
      <c r="E28" s="34"/>
      <c r="F28" s="34"/>
      <c r="G28" s="34"/>
      <c r="H28" s="34"/>
      <c r="I28" s="34"/>
      <c r="J28" s="34"/>
    </row>
    <row r="29" spans="2:12" x14ac:dyDescent="0.2">
      <c r="B29" s="10" t="s">
        <v>338</v>
      </c>
      <c r="C29" s="34"/>
      <c r="D29" s="34"/>
      <c r="E29" s="34"/>
      <c r="F29" s="34"/>
      <c r="G29" s="34"/>
      <c r="H29" s="34"/>
      <c r="I29" s="34"/>
      <c r="J29" s="34"/>
    </row>
    <row r="30" spans="2:12" x14ac:dyDescent="0.2">
      <c r="B30" s="119" t="s">
        <v>341</v>
      </c>
    </row>
    <row r="31" spans="2:12" x14ac:dyDescent="0.2">
      <c r="B31" s="120" t="s">
        <v>345</v>
      </c>
    </row>
    <row r="32" spans="2:12" x14ac:dyDescent="0.2">
      <c r="B32" s="119" t="s">
        <v>340</v>
      </c>
    </row>
    <row r="33" spans="2:14" x14ac:dyDescent="0.2">
      <c r="B33" s="120" t="s">
        <v>344</v>
      </c>
    </row>
    <row r="34" spans="2:14" x14ac:dyDescent="0.2">
      <c r="B34" s="121" t="s">
        <v>211</v>
      </c>
    </row>
    <row r="35" spans="2:14" x14ac:dyDescent="0.2">
      <c r="B35" s="1" t="s">
        <v>346</v>
      </c>
    </row>
    <row r="36" spans="2:14" x14ac:dyDescent="0.2">
      <c r="B36" s="119" t="s">
        <v>212</v>
      </c>
    </row>
    <row r="37" spans="2:14" x14ac:dyDescent="0.2">
      <c r="B37" s="120" t="s">
        <v>213</v>
      </c>
    </row>
    <row r="38" spans="2:14" ht="12" thickBot="1" x14ac:dyDescent="0.25"/>
    <row r="39" spans="2:14" x14ac:dyDescent="0.2">
      <c r="B39" s="550" t="s">
        <v>487</v>
      </c>
      <c r="C39" s="553" t="s">
        <v>488</v>
      </c>
      <c r="D39" s="404">
        <v>1</v>
      </c>
      <c r="E39" s="405">
        <v>2</v>
      </c>
      <c r="F39" s="405">
        <v>3</v>
      </c>
      <c r="G39" s="405">
        <v>4</v>
      </c>
      <c r="H39" s="405">
        <v>5</v>
      </c>
      <c r="I39" s="405"/>
      <c r="J39" s="405"/>
      <c r="K39" s="405"/>
      <c r="L39" s="405"/>
      <c r="M39" s="405"/>
      <c r="N39" s="405"/>
    </row>
    <row r="40" spans="2:14" ht="12" thickBot="1" x14ac:dyDescent="0.25">
      <c r="B40" s="551"/>
      <c r="C40" s="554"/>
      <c r="D40" s="406">
        <v>2023</v>
      </c>
      <c r="E40" s="406">
        <v>2024</v>
      </c>
      <c r="F40" s="406">
        <v>2025</v>
      </c>
      <c r="G40" s="406">
        <v>2026</v>
      </c>
      <c r="H40" s="406">
        <v>2027</v>
      </c>
      <c r="I40" s="406">
        <v>2028</v>
      </c>
      <c r="J40" s="406">
        <v>2029</v>
      </c>
      <c r="K40" s="406">
        <v>2030</v>
      </c>
      <c r="L40" s="406">
        <v>2031</v>
      </c>
      <c r="M40" s="406">
        <v>2032</v>
      </c>
      <c r="N40" s="406">
        <v>2033</v>
      </c>
    </row>
    <row r="41" spans="2:14" ht="13.5" thickBot="1" x14ac:dyDescent="0.25">
      <c r="B41" s="552"/>
      <c r="C41" s="407">
        <f>SUM(D41:W41)</f>
        <v>35490876.795000002</v>
      </c>
      <c r="D41" s="408">
        <v>0</v>
      </c>
      <c r="E41" s="409">
        <v>0</v>
      </c>
      <c r="F41" s="409">
        <v>61525.200000000004</v>
      </c>
      <c r="G41" s="409">
        <v>3719432.9699999997</v>
      </c>
      <c r="H41" s="409">
        <v>5436508.0707142856</v>
      </c>
      <c r="I41" s="409">
        <v>5274290.5992857143</v>
      </c>
      <c r="J41" s="409">
        <v>5112073.1278571431</v>
      </c>
      <c r="K41" s="409">
        <v>4949855.6564285718</v>
      </c>
      <c r="L41" s="409">
        <v>4787638.1850000005</v>
      </c>
      <c r="M41" s="409">
        <v>4625420.7135714293</v>
      </c>
      <c r="N41" s="410">
        <v>1524132.2721428571</v>
      </c>
    </row>
  </sheetData>
  <sheetProtection algorithmName="SHA-512" hashValue="oBvlCw3xTC3PMnq1jNU03AU4Bkv8sEDsraFQ+5HPKBslwE+6XVAMIm/cK/J+4j/kagWZXmoLFqHzs3WNVJ+zJQ==" saltValue="BLXZk9lCrEmq9Y8KaAcsWQ==" spinCount="100000" sheet="1" formatCells="0" formatColumns="0" formatRows="0" insertColumns="0" insertRows="0" insertHyperlinks="0" deleteColumns="0" deleteRows="0" sort="0" autoFilter="0" pivotTables="0"/>
  <mergeCells count="2">
    <mergeCell ref="B39:B41"/>
    <mergeCell ref="C39:C40"/>
  </mergeCells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9 F9:J9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029B6-58AB-453D-A43E-82A6DDFAA207}">
  <sheetPr>
    <tabColor rgb="FFFFC000"/>
  </sheetPr>
  <dimension ref="B1:L32"/>
  <sheetViews>
    <sheetView zoomScaleNormal="100" workbookViewId="0">
      <selection activeCell="C14" sqref="C14"/>
    </sheetView>
  </sheetViews>
  <sheetFormatPr defaultColWidth="9.140625" defaultRowHeight="11.25" x14ac:dyDescent="0.2"/>
  <cols>
    <col min="1" max="1" width="2.7109375" style="2" customWidth="1"/>
    <col min="2" max="2" width="64.42578125" style="2" customWidth="1"/>
    <col min="3" max="3" width="15.140625" style="2" customWidth="1"/>
    <col min="4" max="7" width="13.7109375" style="2" customWidth="1"/>
    <col min="8" max="12" width="14.140625" style="2" customWidth="1"/>
    <col min="13" max="36" width="5" style="2" bestFit="1" customWidth="1"/>
    <col min="37" max="16384" width="9.140625" style="2"/>
  </cols>
  <sheetData>
    <row r="1" spans="2:12" ht="12" thickBot="1" x14ac:dyDescent="0.25"/>
    <row r="2" spans="2:12" x14ac:dyDescent="0.2">
      <c r="B2" s="10" t="s">
        <v>80</v>
      </c>
      <c r="H2" s="54" t="s">
        <v>81</v>
      </c>
      <c r="I2" s="55" t="s">
        <v>82</v>
      </c>
    </row>
    <row r="3" spans="2:12" ht="56.25" x14ac:dyDescent="0.2">
      <c r="B3" s="48" t="s">
        <v>30</v>
      </c>
      <c r="C3" s="49" t="s">
        <v>348</v>
      </c>
      <c r="D3" s="49" t="s">
        <v>64</v>
      </c>
      <c r="E3" s="49" t="s">
        <v>28</v>
      </c>
      <c r="F3" s="49" t="s">
        <v>27</v>
      </c>
      <c r="G3" s="50" t="s">
        <v>29</v>
      </c>
      <c r="H3" s="402" t="s">
        <v>16</v>
      </c>
      <c r="I3" s="403" t="s">
        <v>16</v>
      </c>
      <c r="L3" s="2" t="s">
        <v>214</v>
      </c>
    </row>
    <row r="4" spans="2:12" x14ac:dyDescent="0.2">
      <c r="B4" s="11" t="s">
        <v>365</v>
      </c>
      <c r="C4" s="13">
        <v>35</v>
      </c>
      <c r="D4" s="126">
        <f>Parametre!C12-('01 Investičné výdavky - zánovné'!F4-Parametre!C13+1)</f>
        <v>27</v>
      </c>
      <c r="E4" s="12">
        <v>0</v>
      </c>
      <c r="F4" s="13">
        <f>C4+(E4*C4)</f>
        <v>35</v>
      </c>
      <c r="G4" s="51">
        <f>(F4-D4)/C4</f>
        <v>0.22857142857142856</v>
      </c>
      <c r="H4" s="192">
        <f>'01 Investičné výdavky - zánovné'!F6*'02 Zostatková hodnota - zánovné'!G4</f>
        <v>4767085.7142857146</v>
      </c>
      <c r="I4" s="193">
        <f>H4*Parametre!$C$71</f>
        <v>4290377.1428571437</v>
      </c>
      <c r="L4" s="2" t="s">
        <v>215</v>
      </c>
    </row>
    <row r="5" spans="2:12" x14ac:dyDescent="0.2">
      <c r="B5" s="11" t="s">
        <v>365</v>
      </c>
      <c r="C5" s="13">
        <v>35</v>
      </c>
      <c r="D5" s="126">
        <f>Parametre!C12-('01 Investičné výdavky - zánovné'!G4-Parametre!C13+1)</f>
        <v>26</v>
      </c>
      <c r="E5" s="12">
        <v>0</v>
      </c>
      <c r="F5" s="13">
        <f>C5+(E5*C5)</f>
        <v>35</v>
      </c>
      <c r="G5" s="51">
        <f>(F5-D5)/C5</f>
        <v>0.25714285714285712</v>
      </c>
      <c r="H5" s="192">
        <f>'01 Investičné výdavky - zánovné'!G6*'02 Zostatková hodnota - zánovné'!G5</f>
        <v>2681485.7142857141</v>
      </c>
      <c r="I5" s="193">
        <f>H5*Parametre!$C$71</f>
        <v>2413337.1428571427</v>
      </c>
    </row>
    <row r="6" spans="2:12" ht="12" thickBot="1" x14ac:dyDescent="0.25">
      <c r="B6" s="11" t="s">
        <v>322</v>
      </c>
      <c r="C6" s="13">
        <v>30</v>
      </c>
      <c r="D6" s="126">
        <f>Parametre!C12-('01 Investičné výdavky - zánovné'!D4-Parametre!C13+1)</f>
        <v>29</v>
      </c>
      <c r="E6" s="12">
        <v>0</v>
      </c>
      <c r="F6" s="13">
        <f t="shared" ref="F6" si="0">C6+(E6*C6)</f>
        <v>30</v>
      </c>
      <c r="G6" s="51">
        <f t="shared" ref="G6" si="1">(F6-D6)/C6</f>
        <v>3.3333333333333333E-2</v>
      </c>
      <c r="H6" s="192">
        <f>'01 Investičné výdavky - nové'!C7</f>
        <v>0</v>
      </c>
      <c r="I6" s="193">
        <f>H6*Parametre!$C$71</f>
        <v>0</v>
      </c>
    </row>
    <row r="7" spans="2:12" ht="12" thickBot="1" x14ac:dyDescent="0.25">
      <c r="B7" s="4" t="s">
        <v>16</v>
      </c>
      <c r="C7" s="3"/>
      <c r="D7" s="3"/>
      <c r="E7" s="3"/>
      <c r="F7" s="3"/>
      <c r="G7" s="20"/>
      <c r="H7" s="194">
        <f>SUM(H4:H6)</f>
        <v>7448571.4285714291</v>
      </c>
      <c r="I7" s="195">
        <f>SUM(I4:I6)</f>
        <v>6703714.2857142864</v>
      </c>
    </row>
    <row r="8" spans="2:12" x14ac:dyDescent="0.2">
      <c r="B8" s="14" t="s">
        <v>347</v>
      </c>
    </row>
    <row r="9" spans="2:12" x14ac:dyDescent="0.2">
      <c r="B9" s="1" t="s">
        <v>349</v>
      </c>
    </row>
    <row r="11" spans="2:12" x14ac:dyDescent="0.2">
      <c r="B11" s="10" t="s">
        <v>83</v>
      </c>
    </row>
    <row r="12" spans="2:12" x14ac:dyDescent="0.2">
      <c r="B12" s="20" t="s">
        <v>31</v>
      </c>
      <c r="C12" s="168">
        <f>MIN(H7,C22)</f>
        <v>5708235.1148613477</v>
      </c>
      <c r="D12" s="34"/>
    </row>
    <row r="13" spans="2:12" x14ac:dyDescent="0.2">
      <c r="B13" s="20" t="s">
        <v>42</v>
      </c>
      <c r="C13" s="168">
        <f>MIN(I7,C32)</f>
        <v>1041255.9265804129</v>
      </c>
      <c r="D13" s="18"/>
    </row>
    <row r="14" spans="2:12" x14ac:dyDescent="0.2">
      <c r="B14" s="1" t="s">
        <v>84</v>
      </c>
    </row>
    <row r="16" spans="2:12" x14ac:dyDescent="0.2">
      <c r="B16" s="325" t="s">
        <v>444</v>
      </c>
      <c r="C16" s="168">
        <f>(('01 Investičné výdavky - zánovné'!F6*F4+'01 Investičné výdavky - zánovné'!G6*F5)/'01 Investičné výdavky - zánovné'!C6)-AVERAGE(D4:D5)</f>
        <v>8.5</v>
      </c>
    </row>
    <row r="18" spans="2:12" x14ac:dyDescent="0.2">
      <c r="D18" s="2">
        <v>1</v>
      </c>
      <c r="E18" s="2">
        <v>2</v>
      </c>
      <c r="F18" s="2">
        <v>3</v>
      </c>
      <c r="G18" s="2">
        <v>4</v>
      </c>
      <c r="H18" s="2">
        <v>5</v>
      </c>
      <c r="I18" s="2">
        <v>6</v>
      </c>
      <c r="J18" s="2">
        <v>7</v>
      </c>
      <c r="K18" s="2">
        <v>8</v>
      </c>
      <c r="L18" s="2">
        <v>9</v>
      </c>
    </row>
    <row r="19" spans="2:12" x14ac:dyDescent="0.2">
      <c r="B19" s="326" t="s">
        <v>445</v>
      </c>
      <c r="C19" s="327" t="s">
        <v>9</v>
      </c>
      <c r="D19" s="328">
        <f>$D$18+Parametre!C16</f>
        <v>2053</v>
      </c>
      <c r="E19" s="328">
        <f>D19+$D$18</f>
        <v>2054</v>
      </c>
      <c r="F19" s="328">
        <f t="shared" ref="F19:G19" si="2">E19+$D$18</f>
        <v>2055</v>
      </c>
      <c r="G19" s="328">
        <f t="shared" si="2"/>
        <v>2056</v>
      </c>
      <c r="H19" s="328">
        <f t="shared" ref="H19" si="3">G19+$D$18</f>
        <v>2057</v>
      </c>
      <c r="I19" s="328">
        <f t="shared" ref="I19" si="4">H19+$D$18</f>
        <v>2058</v>
      </c>
      <c r="J19" s="328">
        <f t="shared" ref="J19" si="5">I19+$D$18</f>
        <v>2059</v>
      </c>
      <c r="K19" s="328">
        <f t="shared" ref="K19" si="6">J19+$D$18</f>
        <v>2060</v>
      </c>
      <c r="L19" s="328">
        <f t="shared" ref="L19" si="7">K19+$D$18</f>
        <v>2061</v>
      </c>
    </row>
    <row r="20" spans="2:12" x14ac:dyDescent="0.2">
      <c r="B20" s="129" t="s">
        <v>446</v>
      </c>
      <c r="C20" s="329">
        <f>SUM(D20:L20)</f>
        <v>-1285431.7415640019</v>
      </c>
      <c r="D20" s="330">
        <f>AVERAGE('06 Finančná analýza - zánovné'!D6:AG6)</f>
        <v>-142825.74906266687</v>
      </c>
      <c r="E20" s="330">
        <f>D20</f>
        <v>-142825.74906266687</v>
      </c>
      <c r="F20" s="330">
        <f t="shared" ref="F20:G21" si="8">E20</f>
        <v>-142825.74906266687</v>
      </c>
      <c r="G20" s="330">
        <f t="shared" si="8"/>
        <v>-142825.74906266687</v>
      </c>
      <c r="H20" s="330">
        <f t="shared" ref="H20:H21" si="9">G20</f>
        <v>-142825.74906266687</v>
      </c>
      <c r="I20" s="330">
        <f t="shared" ref="I20:I21" si="10">H20</f>
        <v>-142825.74906266687</v>
      </c>
      <c r="J20" s="330">
        <f t="shared" ref="J20:J21" si="11">I20</f>
        <v>-142825.74906266687</v>
      </c>
      <c r="K20" s="330">
        <f t="shared" ref="K20:K21" si="12">J20</f>
        <v>-142825.74906266687</v>
      </c>
      <c r="L20" s="330">
        <f t="shared" ref="L20:L21" si="13">K20</f>
        <v>-142825.74906266687</v>
      </c>
    </row>
    <row r="21" spans="2:12" x14ac:dyDescent="0.2">
      <c r="B21" s="129" t="s">
        <v>447</v>
      </c>
      <c r="C21" s="329">
        <f>SUM(D21:L21)</f>
        <v>5624026.8710150076</v>
      </c>
      <c r="D21" s="330">
        <f>AVERAGE('06 Finančná analýza - zánovné'!D7:AG7)</f>
        <v>624891.87455722294</v>
      </c>
      <c r="E21" s="330">
        <f>D21</f>
        <v>624891.87455722294</v>
      </c>
      <c r="F21" s="330">
        <f t="shared" si="8"/>
        <v>624891.87455722294</v>
      </c>
      <c r="G21" s="330">
        <f t="shared" si="8"/>
        <v>624891.87455722294</v>
      </c>
      <c r="H21" s="330">
        <f t="shared" si="9"/>
        <v>624891.87455722294</v>
      </c>
      <c r="I21" s="330">
        <f t="shared" si="10"/>
        <v>624891.87455722294</v>
      </c>
      <c r="J21" s="330">
        <f t="shared" si="11"/>
        <v>624891.87455722294</v>
      </c>
      <c r="K21" s="330">
        <f t="shared" si="12"/>
        <v>624891.87455722294</v>
      </c>
      <c r="L21" s="330">
        <f t="shared" si="13"/>
        <v>624891.87455722294</v>
      </c>
    </row>
    <row r="22" spans="2:12" ht="15.75" x14ac:dyDescent="0.25">
      <c r="B22" s="331" t="s">
        <v>448</v>
      </c>
      <c r="C22" s="332">
        <f>IF(SUM(D22:L22)&lt;0,0,(SUM(D22:L22)))</f>
        <v>5708235.1148613477</v>
      </c>
      <c r="D22" s="333">
        <f>(D21-D20)/((1+Parametre!$C$9)^(D18))</f>
        <v>738190.02271143254</v>
      </c>
      <c r="E22" s="333">
        <f>(E21-E20)/((1+Parametre!$C$9)^(E18))</f>
        <v>709798.09876099275</v>
      </c>
      <c r="F22" s="333">
        <f>(F21-F20)/((1+Parametre!$C$9)^(F18))</f>
        <v>682498.17188556993</v>
      </c>
      <c r="G22" s="333">
        <f>(G21-G20)/((1+Parametre!$C$9)^(G18))</f>
        <v>656248.24219766341</v>
      </c>
      <c r="H22" s="333">
        <f>(H21-H20)/((1+Parametre!$C$9)^(H18))</f>
        <v>631007.92519006087</v>
      </c>
      <c r="I22" s="333">
        <f>(I21-I20)/((1+Parametre!$C$9)^(I18))</f>
        <v>606738.38960582775</v>
      </c>
      <c r="J22" s="333">
        <f>(J21-J20)/((1+Parametre!$C$9)^(J18))</f>
        <v>583402.29769791139</v>
      </c>
      <c r="K22" s="333">
        <f>(K21-K20)/((1+Parametre!$C$9)^(K18))</f>
        <v>560963.74778645311</v>
      </c>
      <c r="L22" s="333">
        <f>(L21-L20)/((1+Parametre!$C$9)^(L18))</f>
        <v>539388.21902543562</v>
      </c>
    </row>
    <row r="25" spans="2:12" x14ac:dyDescent="0.2">
      <c r="B25" s="325" t="s">
        <v>449</v>
      </c>
      <c r="C25" s="168">
        <f>(('01 Investičné výdavky - zánovné'!F24*F4+'01 Investičné výdavky - zánovné'!G24*F5)/'01 Investičné výdavky - zánovné'!C24)-AVERAGE(D4:D5)</f>
        <v>8.5</v>
      </c>
    </row>
    <row r="27" spans="2:12" x14ac:dyDescent="0.2">
      <c r="D27" s="2">
        <v>1</v>
      </c>
      <c r="E27" s="2">
        <v>2</v>
      </c>
      <c r="F27" s="2">
        <v>3</v>
      </c>
      <c r="G27" s="2">
        <v>4</v>
      </c>
      <c r="H27" s="2">
        <v>5</v>
      </c>
      <c r="I27" s="2">
        <v>6</v>
      </c>
      <c r="J27" s="2">
        <v>7</v>
      </c>
      <c r="K27" s="2">
        <v>8</v>
      </c>
      <c r="L27" s="2">
        <v>9</v>
      </c>
    </row>
    <row r="28" spans="2:12" x14ac:dyDescent="0.2">
      <c r="B28" s="326" t="s">
        <v>450</v>
      </c>
      <c r="C28" s="327" t="s">
        <v>9</v>
      </c>
      <c r="D28" s="328">
        <f>D19</f>
        <v>2053</v>
      </c>
      <c r="E28" s="328">
        <f t="shared" ref="E28:G28" si="14">E19</f>
        <v>2054</v>
      </c>
      <c r="F28" s="328">
        <f t="shared" si="14"/>
        <v>2055</v>
      </c>
      <c r="G28" s="328">
        <f t="shared" si="14"/>
        <v>2056</v>
      </c>
      <c r="H28" s="328">
        <f t="shared" ref="H28:L28" si="15">H19</f>
        <v>2057</v>
      </c>
      <c r="I28" s="328">
        <f t="shared" si="15"/>
        <v>2058</v>
      </c>
      <c r="J28" s="328">
        <f t="shared" si="15"/>
        <v>2059</v>
      </c>
      <c r="K28" s="328">
        <f t="shared" si="15"/>
        <v>2060</v>
      </c>
      <c r="L28" s="328">
        <f t="shared" si="15"/>
        <v>2061</v>
      </c>
    </row>
    <row r="29" spans="2:12" x14ac:dyDescent="0.2">
      <c r="B29" s="129" t="str">
        <f>'08 Ekonomická analýza - zánovné'!B5</f>
        <v>Investičné náklady</v>
      </c>
      <c r="C29" s="329">
        <f t="shared" ref="C29:C31" si="16">SUM(D29:L29)</f>
        <v>0</v>
      </c>
      <c r="D29" s="330">
        <v>0</v>
      </c>
      <c r="E29" s="330">
        <f>D29</f>
        <v>0</v>
      </c>
      <c r="F29" s="330">
        <f t="shared" ref="F29:G29" si="17">E29</f>
        <v>0</v>
      </c>
      <c r="G29" s="330">
        <f t="shared" si="17"/>
        <v>0</v>
      </c>
      <c r="H29" s="330">
        <f t="shared" ref="H29:H31" si="18">G29</f>
        <v>0</v>
      </c>
      <c r="I29" s="330">
        <f t="shared" ref="I29:I31" si="19">H29</f>
        <v>0</v>
      </c>
      <c r="J29" s="330">
        <f t="shared" ref="J29:J31" si="20">I29</f>
        <v>0</v>
      </c>
      <c r="K29" s="330">
        <f t="shared" ref="K29:K31" si="21">J29</f>
        <v>0</v>
      </c>
      <c r="L29" s="330">
        <f t="shared" ref="L29:L31" si="22">K29</f>
        <v>0</v>
      </c>
    </row>
    <row r="30" spans="2:12" x14ac:dyDescent="0.2">
      <c r="B30" s="129" t="str">
        <f>'08 Ekonomická analýza - zánovné'!B6</f>
        <v>Prevádzkové náklady</v>
      </c>
      <c r="C30" s="329">
        <f t="shared" si="16"/>
        <v>1156888.5674076036</v>
      </c>
      <c r="D30" s="330">
        <f>AVERAGE('08 Ekonomická analýza - zánovné'!D6:AG6)</f>
        <v>128543.17415640043</v>
      </c>
      <c r="E30" s="330">
        <f t="shared" ref="E30:G31" si="23">D30</f>
        <v>128543.17415640043</v>
      </c>
      <c r="F30" s="330">
        <f t="shared" si="23"/>
        <v>128543.17415640043</v>
      </c>
      <c r="G30" s="330">
        <f t="shared" si="23"/>
        <v>128543.17415640043</v>
      </c>
      <c r="H30" s="330">
        <f t="shared" si="18"/>
        <v>128543.17415640043</v>
      </c>
      <c r="I30" s="330">
        <f t="shared" si="19"/>
        <v>128543.17415640043</v>
      </c>
      <c r="J30" s="330">
        <f t="shared" si="20"/>
        <v>128543.17415640043</v>
      </c>
      <c r="K30" s="330">
        <f t="shared" si="21"/>
        <v>128543.17415640043</v>
      </c>
      <c r="L30" s="330">
        <f t="shared" si="22"/>
        <v>128543.17415640043</v>
      </c>
    </row>
    <row r="31" spans="2:12" x14ac:dyDescent="0.2">
      <c r="B31" s="129" t="str">
        <f>'08 Ekonomická analýza - zánovné'!B7</f>
        <v>Čas cestujúcich</v>
      </c>
      <c r="C31" s="329">
        <f t="shared" si="16"/>
        <v>161560.84886514823</v>
      </c>
      <c r="D31" s="330">
        <f>AVERAGE('08 Ekonomická analýza - zánovné'!D7:AG7)</f>
        <v>17951.205429460915</v>
      </c>
      <c r="E31" s="330">
        <f t="shared" si="23"/>
        <v>17951.205429460915</v>
      </c>
      <c r="F31" s="330">
        <f t="shared" si="23"/>
        <v>17951.205429460915</v>
      </c>
      <c r="G31" s="330">
        <f t="shared" si="23"/>
        <v>17951.205429460915</v>
      </c>
      <c r="H31" s="330">
        <f t="shared" si="18"/>
        <v>17951.205429460915</v>
      </c>
      <c r="I31" s="330">
        <f t="shared" si="19"/>
        <v>17951.205429460915</v>
      </c>
      <c r="J31" s="330">
        <f t="shared" si="20"/>
        <v>17951.205429460915</v>
      </c>
      <c r="K31" s="330">
        <f t="shared" si="21"/>
        <v>17951.205429460915</v>
      </c>
      <c r="L31" s="330">
        <f t="shared" si="22"/>
        <v>17951.205429460915</v>
      </c>
    </row>
    <row r="32" spans="2:12" ht="15.75" x14ac:dyDescent="0.25">
      <c r="B32" s="331" t="s">
        <v>448</v>
      </c>
      <c r="C32" s="332">
        <f>IF(SUM(D32:L32)&lt;0,0,(SUM(D32:L32)))</f>
        <v>1041255.9265804129</v>
      </c>
      <c r="D32" s="333">
        <f>(D31+D30+D29)/((1+Parametre!$C$10)^(D27))</f>
        <v>139518.45674843938</v>
      </c>
      <c r="E32" s="333">
        <f>(E31+E30+E29)/((1+Parametre!$C$10)^(E27))</f>
        <v>132874.7207127994</v>
      </c>
      <c r="F32" s="333">
        <f>(F31+F30+F29)/((1+Parametre!$C$10)^(F27))</f>
        <v>126547.35305980894</v>
      </c>
      <c r="G32" s="333">
        <f>(G31+G30+G29)/((1+Parametre!$C$10)^(G27))</f>
        <v>120521.28862838948</v>
      </c>
      <c r="H32" s="333">
        <f>(H31+H30+H29)/((1+Parametre!$C$10)^(H27))</f>
        <v>114782.17964608521</v>
      </c>
      <c r="I32" s="333">
        <f>(I31+I30+I29)/((1+Parametre!$C$10)^(I27))</f>
        <v>109316.36156770021</v>
      </c>
      <c r="J32" s="333">
        <f>(J31+J30+J29)/((1+Parametre!$C$10)^(J27))</f>
        <v>104110.82054066686</v>
      </c>
      <c r="K32" s="333">
        <f>(K31+K30+K29)/((1+Parametre!$C$10)^(K27))</f>
        <v>99153.162419682732</v>
      </c>
      <c r="L32" s="333">
        <f>(L31+L30+L29)/((1+Parametre!$C$10)^(L27))</f>
        <v>94431.583256840691</v>
      </c>
    </row>
  </sheetData>
  <sheetProtection algorithmName="SHA-512" hashValue="hpFJcUNw/MqDabiFelLCzKqPUtCEnIHUx7UKToiI8uiJGX9T/eMO5tY8ho44WEDhgvOL4tevI16UpsBE1jvulA==" saltValue="vIYM2vG72mTJGTYBQTcWog==" spinCount="100000" sheet="1" formatCells="0" formatColumns="0" formatRows="0" insertColumns="0" insertRows="0" insertHyperlinks="0" deleteColumns="0" deleteRows="0" sort="0" autoFilter="0" pivotTables="0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3C65-97BE-4B7E-BEEC-A0DD4ACA9D52}">
  <sheetPr>
    <tabColor rgb="FFFFFF00"/>
  </sheetPr>
  <dimension ref="B2:AG48"/>
  <sheetViews>
    <sheetView zoomScaleNormal="100" workbookViewId="0">
      <selection activeCell="J11" sqref="J11"/>
    </sheetView>
  </sheetViews>
  <sheetFormatPr defaultColWidth="9.140625" defaultRowHeight="11.25" x14ac:dyDescent="0.2"/>
  <cols>
    <col min="1" max="1" width="2" style="2" customWidth="1"/>
    <col min="2" max="2" width="40.7109375" style="2" customWidth="1"/>
    <col min="3" max="3" width="14.42578125" style="2" customWidth="1"/>
    <col min="4" max="33" width="12.7109375" style="2" customWidth="1"/>
    <col min="34" max="16384" width="9.140625" style="2"/>
  </cols>
  <sheetData>
    <row r="2" spans="2:33" x14ac:dyDescent="0.2"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 t="s">
        <v>52</v>
      </c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</row>
    <row r="4" spans="2:33" x14ac:dyDescent="0.2">
      <c r="B4" s="6" t="s">
        <v>32</v>
      </c>
      <c r="C4" s="6" t="s">
        <v>9</v>
      </c>
      <c r="D4" s="15">
        <v>2023</v>
      </c>
      <c r="E4" s="15">
        <f>$D$4+D3</f>
        <v>2024</v>
      </c>
      <c r="F4" s="15">
        <f>$D$4+E3</f>
        <v>2025</v>
      </c>
      <c r="G4" s="15">
        <f>$D$4+F3</f>
        <v>2026</v>
      </c>
      <c r="H4" s="15">
        <f t="shared" ref="H4:AG4" si="0">$D$4+G3</f>
        <v>2027</v>
      </c>
      <c r="I4" s="15">
        <f t="shared" si="0"/>
        <v>2028</v>
      </c>
      <c r="J4" s="15">
        <f t="shared" si="0"/>
        <v>2029</v>
      </c>
      <c r="K4" s="15">
        <f t="shared" si="0"/>
        <v>2030</v>
      </c>
      <c r="L4" s="15">
        <f t="shared" si="0"/>
        <v>2031</v>
      </c>
      <c r="M4" s="15">
        <f t="shared" si="0"/>
        <v>2032</v>
      </c>
      <c r="N4" s="15">
        <f t="shared" si="0"/>
        <v>2033</v>
      </c>
      <c r="O4" s="15">
        <f t="shared" si="0"/>
        <v>2034</v>
      </c>
      <c r="P4" s="15">
        <f t="shared" si="0"/>
        <v>2035</v>
      </c>
      <c r="Q4" s="15">
        <f t="shared" si="0"/>
        <v>2036</v>
      </c>
      <c r="R4" s="15">
        <f t="shared" si="0"/>
        <v>2037</v>
      </c>
      <c r="S4" s="15">
        <f t="shared" si="0"/>
        <v>2038</v>
      </c>
      <c r="T4" s="15">
        <f t="shared" si="0"/>
        <v>2039</v>
      </c>
      <c r="U4" s="15">
        <f t="shared" si="0"/>
        <v>2040</v>
      </c>
      <c r="V4" s="15">
        <f t="shared" si="0"/>
        <v>2041</v>
      </c>
      <c r="W4" s="15">
        <f t="shared" si="0"/>
        <v>2042</v>
      </c>
      <c r="X4" s="15">
        <f t="shared" si="0"/>
        <v>2043</v>
      </c>
      <c r="Y4" s="15">
        <f t="shared" si="0"/>
        <v>2044</v>
      </c>
      <c r="Z4" s="15">
        <f t="shared" si="0"/>
        <v>2045</v>
      </c>
      <c r="AA4" s="15">
        <f t="shared" si="0"/>
        <v>2046</v>
      </c>
      <c r="AB4" s="15">
        <f t="shared" si="0"/>
        <v>2047</v>
      </c>
      <c r="AC4" s="15">
        <f t="shared" si="0"/>
        <v>2048</v>
      </c>
      <c r="AD4" s="15">
        <f t="shared" si="0"/>
        <v>2049</v>
      </c>
      <c r="AE4" s="15">
        <f t="shared" si="0"/>
        <v>2050</v>
      </c>
      <c r="AF4" s="15">
        <f t="shared" si="0"/>
        <v>2051</v>
      </c>
      <c r="AG4" s="15">
        <f t="shared" si="0"/>
        <v>2052</v>
      </c>
    </row>
    <row r="5" spans="2:33" x14ac:dyDescent="0.2">
      <c r="B5" s="3" t="s">
        <v>353</v>
      </c>
      <c r="C5" s="183">
        <f t="shared" ref="C5:C10" si="1">SUM(D5:AG5)</f>
        <v>190726544.88592482</v>
      </c>
      <c r="D5" s="186">
        <v>4599498.7706820788</v>
      </c>
      <c r="E5" s="186">
        <v>4807184.9321360365</v>
      </c>
      <c r="F5" s="186">
        <v>4980632.0697371401</v>
      </c>
      <c r="G5" s="186">
        <v>5071569.6548795328</v>
      </c>
      <c r="H5" s="186">
        <v>5164491.4176125219</v>
      </c>
      <c r="I5" s="186">
        <v>5259440.6509343181</v>
      </c>
      <c r="J5" s="186">
        <v>5356461.5924580228</v>
      </c>
      <c r="K5" s="186">
        <v>5455599.4450222887</v>
      </c>
      <c r="L5" s="186">
        <v>5556900.3977516806</v>
      </c>
      <c r="M5" s="186">
        <v>5660411.6475765677</v>
      </c>
      <c r="N5" s="186">
        <v>5766181.4212225508</v>
      </c>
      <c r="O5" s="186">
        <v>5874258.9976796824</v>
      </c>
      <c r="P5" s="186">
        <v>5984694.7311619474</v>
      </c>
      <c r="Q5" s="186">
        <v>6097540.0745676924</v>
      </c>
      <c r="R5" s="186">
        <v>6212847.6034519495</v>
      </c>
      <c r="S5" s="186">
        <v>6330671.0405218136</v>
      </c>
      <c r="T5" s="186">
        <v>6451065.2806662805</v>
      </c>
      <c r="U5" s="186">
        <v>6574086.4165322175</v>
      </c>
      <c r="V5" s="186">
        <v>6699791.7646583822</v>
      </c>
      <c r="W5" s="186">
        <v>6828239.8921796605</v>
      </c>
      <c r="X5" s="186">
        <v>6959490.6441139635</v>
      </c>
      <c r="Y5" s="186">
        <v>7093605.1712445077</v>
      </c>
      <c r="Z5" s="186">
        <v>7230645.9586104527</v>
      </c>
      <c r="AA5" s="186">
        <v>7370676.8546191929</v>
      </c>
      <c r="AB5" s="186">
        <v>7513763.1007938338</v>
      </c>
      <c r="AC5" s="186">
        <v>7659971.3621697538</v>
      </c>
      <c r="AD5" s="186">
        <v>7809369.7583543733</v>
      </c>
      <c r="AE5" s="186">
        <v>7962027.8952646386</v>
      </c>
      <c r="AF5" s="186">
        <v>8118016.897556968</v>
      </c>
      <c r="AG5" s="186">
        <v>8277409.441764812</v>
      </c>
    </row>
    <row r="6" spans="2:33" x14ac:dyDescent="0.2">
      <c r="B6" s="3" t="s">
        <v>351</v>
      </c>
      <c r="C6" s="183">
        <f t="shared" si="1"/>
        <v>88000000</v>
      </c>
      <c r="D6" s="186"/>
      <c r="E6" s="186"/>
      <c r="F6" s="186"/>
      <c r="G6" s="186">
        <v>20400000</v>
      </c>
      <c r="H6" s="186">
        <v>17000000</v>
      </c>
      <c r="I6" s="186">
        <v>27200000</v>
      </c>
      <c r="J6" s="186">
        <v>3400000</v>
      </c>
      <c r="K6" s="186">
        <v>0</v>
      </c>
      <c r="L6" s="186">
        <v>0</v>
      </c>
      <c r="M6" s="186"/>
      <c r="N6" s="186"/>
      <c r="O6" s="186"/>
      <c r="P6" s="186"/>
      <c r="Q6" s="186"/>
      <c r="R6" s="186"/>
      <c r="S6" s="186"/>
      <c r="T6" s="186"/>
      <c r="U6" s="186"/>
      <c r="V6" s="186">
        <v>540000</v>
      </c>
      <c r="W6" s="186">
        <v>450000</v>
      </c>
      <c r="X6" s="186">
        <v>720000</v>
      </c>
      <c r="Y6" s="186">
        <v>90000</v>
      </c>
      <c r="Z6" s="186"/>
      <c r="AA6" s="186">
        <v>5460000</v>
      </c>
      <c r="AB6" s="186">
        <v>4550000</v>
      </c>
      <c r="AC6" s="186">
        <v>7280000</v>
      </c>
      <c r="AD6" s="186">
        <v>910000</v>
      </c>
      <c r="AE6" s="186"/>
      <c r="AF6" s="186"/>
      <c r="AG6" s="186"/>
    </row>
    <row r="7" spans="2:33" x14ac:dyDescent="0.2">
      <c r="B7" s="4" t="s">
        <v>350</v>
      </c>
      <c r="C7" s="188">
        <f t="shared" si="1"/>
        <v>278726544.88592488</v>
      </c>
      <c r="D7" s="188">
        <f t="shared" ref="D7:AG7" si="2">SUM(D5:D6)</f>
        <v>4599498.7706820788</v>
      </c>
      <c r="E7" s="188">
        <f t="shared" si="2"/>
        <v>4807184.9321360365</v>
      </c>
      <c r="F7" s="188">
        <f t="shared" si="2"/>
        <v>4980632.0697371401</v>
      </c>
      <c r="G7" s="188">
        <f t="shared" si="2"/>
        <v>25471569.654879533</v>
      </c>
      <c r="H7" s="188">
        <f t="shared" si="2"/>
        <v>22164491.417612523</v>
      </c>
      <c r="I7" s="188">
        <f t="shared" si="2"/>
        <v>32459440.650934316</v>
      </c>
      <c r="J7" s="188">
        <f t="shared" si="2"/>
        <v>8756461.5924580228</v>
      </c>
      <c r="K7" s="188">
        <f t="shared" si="2"/>
        <v>5455599.4450222887</v>
      </c>
      <c r="L7" s="188">
        <f t="shared" si="2"/>
        <v>5556900.3977516806</v>
      </c>
      <c r="M7" s="188">
        <f t="shared" si="2"/>
        <v>5660411.6475765677</v>
      </c>
      <c r="N7" s="188">
        <f t="shared" si="2"/>
        <v>5766181.4212225508</v>
      </c>
      <c r="O7" s="188">
        <f t="shared" si="2"/>
        <v>5874258.9976796824</v>
      </c>
      <c r="P7" s="188">
        <f t="shared" si="2"/>
        <v>5984694.7311619474</v>
      </c>
      <c r="Q7" s="188">
        <f t="shared" si="2"/>
        <v>6097540.0745676924</v>
      </c>
      <c r="R7" s="188">
        <f t="shared" si="2"/>
        <v>6212847.6034519495</v>
      </c>
      <c r="S7" s="188">
        <f t="shared" si="2"/>
        <v>6330671.0405218136</v>
      </c>
      <c r="T7" s="188">
        <f t="shared" si="2"/>
        <v>6451065.2806662805</v>
      </c>
      <c r="U7" s="188">
        <f t="shared" si="2"/>
        <v>6574086.4165322175</v>
      </c>
      <c r="V7" s="188">
        <f t="shared" si="2"/>
        <v>7239791.7646583822</v>
      </c>
      <c r="W7" s="188">
        <f t="shared" si="2"/>
        <v>7278239.8921796605</v>
      </c>
      <c r="X7" s="188">
        <f t="shared" si="2"/>
        <v>7679490.6441139635</v>
      </c>
      <c r="Y7" s="188">
        <f t="shared" si="2"/>
        <v>7183605.1712445077</v>
      </c>
      <c r="Z7" s="188">
        <f t="shared" si="2"/>
        <v>7230645.9586104527</v>
      </c>
      <c r="AA7" s="188">
        <f t="shared" si="2"/>
        <v>12830676.854619194</v>
      </c>
      <c r="AB7" s="188">
        <f t="shared" si="2"/>
        <v>12063763.100793835</v>
      </c>
      <c r="AC7" s="188">
        <f t="shared" si="2"/>
        <v>14939971.362169754</v>
      </c>
      <c r="AD7" s="188">
        <f t="shared" si="2"/>
        <v>8719369.7583543733</v>
      </c>
      <c r="AE7" s="188">
        <f t="shared" si="2"/>
        <v>7962027.8952646386</v>
      </c>
      <c r="AF7" s="188">
        <f t="shared" si="2"/>
        <v>8118016.897556968</v>
      </c>
      <c r="AG7" s="188">
        <f t="shared" si="2"/>
        <v>8277409.441764812</v>
      </c>
    </row>
    <row r="8" spans="2:33" x14ac:dyDescent="0.2">
      <c r="B8" s="3" t="s">
        <v>56</v>
      </c>
      <c r="C8" s="183">
        <f t="shared" si="1"/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186">
        <v>0</v>
      </c>
      <c r="Q8" s="186">
        <v>0</v>
      </c>
      <c r="R8" s="186">
        <v>0</v>
      </c>
      <c r="S8" s="186">
        <v>0</v>
      </c>
      <c r="T8" s="186">
        <v>0</v>
      </c>
      <c r="U8" s="186">
        <v>0</v>
      </c>
      <c r="V8" s="186">
        <v>0</v>
      </c>
      <c r="W8" s="186">
        <v>0</v>
      </c>
      <c r="X8" s="186">
        <v>0</v>
      </c>
      <c r="Y8" s="186">
        <v>0</v>
      </c>
      <c r="Z8" s="186">
        <v>0</v>
      </c>
      <c r="AA8" s="186">
        <v>0</v>
      </c>
      <c r="AB8" s="186">
        <v>0</v>
      </c>
      <c r="AC8" s="186">
        <v>0</v>
      </c>
      <c r="AD8" s="186">
        <v>0</v>
      </c>
      <c r="AE8" s="186">
        <v>0</v>
      </c>
      <c r="AF8" s="186">
        <v>0</v>
      </c>
      <c r="AG8" s="186">
        <v>0</v>
      </c>
    </row>
    <row r="9" spans="2:33" ht="12" thickBot="1" x14ac:dyDescent="0.25">
      <c r="B9" s="16" t="s">
        <v>54</v>
      </c>
      <c r="C9" s="196">
        <f t="shared" si="1"/>
        <v>0</v>
      </c>
      <c r="D9" s="196">
        <f t="shared" ref="D9:AG9" si="3">SUM(D8:D8)</f>
        <v>0</v>
      </c>
      <c r="E9" s="196">
        <f t="shared" si="3"/>
        <v>0</v>
      </c>
      <c r="F9" s="196">
        <f t="shared" si="3"/>
        <v>0</v>
      </c>
      <c r="G9" s="196">
        <f t="shared" si="3"/>
        <v>0</v>
      </c>
      <c r="H9" s="196">
        <f t="shared" si="3"/>
        <v>0</v>
      </c>
      <c r="I9" s="196">
        <f t="shared" si="3"/>
        <v>0</v>
      </c>
      <c r="J9" s="196">
        <f t="shared" si="3"/>
        <v>0</v>
      </c>
      <c r="K9" s="196">
        <f t="shared" si="3"/>
        <v>0</v>
      </c>
      <c r="L9" s="196">
        <f t="shared" si="3"/>
        <v>0</v>
      </c>
      <c r="M9" s="196">
        <f t="shared" si="3"/>
        <v>0</v>
      </c>
      <c r="N9" s="196">
        <f t="shared" si="3"/>
        <v>0</v>
      </c>
      <c r="O9" s="196">
        <f t="shared" si="3"/>
        <v>0</v>
      </c>
      <c r="P9" s="196">
        <f t="shared" si="3"/>
        <v>0</v>
      </c>
      <c r="Q9" s="196">
        <f t="shared" si="3"/>
        <v>0</v>
      </c>
      <c r="R9" s="196">
        <f t="shared" si="3"/>
        <v>0</v>
      </c>
      <c r="S9" s="196">
        <f t="shared" si="3"/>
        <v>0</v>
      </c>
      <c r="T9" s="196">
        <f t="shared" si="3"/>
        <v>0</v>
      </c>
      <c r="U9" s="196">
        <f t="shared" si="3"/>
        <v>0</v>
      </c>
      <c r="V9" s="196">
        <f t="shared" si="3"/>
        <v>0</v>
      </c>
      <c r="W9" s="196">
        <f t="shared" si="3"/>
        <v>0</v>
      </c>
      <c r="X9" s="196">
        <f t="shared" si="3"/>
        <v>0</v>
      </c>
      <c r="Y9" s="196">
        <f t="shared" si="3"/>
        <v>0</v>
      </c>
      <c r="Z9" s="196">
        <f t="shared" si="3"/>
        <v>0</v>
      </c>
      <c r="AA9" s="196">
        <f t="shared" si="3"/>
        <v>0</v>
      </c>
      <c r="AB9" s="196">
        <f t="shared" si="3"/>
        <v>0</v>
      </c>
      <c r="AC9" s="196">
        <f t="shared" si="3"/>
        <v>0</v>
      </c>
      <c r="AD9" s="196">
        <f t="shared" si="3"/>
        <v>0</v>
      </c>
      <c r="AE9" s="196">
        <f t="shared" si="3"/>
        <v>0</v>
      </c>
      <c r="AF9" s="196">
        <f t="shared" si="3"/>
        <v>0</v>
      </c>
      <c r="AG9" s="196">
        <f t="shared" si="3"/>
        <v>0</v>
      </c>
    </row>
    <row r="10" spans="2:33" ht="12" thickTop="1" x14ac:dyDescent="0.2">
      <c r="B10" s="17" t="s">
        <v>53</v>
      </c>
      <c r="C10" s="197">
        <f t="shared" si="1"/>
        <v>278726544.88592488</v>
      </c>
      <c r="D10" s="197">
        <f t="shared" ref="D10:AG10" si="4">SUM(D7,D9)</f>
        <v>4599498.7706820788</v>
      </c>
      <c r="E10" s="197">
        <f t="shared" si="4"/>
        <v>4807184.9321360365</v>
      </c>
      <c r="F10" s="197">
        <f t="shared" si="4"/>
        <v>4980632.0697371401</v>
      </c>
      <c r="G10" s="197">
        <f t="shared" si="4"/>
        <v>25471569.654879533</v>
      </c>
      <c r="H10" s="197">
        <f t="shared" si="4"/>
        <v>22164491.417612523</v>
      </c>
      <c r="I10" s="197">
        <f t="shared" si="4"/>
        <v>32459440.650934316</v>
      </c>
      <c r="J10" s="197">
        <f t="shared" si="4"/>
        <v>8756461.5924580228</v>
      </c>
      <c r="K10" s="197">
        <f t="shared" si="4"/>
        <v>5455599.4450222887</v>
      </c>
      <c r="L10" s="197">
        <f t="shared" si="4"/>
        <v>5556900.3977516806</v>
      </c>
      <c r="M10" s="197">
        <f t="shared" si="4"/>
        <v>5660411.6475765677</v>
      </c>
      <c r="N10" s="197">
        <f t="shared" si="4"/>
        <v>5766181.4212225508</v>
      </c>
      <c r="O10" s="197">
        <f t="shared" si="4"/>
        <v>5874258.9976796824</v>
      </c>
      <c r="P10" s="197">
        <f t="shared" si="4"/>
        <v>5984694.7311619474</v>
      </c>
      <c r="Q10" s="197">
        <f t="shared" si="4"/>
        <v>6097540.0745676924</v>
      </c>
      <c r="R10" s="197">
        <f t="shared" si="4"/>
        <v>6212847.6034519495</v>
      </c>
      <c r="S10" s="197">
        <f t="shared" si="4"/>
        <v>6330671.0405218136</v>
      </c>
      <c r="T10" s="197">
        <f t="shared" si="4"/>
        <v>6451065.2806662805</v>
      </c>
      <c r="U10" s="197">
        <f t="shared" si="4"/>
        <v>6574086.4165322175</v>
      </c>
      <c r="V10" s="197">
        <f t="shared" si="4"/>
        <v>7239791.7646583822</v>
      </c>
      <c r="W10" s="197">
        <f t="shared" si="4"/>
        <v>7278239.8921796605</v>
      </c>
      <c r="X10" s="197">
        <f t="shared" si="4"/>
        <v>7679490.6441139635</v>
      </c>
      <c r="Y10" s="197">
        <f t="shared" si="4"/>
        <v>7183605.1712445077</v>
      </c>
      <c r="Z10" s="197">
        <f t="shared" si="4"/>
        <v>7230645.9586104527</v>
      </c>
      <c r="AA10" s="197">
        <f t="shared" si="4"/>
        <v>12830676.854619194</v>
      </c>
      <c r="AB10" s="197">
        <f t="shared" si="4"/>
        <v>12063763.100793835</v>
      </c>
      <c r="AC10" s="197">
        <f t="shared" si="4"/>
        <v>14939971.362169754</v>
      </c>
      <c r="AD10" s="197">
        <f t="shared" si="4"/>
        <v>8719369.7583543733</v>
      </c>
      <c r="AE10" s="197">
        <f t="shared" si="4"/>
        <v>7962027.8952646386</v>
      </c>
      <c r="AF10" s="197">
        <f t="shared" si="4"/>
        <v>8118016.897556968</v>
      </c>
      <c r="AG10" s="197">
        <f t="shared" si="4"/>
        <v>8277409.441764812</v>
      </c>
    </row>
    <row r="13" spans="2:33" x14ac:dyDescent="0.2">
      <c r="C13" s="3"/>
      <c r="D13" s="3" t="s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2:33" x14ac:dyDescent="0.2">
      <c r="B14" s="4" t="s">
        <v>57</v>
      </c>
      <c r="C14" s="4"/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  <c r="X14" s="5">
        <v>21</v>
      </c>
      <c r="Y14" s="5">
        <v>22</v>
      </c>
      <c r="Z14" s="5">
        <v>23</v>
      </c>
      <c r="AA14" s="5">
        <v>24</v>
      </c>
      <c r="AB14" s="5">
        <v>25</v>
      </c>
      <c r="AC14" s="5">
        <v>26</v>
      </c>
      <c r="AD14" s="5">
        <v>27</v>
      </c>
      <c r="AE14" s="5">
        <v>28</v>
      </c>
      <c r="AF14" s="5">
        <v>29</v>
      </c>
      <c r="AG14" s="5">
        <v>30</v>
      </c>
    </row>
    <row r="15" spans="2:33" x14ac:dyDescent="0.2">
      <c r="B15" s="6" t="s">
        <v>33</v>
      </c>
      <c r="C15" s="6" t="s">
        <v>9</v>
      </c>
      <c r="D15" s="7">
        <f>D4</f>
        <v>2023</v>
      </c>
      <c r="E15" s="7">
        <f>$D$4+D14</f>
        <v>2024</v>
      </c>
      <c r="F15" s="7">
        <f>$D$4+E14</f>
        <v>2025</v>
      </c>
      <c r="G15" s="7">
        <f>$D$4+F14</f>
        <v>2026</v>
      </c>
      <c r="H15" s="7">
        <f t="shared" ref="H15:AG15" si="5">$D$4+G14</f>
        <v>2027</v>
      </c>
      <c r="I15" s="7">
        <f t="shared" si="5"/>
        <v>2028</v>
      </c>
      <c r="J15" s="7">
        <f t="shared" si="5"/>
        <v>2029</v>
      </c>
      <c r="K15" s="7">
        <f t="shared" si="5"/>
        <v>2030</v>
      </c>
      <c r="L15" s="7">
        <f t="shared" si="5"/>
        <v>2031</v>
      </c>
      <c r="M15" s="7">
        <f t="shared" si="5"/>
        <v>2032</v>
      </c>
      <c r="N15" s="7">
        <f t="shared" si="5"/>
        <v>2033</v>
      </c>
      <c r="O15" s="7">
        <f t="shared" si="5"/>
        <v>2034</v>
      </c>
      <c r="P15" s="7">
        <f t="shared" si="5"/>
        <v>2035</v>
      </c>
      <c r="Q15" s="7">
        <f t="shared" si="5"/>
        <v>2036</v>
      </c>
      <c r="R15" s="7">
        <f t="shared" si="5"/>
        <v>2037</v>
      </c>
      <c r="S15" s="7">
        <f t="shared" si="5"/>
        <v>2038</v>
      </c>
      <c r="T15" s="7">
        <f t="shared" si="5"/>
        <v>2039</v>
      </c>
      <c r="U15" s="7">
        <f t="shared" si="5"/>
        <v>2040</v>
      </c>
      <c r="V15" s="7">
        <f t="shared" si="5"/>
        <v>2041</v>
      </c>
      <c r="W15" s="7">
        <f t="shared" si="5"/>
        <v>2042</v>
      </c>
      <c r="X15" s="7">
        <f t="shared" si="5"/>
        <v>2043</v>
      </c>
      <c r="Y15" s="7">
        <f t="shared" si="5"/>
        <v>2044</v>
      </c>
      <c r="Z15" s="7">
        <f t="shared" si="5"/>
        <v>2045</v>
      </c>
      <c r="AA15" s="7">
        <f t="shared" si="5"/>
        <v>2046</v>
      </c>
      <c r="AB15" s="7">
        <f t="shared" si="5"/>
        <v>2047</v>
      </c>
      <c r="AC15" s="7">
        <f t="shared" si="5"/>
        <v>2048</v>
      </c>
      <c r="AD15" s="7">
        <f t="shared" si="5"/>
        <v>2049</v>
      </c>
      <c r="AE15" s="7">
        <f t="shared" si="5"/>
        <v>2050</v>
      </c>
      <c r="AF15" s="7">
        <f t="shared" si="5"/>
        <v>2051</v>
      </c>
      <c r="AG15" s="7">
        <f t="shared" si="5"/>
        <v>2052</v>
      </c>
    </row>
    <row r="16" spans="2:33" x14ac:dyDescent="0.2">
      <c r="B16" s="3" t="s">
        <v>353</v>
      </c>
      <c r="C16" s="183">
        <f t="shared" ref="C16:C21" si="6">SUM(D16:AG16)</f>
        <v>256441772.41404486</v>
      </c>
      <c r="D16" s="186">
        <v>4599498.7706820788</v>
      </c>
      <c r="E16" s="186">
        <v>4807184.9321360365</v>
      </c>
      <c r="F16" s="186">
        <v>6882661.6793149905</v>
      </c>
      <c r="G16" s="186">
        <v>7427047.6810656935</v>
      </c>
      <c r="H16" s="186">
        <v>7520477.1027379576</v>
      </c>
      <c r="I16" s="186">
        <v>7615945.0716675967</v>
      </c>
      <c r="J16" s="186">
        <v>7713496.0671508135</v>
      </c>
      <c r="K16" s="186">
        <v>7813175.5389826708</v>
      </c>
      <c r="L16" s="186">
        <v>7915029.9286325164</v>
      </c>
      <c r="M16" s="186">
        <v>8019106.6908814441</v>
      </c>
      <c r="N16" s="186">
        <v>8125454.3159318473</v>
      </c>
      <c r="O16" s="186">
        <v>8234122.3519994076</v>
      </c>
      <c r="P16" s="186">
        <v>8345161.4283979991</v>
      </c>
      <c r="Q16" s="186">
        <v>8458623.2791282982</v>
      </c>
      <c r="R16" s="186">
        <v>8574560.7669810727</v>
      </c>
      <c r="S16" s="186">
        <v>8693027.9081663713</v>
      </c>
      <c r="T16" s="186">
        <v>8814079.8974801265</v>
      </c>
      <c r="U16" s="186">
        <v>8937773.134019848</v>
      </c>
      <c r="V16" s="186">
        <v>9064165.247461414</v>
      </c>
      <c r="W16" s="186">
        <v>9193315.1249092035</v>
      </c>
      <c r="X16" s="186">
        <v>9325282.938332079</v>
      </c>
      <c r="Y16" s="186">
        <v>9460130.1725979801</v>
      </c>
      <c r="Z16" s="186">
        <v>9597919.6541202292</v>
      </c>
      <c r="AA16" s="186">
        <v>9738715.5801288635</v>
      </c>
      <c r="AB16" s="186">
        <v>9882583.5485806242</v>
      </c>
      <c r="AC16" s="186">
        <v>10029590.588721607</v>
      </c>
      <c r="AD16" s="186">
        <v>10179805.192316696</v>
      </c>
      <c r="AE16" s="186">
        <v>10333297.345560446</v>
      </c>
      <c r="AF16" s="186">
        <v>10490138.56168421</v>
      </c>
      <c r="AG16" s="186">
        <v>10650401.91427473</v>
      </c>
    </row>
    <row r="17" spans="2:33" x14ac:dyDescent="0.2">
      <c r="B17" s="3" t="s">
        <v>351</v>
      </c>
      <c r="C17" s="183">
        <f t="shared" si="6"/>
        <v>18000000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  <c r="P17" s="186">
        <v>0</v>
      </c>
      <c r="Q17" s="186">
        <v>0</v>
      </c>
      <c r="R17" s="186">
        <v>1080000</v>
      </c>
      <c r="S17" s="186">
        <v>540000</v>
      </c>
      <c r="T17" s="186">
        <v>0</v>
      </c>
      <c r="U17" s="186">
        <v>0</v>
      </c>
      <c r="V17" s="186">
        <v>0</v>
      </c>
      <c r="W17" s="186">
        <v>0</v>
      </c>
      <c r="X17" s="186">
        <v>10920000</v>
      </c>
      <c r="Y17" s="186">
        <v>5460000</v>
      </c>
      <c r="Z17" s="186">
        <v>0</v>
      </c>
      <c r="AA17" s="186">
        <v>0</v>
      </c>
      <c r="AB17" s="186">
        <v>0</v>
      </c>
      <c r="AC17" s="186">
        <v>0</v>
      </c>
      <c r="AD17" s="186">
        <v>0</v>
      </c>
      <c r="AE17" s="186">
        <v>0</v>
      </c>
      <c r="AF17" s="186">
        <v>0</v>
      </c>
      <c r="AG17" s="186">
        <v>0</v>
      </c>
    </row>
    <row r="18" spans="2:33" x14ac:dyDescent="0.2">
      <c r="B18" s="4" t="s">
        <v>350</v>
      </c>
      <c r="C18" s="188">
        <f t="shared" si="6"/>
        <v>274441772.41404486</v>
      </c>
      <c r="D18" s="188">
        <f t="shared" ref="D18:AG18" si="7">SUM(D16:D17)</f>
        <v>4599498.7706820788</v>
      </c>
      <c r="E18" s="188">
        <f t="shared" si="7"/>
        <v>4807184.9321360365</v>
      </c>
      <c r="F18" s="188">
        <f t="shared" si="7"/>
        <v>6882661.6793149905</v>
      </c>
      <c r="G18" s="188">
        <f t="shared" si="7"/>
        <v>7427047.6810656935</v>
      </c>
      <c r="H18" s="188">
        <f t="shared" si="7"/>
        <v>7520477.1027379576</v>
      </c>
      <c r="I18" s="188">
        <f t="shared" si="7"/>
        <v>7615945.0716675967</v>
      </c>
      <c r="J18" s="188">
        <f t="shared" si="7"/>
        <v>7713496.0671508135</v>
      </c>
      <c r="K18" s="188">
        <f t="shared" si="7"/>
        <v>7813175.5389826708</v>
      </c>
      <c r="L18" s="188">
        <f t="shared" si="7"/>
        <v>7915029.9286325164</v>
      </c>
      <c r="M18" s="188">
        <f t="shared" si="7"/>
        <v>8019106.6908814441</v>
      </c>
      <c r="N18" s="188">
        <f t="shared" si="7"/>
        <v>8125454.3159318473</v>
      </c>
      <c r="O18" s="188">
        <f t="shared" si="7"/>
        <v>8234122.3519994076</v>
      </c>
      <c r="P18" s="188">
        <f t="shared" si="7"/>
        <v>8345161.4283979991</v>
      </c>
      <c r="Q18" s="188">
        <f t="shared" si="7"/>
        <v>8458623.2791282982</v>
      </c>
      <c r="R18" s="188">
        <f t="shared" si="7"/>
        <v>9654560.7669810727</v>
      </c>
      <c r="S18" s="188">
        <f t="shared" si="7"/>
        <v>9233027.9081663713</v>
      </c>
      <c r="T18" s="188">
        <f t="shared" si="7"/>
        <v>8814079.8974801265</v>
      </c>
      <c r="U18" s="188">
        <f t="shared" si="7"/>
        <v>8937773.134019848</v>
      </c>
      <c r="V18" s="188">
        <f t="shared" si="7"/>
        <v>9064165.247461414</v>
      </c>
      <c r="W18" s="188">
        <f t="shared" si="7"/>
        <v>9193315.1249092035</v>
      </c>
      <c r="X18" s="188">
        <f t="shared" si="7"/>
        <v>20245282.938332081</v>
      </c>
      <c r="Y18" s="188">
        <f t="shared" si="7"/>
        <v>14920130.17259798</v>
      </c>
      <c r="Z18" s="188">
        <f t="shared" si="7"/>
        <v>9597919.6541202292</v>
      </c>
      <c r="AA18" s="188">
        <f t="shared" si="7"/>
        <v>9738715.5801288635</v>
      </c>
      <c r="AB18" s="188">
        <f t="shared" si="7"/>
        <v>9882583.5485806242</v>
      </c>
      <c r="AC18" s="188">
        <f t="shared" si="7"/>
        <v>10029590.588721607</v>
      </c>
      <c r="AD18" s="188">
        <f t="shared" si="7"/>
        <v>10179805.192316696</v>
      </c>
      <c r="AE18" s="188">
        <f t="shared" si="7"/>
        <v>10333297.345560446</v>
      </c>
      <c r="AF18" s="188">
        <f t="shared" si="7"/>
        <v>10490138.56168421</v>
      </c>
      <c r="AG18" s="188">
        <f t="shared" si="7"/>
        <v>10650401.91427473</v>
      </c>
    </row>
    <row r="19" spans="2:33" x14ac:dyDescent="0.2">
      <c r="B19" s="3" t="s">
        <v>56</v>
      </c>
      <c r="C19" s="183">
        <f t="shared" si="6"/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0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186">
        <v>0</v>
      </c>
      <c r="Y19" s="186">
        <v>0</v>
      </c>
      <c r="Z19" s="186">
        <v>0</v>
      </c>
      <c r="AA19" s="186">
        <v>0</v>
      </c>
      <c r="AB19" s="186">
        <v>0</v>
      </c>
      <c r="AC19" s="186">
        <v>0</v>
      </c>
      <c r="AD19" s="186">
        <v>0</v>
      </c>
      <c r="AE19" s="186">
        <v>0</v>
      </c>
      <c r="AF19" s="186">
        <v>0</v>
      </c>
      <c r="AG19" s="186">
        <v>0</v>
      </c>
    </row>
    <row r="20" spans="2:33" ht="12" thickBot="1" x14ac:dyDescent="0.25">
      <c r="B20" s="16" t="s">
        <v>54</v>
      </c>
      <c r="C20" s="196">
        <f t="shared" si="6"/>
        <v>0</v>
      </c>
      <c r="D20" s="196">
        <f t="shared" ref="D20:AG20" si="8">SUM(D19:D19)</f>
        <v>0</v>
      </c>
      <c r="E20" s="196">
        <f t="shared" si="8"/>
        <v>0</v>
      </c>
      <c r="F20" s="196">
        <f t="shared" si="8"/>
        <v>0</v>
      </c>
      <c r="G20" s="196">
        <f t="shared" si="8"/>
        <v>0</v>
      </c>
      <c r="H20" s="196">
        <f t="shared" si="8"/>
        <v>0</v>
      </c>
      <c r="I20" s="196">
        <f t="shared" si="8"/>
        <v>0</v>
      </c>
      <c r="J20" s="196">
        <f t="shared" si="8"/>
        <v>0</v>
      </c>
      <c r="K20" s="196">
        <f t="shared" si="8"/>
        <v>0</v>
      </c>
      <c r="L20" s="196">
        <f t="shared" si="8"/>
        <v>0</v>
      </c>
      <c r="M20" s="196">
        <f t="shared" si="8"/>
        <v>0</v>
      </c>
      <c r="N20" s="196">
        <f t="shared" si="8"/>
        <v>0</v>
      </c>
      <c r="O20" s="196">
        <f t="shared" si="8"/>
        <v>0</v>
      </c>
      <c r="P20" s="196">
        <f t="shared" si="8"/>
        <v>0</v>
      </c>
      <c r="Q20" s="196">
        <f t="shared" si="8"/>
        <v>0</v>
      </c>
      <c r="R20" s="196">
        <f t="shared" si="8"/>
        <v>0</v>
      </c>
      <c r="S20" s="196">
        <f t="shared" si="8"/>
        <v>0</v>
      </c>
      <c r="T20" s="196">
        <f t="shared" si="8"/>
        <v>0</v>
      </c>
      <c r="U20" s="196">
        <f t="shared" si="8"/>
        <v>0</v>
      </c>
      <c r="V20" s="196">
        <f t="shared" si="8"/>
        <v>0</v>
      </c>
      <c r="W20" s="196">
        <f t="shared" si="8"/>
        <v>0</v>
      </c>
      <c r="X20" s="196">
        <f t="shared" si="8"/>
        <v>0</v>
      </c>
      <c r="Y20" s="196">
        <f t="shared" si="8"/>
        <v>0</v>
      </c>
      <c r="Z20" s="196">
        <f t="shared" si="8"/>
        <v>0</v>
      </c>
      <c r="AA20" s="196">
        <f t="shared" si="8"/>
        <v>0</v>
      </c>
      <c r="AB20" s="196">
        <f t="shared" si="8"/>
        <v>0</v>
      </c>
      <c r="AC20" s="196">
        <f t="shared" si="8"/>
        <v>0</v>
      </c>
      <c r="AD20" s="196">
        <f t="shared" si="8"/>
        <v>0</v>
      </c>
      <c r="AE20" s="196">
        <f t="shared" si="8"/>
        <v>0</v>
      </c>
      <c r="AF20" s="196">
        <f t="shared" si="8"/>
        <v>0</v>
      </c>
      <c r="AG20" s="196">
        <f t="shared" si="8"/>
        <v>0</v>
      </c>
    </row>
    <row r="21" spans="2:33" ht="12" thickTop="1" x14ac:dyDescent="0.2">
      <c r="B21" s="17" t="s">
        <v>53</v>
      </c>
      <c r="C21" s="197">
        <f t="shared" si="6"/>
        <v>274441772.41404486</v>
      </c>
      <c r="D21" s="197">
        <f t="shared" ref="D21:AG21" si="9">SUM(D18,D20)</f>
        <v>4599498.7706820788</v>
      </c>
      <c r="E21" s="197">
        <f t="shared" si="9"/>
        <v>4807184.9321360365</v>
      </c>
      <c r="F21" s="197">
        <f t="shared" si="9"/>
        <v>6882661.6793149905</v>
      </c>
      <c r="G21" s="197">
        <f t="shared" si="9"/>
        <v>7427047.6810656935</v>
      </c>
      <c r="H21" s="197">
        <f t="shared" si="9"/>
        <v>7520477.1027379576</v>
      </c>
      <c r="I21" s="197">
        <f t="shared" si="9"/>
        <v>7615945.0716675967</v>
      </c>
      <c r="J21" s="197">
        <f t="shared" si="9"/>
        <v>7713496.0671508135</v>
      </c>
      <c r="K21" s="197">
        <f t="shared" si="9"/>
        <v>7813175.5389826708</v>
      </c>
      <c r="L21" s="197">
        <f t="shared" si="9"/>
        <v>7915029.9286325164</v>
      </c>
      <c r="M21" s="197">
        <f t="shared" si="9"/>
        <v>8019106.6908814441</v>
      </c>
      <c r="N21" s="197">
        <f t="shared" si="9"/>
        <v>8125454.3159318473</v>
      </c>
      <c r="O21" s="197">
        <f t="shared" si="9"/>
        <v>8234122.3519994076</v>
      </c>
      <c r="P21" s="197">
        <f t="shared" si="9"/>
        <v>8345161.4283979991</v>
      </c>
      <c r="Q21" s="197">
        <f t="shared" si="9"/>
        <v>8458623.2791282982</v>
      </c>
      <c r="R21" s="197">
        <f t="shared" si="9"/>
        <v>9654560.7669810727</v>
      </c>
      <c r="S21" s="197">
        <f t="shared" si="9"/>
        <v>9233027.9081663713</v>
      </c>
      <c r="T21" s="197">
        <f t="shared" si="9"/>
        <v>8814079.8974801265</v>
      </c>
      <c r="U21" s="197">
        <f t="shared" si="9"/>
        <v>8937773.134019848</v>
      </c>
      <c r="V21" s="197">
        <f t="shared" si="9"/>
        <v>9064165.247461414</v>
      </c>
      <c r="W21" s="197">
        <f t="shared" si="9"/>
        <v>9193315.1249092035</v>
      </c>
      <c r="X21" s="197">
        <f t="shared" si="9"/>
        <v>20245282.938332081</v>
      </c>
      <c r="Y21" s="197">
        <f t="shared" si="9"/>
        <v>14920130.17259798</v>
      </c>
      <c r="Z21" s="197">
        <f t="shared" si="9"/>
        <v>9597919.6541202292</v>
      </c>
      <c r="AA21" s="197">
        <f t="shared" si="9"/>
        <v>9738715.5801288635</v>
      </c>
      <c r="AB21" s="197">
        <f t="shared" si="9"/>
        <v>9882583.5485806242</v>
      </c>
      <c r="AC21" s="197">
        <f t="shared" si="9"/>
        <v>10029590.588721607</v>
      </c>
      <c r="AD21" s="197">
        <f t="shared" si="9"/>
        <v>10179805.192316696</v>
      </c>
      <c r="AE21" s="197">
        <f t="shared" si="9"/>
        <v>10333297.345560446</v>
      </c>
      <c r="AF21" s="197">
        <f t="shared" si="9"/>
        <v>10490138.56168421</v>
      </c>
      <c r="AG21" s="197">
        <f t="shared" si="9"/>
        <v>10650401.91427473</v>
      </c>
    </row>
    <row r="24" spans="2:33" x14ac:dyDescent="0.2">
      <c r="C24" s="3"/>
      <c r="D24" s="3" t="s">
        <v>10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2:33" x14ac:dyDescent="0.2">
      <c r="B25" s="4" t="s">
        <v>58</v>
      </c>
      <c r="C25" s="4"/>
      <c r="D25" s="3">
        <v>1</v>
      </c>
      <c r="E25" s="3">
        <v>2</v>
      </c>
      <c r="F25" s="3">
        <v>3</v>
      </c>
      <c r="G25" s="3">
        <v>4</v>
      </c>
      <c r="H25" s="3">
        <v>5</v>
      </c>
      <c r="I25" s="3">
        <v>6</v>
      </c>
      <c r="J25" s="3">
        <v>7</v>
      </c>
      <c r="K25" s="3">
        <v>8</v>
      </c>
      <c r="L25" s="3">
        <v>9</v>
      </c>
      <c r="M25" s="3">
        <v>10</v>
      </c>
      <c r="N25" s="3">
        <v>11</v>
      </c>
      <c r="O25" s="3">
        <v>12</v>
      </c>
      <c r="P25" s="3">
        <v>13</v>
      </c>
      <c r="Q25" s="3">
        <v>14</v>
      </c>
      <c r="R25" s="3">
        <v>15</v>
      </c>
      <c r="S25" s="3">
        <v>16</v>
      </c>
      <c r="T25" s="3">
        <v>17</v>
      </c>
      <c r="U25" s="3">
        <v>18</v>
      </c>
      <c r="V25" s="3">
        <v>19</v>
      </c>
      <c r="W25" s="3">
        <v>20</v>
      </c>
      <c r="X25" s="3">
        <v>21</v>
      </c>
      <c r="Y25" s="3">
        <v>22</v>
      </c>
      <c r="Z25" s="3">
        <v>23</v>
      </c>
      <c r="AA25" s="3">
        <v>24</v>
      </c>
      <c r="AB25" s="3">
        <v>25</v>
      </c>
      <c r="AC25" s="3">
        <v>26</v>
      </c>
      <c r="AD25" s="3">
        <v>27</v>
      </c>
      <c r="AE25" s="3">
        <v>28</v>
      </c>
      <c r="AF25" s="3">
        <v>29</v>
      </c>
      <c r="AG25" s="3">
        <v>30</v>
      </c>
    </row>
    <row r="26" spans="2:33" x14ac:dyDescent="0.2">
      <c r="B26" s="169" t="s">
        <v>41</v>
      </c>
      <c r="C26" s="169" t="s">
        <v>9</v>
      </c>
      <c r="D26" s="170">
        <f t="shared" ref="D26:AG26" si="10">D4</f>
        <v>2023</v>
      </c>
      <c r="E26" s="170">
        <f t="shared" si="10"/>
        <v>2024</v>
      </c>
      <c r="F26" s="170">
        <f t="shared" si="10"/>
        <v>2025</v>
      </c>
      <c r="G26" s="170">
        <f t="shared" si="10"/>
        <v>2026</v>
      </c>
      <c r="H26" s="170">
        <f t="shared" si="10"/>
        <v>2027</v>
      </c>
      <c r="I26" s="170">
        <f t="shared" si="10"/>
        <v>2028</v>
      </c>
      <c r="J26" s="170">
        <f t="shared" si="10"/>
        <v>2029</v>
      </c>
      <c r="K26" s="170">
        <f t="shared" si="10"/>
        <v>2030</v>
      </c>
      <c r="L26" s="170">
        <f t="shared" si="10"/>
        <v>2031</v>
      </c>
      <c r="M26" s="170">
        <f t="shared" si="10"/>
        <v>2032</v>
      </c>
      <c r="N26" s="170">
        <f t="shared" si="10"/>
        <v>2033</v>
      </c>
      <c r="O26" s="170">
        <f t="shared" si="10"/>
        <v>2034</v>
      </c>
      <c r="P26" s="170">
        <f t="shared" si="10"/>
        <v>2035</v>
      </c>
      <c r="Q26" s="170">
        <f t="shared" si="10"/>
        <v>2036</v>
      </c>
      <c r="R26" s="170">
        <f t="shared" si="10"/>
        <v>2037</v>
      </c>
      <c r="S26" s="170">
        <f t="shared" si="10"/>
        <v>2038</v>
      </c>
      <c r="T26" s="170">
        <f t="shared" si="10"/>
        <v>2039</v>
      </c>
      <c r="U26" s="170">
        <f t="shared" si="10"/>
        <v>2040</v>
      </c>
      <c r="V26" s="170">
        <f t="shared" si="10"/>
        <v>2041</v>
      </c>
      <c r="W26" s="170">
        <f t="shared" si="10"/>
        <v>2042</v>
      </c>
      <c r="X26" s="170">
        <f t="shared" si="10"/>
        <v>2043</v>
      </c>
      <c r="Y26" s="170">
        <f t="shared" si="10"/>
        <v>2044</v>
      </c>
      <c r="Z26" s="170">
        <f t="shared" si="10"/>
        <v>2045</v>
      </c>
      <c r="AA26" s="170">
        <f t="shared" si="10"/>
        <v>2046</v>
      </c>
      <c r="AB26" s="170">
        <f t="shared" si="10"/>
        <v>2047</v>
      </c>
      <c r="AC26" s="170">
        <f t="shared" si="10"/>
        <v>2048</v>
      </c>
      <c r="AD26" s="170">
        <f t="shared" si="10"/>
        <v>2049</v>
      </c>
      <c r="AE26" s="170">
        <f t="shared" si="10"/>
        <v>2050</v>
      </c>
      <c r="AF26" s="170">
        <f t="shared" si="10"/>
        <v>2051</v>
      </c>
      <c r="AG26" s="170">
        <f t="shared" si="10"/>
        <v>2052</v>
      </c>
    </row>
    <row r="27" spans="2:33" x14ac:dyDescent="0.2">
      <c r="B27" s="3" t="s">
        <v>353</v>
      </c>
      <c r="C27" s="183">
        <f t="shared" ref="C27:C32" si="11">SUM(D27:AG27)</f>
        <v>65715227.528119996</v>
      </c>
      <c r="D27" s="183">
        <f t="shared" ref="D27:AG28" si="12">D16-D5</f>
        <v>0</v>
      </c>
      <c r="E27" s="183">
        <f t="shared" si="12"/>
        <v>0</v>
      </c>
      <c r="F27" s="183">
        <f t="shared" si="12"/>
        <v>1902029.6095778504</v>
      </c>
      <c r="G27" s="183">
        <f t="shared" si="12"/>
        <v>2355478.0261861607</v>
      </c>
      <c r="H27" s="183">
        <f t="shared" si="12"/>
        <v>2355985.6851254357</v>
      </c>
      <c r="I27" s="183">
        <f t="shared" si="12"/>
        <v>2356504.4207332786</v>
      </c>
      <c r="J27" s="183">
        <f t="shared" si="12"/>
        <v>2357034.4746927908</v>
      </c>
      <c r="K27" s="183">
        <f t="shared" si="12"/>
        <v>2357576.093960382</v>
      </c>
      <c r="L27" s="183">
        <f t="shared" si="12"/>
        <v>2358129.5308808358</v>
      </c>
      <c r="M27" s="183">
        <f t="shared" si="12"/>
        <v>2358695.0433048764</v>
      </c>
      <c r="N27" s="183">
        <f t="shared" si="12"/>
        <v>2359272.8947092965</v>
      </c>
      <c r="O27" s="183">
        <f t="shared" si="12"/>
        <v>2359863.3543197252</v>
      </c>
      <c r="P27" s="183">
        <f t="shared" si="12"/>
        <v>2360466.6972360518</v>
      </c>
      <c r="Q27" s="183">
        <f t="shared" si="12"/>
        <v>2361083.2045606058</v>
      </c>
      <c r="R27" s="183">
        <f t="shared" si="12"/>
        <v>2361713.1635291232</v>
      </c>
      <c r="S27" s="183">
        <f t="shared" si="12"/>
        <v>2362356.8676445577</v>
      </c>
      <c r="T27" s="183">
        <f t="shared" si="12"/>
        <v>2363014.6168138459</v>
      </c>
      <c r="U27" s="183">
        <f t="shared" si="12"/>
        <v>2363686.7174876304</v>
      </c>
      <c r="V27" s="183">
        <f t="shared" si="12"/>
        <v>2364373.4828030318</v>
      </c>
      <c r="W27" s="183">
        <f t="shared" si="12"/>
        <v>2365075.232729543</v>
      </c>
      <c r="X27" s="183">
        <f t="shared" si="12"/>
        <v>2365792.2942181155</v>
      </c>
      <c r="Y27" s="183">
        <f t="shared" si="12"/>
        <v>2366525.0013534725</v>
      </c>
      <c r="Z27" s="183">
        <f t="shared" si="12"/>
        <v>2367273.6955097765</v>
      </c>
      <c r="AA27" s="183">
        <f t="shared" si="12"/>
        <v>2368038.7255096706</v>
      </c>
      <c r="AB27" s="183">
        <f t="shared" si="12"/>
        <v>2368820.4477867903</v>
      </c>
      <c r="AC27" s="183">
        <f t="shared" si="12"/>
        <v>2369619.2265518531</v>
      </c>
      <c r="AD27" s="183">
        <f t="shared" si="12"/>
        <v>2370435.4339623228</v>
      </c>
      <c r="AE27" s="183">
        <f t="shared" si="12"/>
        <v>2371269.4502958078</v>
      </c>
      <c r="AF27" s="183">
        <f t="shared" si="12"/>
        <v>2372121.6641272418</v>
      </c>
      <c r="AG27" s="183">
        <f t="shared" si="12"/>
        <v>2372992.4725099178</v>
      </c>
    </row>
    <row r="28" spans="2:33" x14ac:dyDescent="0.2">
      <c r="B28" s="3" t="s">
        <v>351</v>
      </c>
      <c r="C28" s="183">
        <f t="shared" si="11"/>
        <v>-70000000</v>
      </c>
      <c r="D28" s="183">
        <f t="shared" si="12"/>
        <v>0</v>
      </c>
      <c r="E28" s="183">
        <f t="shared" si="12"/>
        <v>0</v>
      </c>
      <c r="F28" s="183">
        <f t="shared" si="12"/>
        <v>0</v>
      </c>
      <c r="G28" s="183">
        <f t="shared" si="12"/>
        <v>-20400000</v>
      </c>
      <c r="H28" s="183">
        <f t="shared" si="12"/>
        <v>-17000000</v>
      </c>
      <c r="I28" s="183">
        <f t="shared" si="12"/>
        <v>-27200000</v>
      </c>
      <c r="J28" s="183">
        <f t="shared" si="12"/>
        <v>-3400000</v>
      </c>
      <c r="K28" s="183">
        <f t="shared" si="12"/>
        <v>0</v>
      </c>
      <c r="L28" s="183">
        <f t="shared" si="12"/>
        <v>0</v>
      </c>
      <c r="M28" s="183">
        <f t="shared" si="12"/>
        <v>0</v>
      </c>
      <c r="N28" s="183">
        <f t="shared" si="12"/>
        <v>0</v>
      </c>
      <c r="O28" s="183">
        <f t="shared" si="12"/>
        <v>0</v>
      </c>
      <c r="P28" s="183">
        <f t="shared" si="12"/>
        <v>0</v>
      </c>
      <c r="Q28" s="183">
        <f t="shared" si="12"/>
        <v>0</v>
      </c>
      <c r="R28" s="183">
        <f t="shared" si="12"/>
        <v>1080000</v>
      </c>
      <c r="S28" s="183">
        <f t="shared" si="12"/>
        <v>540000</v>
      </c>
      <c r="T28" s="183">
        <f t="shared" si="12"/>
        <v>0</v>
      </c>
      <c r="U28" s="183">
        <f t="shared" si="12"/>
        <v>0</v>
      </c>
      <c r="V28" s="183">
        <f t="shared" si="12"/>
        <v>-540000</v>
      </c>
      <c r="W28" s="183">
        <f t="shared" si="12"/>
        <v>-450000</v>
      </c>
      <c r="X28" s="183">
        <f t="shared" si="12"/>
        <v>10200000</v>
      </c>
      <c r="Y28" s="183">
        <f t="shared" si="12"/>
        <v>5370000</v>
      </c>
      <c r="Z28" s="183">
        <f t="shared" si="12"/>
        <v>0</v>
      </c>
      <c r="AA28" s="183">
        <f t="shared" si="12"/>
        <v>-5460000</v>
      </c>
      <c r="AB28" s="183">
        <f t="shared" si="12"/>
        <v>-4550000</v>
      </c>
      <c r="AC28" s="183">
        <f t="shared" si="12"/>
        <v>-7280000</v>
      </c>
      <c r="AD28" s="183">
        <f t="shared" si="12"/>
        <v>-910000</v>
      </c>
      <c r="AE28" s="183">
        <f t="shared" si="12"/>
        <v>0</v>
      </c>
      <c r="AF28" s="183">
        <f t="shared" si="12"/>
        <v>0</v>
      </c>
      <c r="AG28" s="183">
        <f t="shared" si="12"/>
        <v>0</v>
      </c>
    </row>
    <row r="29" spans="2:33" x14ac:dyDescent="0.2">
      <c r="B29" s="4" t="s">
        <v>350</v>
      </c>
      <c r="C29" s="188">
        <f t="shared" si="11"/>
        <v>-4284772.4718800066</v>
      </c>
      <c r="D29" s="188">
        <f t="shared" ref="D29:AG29" si="13">SUM(D27:D28)</f>
        <v>0</v>
      </c>
      <c r="E29" s="188">
        <f t="shared" si="13"/>
        <v>0</v>
      </c>
      <c r="F29" s="188">
        <f t="shared" si="13"/>
        <v>1902029.6095778504</v>
      </c>
      <c r="G29" s="188">
        <f t="shared" si="13"/>
        <v>-18044521.973813839</v>
      </c>
      <c r="H29" s="188">
        <f t="shared" si="13"/>
        <v>-14644014.314874563</v>
      </c>
      <c r="I29" s="188">
        <f t="shared" si="13"/>
        <v>-24843495.57926672</v>
      </c>
      <c r="J29" s="188">
        <f t="shared" si="13"/>
        <v>-1042965.5253072092</v>
      </c>
      <c r="K29" s="188">
        <f t="shared" si="13"/>
        <v>2357576.093960382</v>
      </c>
      <c r="L29" s="188">
        <f t="shared" si="13"/>
        <v>2358129.5308808358</v>
      </c>
      <c r="M29" s="188">
        <f t="shared" si="13"/>
        <v>2358695.0433048764</v>
      </c>
      <c r="N29" s="188">
        <f t="shared" si="13"/>
        <v>2359272.8947092965</v>
      </c>
      <c r="O29" s="188">
        <f t="shared" si="13"/>
        <v>2359863.3543197252</v>
      </c>
      <c r="P29" s="188">
        <f t="shared" si="13"/>
        <v>2360466.6972360518</v>
      </c>
      <c r="Q29" s="188">
        <f t="shared" si="13"/>
        <v>2361083.2045606058</v>
      </c>
      <c r="R29" s="188">
        <f t="shared" si="13"/>
        <v>3441713.1635291232</v>
      </c>
      <c r="S29" s="188">
        <f t="shared" si="13"/>
        <v>2902356.8676445577</v>
      </c>
      <c r="T29" s="188">
        <f t="shared" si="13"/>
        <v>2363014.6168138459</v>
      </c>
      <c r="U29" s="188">
        <f t="shared" si="13"/>
        <v>2363686.7174876304</v>
      </c>
      <c r="V29" s="188">
        <f t="shared" si="13"/>
        <v>1824373.4828030318</v>
      </c>
      <c r="W29" s="188">
        <f t="shared" si="13"/>
        <v>1915075.232729543</v>
      </c>
      <c r="X29" s="188">
        <f t="shared" si="13"/>
        <v>12565792.294218116</v>
      </c>
      <c r="Y29" s="188">
        <f t="shared" si="13"/>
        <v>7736525.0013534725</v>
      </c>
      <c r="Z29" s="188">
        <f t="shared" si="13"/>
        <v>2367273.6955097765</v>
      </c>
      <c r="AA29" s="188">
        <f t="shared" si="13"/>
        <v>-3091961.2744903294</v>
      </c>
      <c r="AB29" s="188">
        <f t="shared" si="13"/>
        <v>-2181179.5522132097</v>
      </c>
      <c r="AC29" s="188">
        <f t="shared" si="13"/>
        <v>-4910380.7734481469</v>
      </c>
      <c r="AD29" s="188">
        <f t="shared" si="13"/>
        <v>1460435.4339623228</v>
      </c>
      <c r="AE29" s="188">
        <f t="shared" si="13"/>
        <v>2371269.4502958078</v>
      </c>
      <c r="AF29" s="188">
        <f t="shared" si="13"/>
        <v>2372121.6641272418</v>
      </c>
      <c r="AG29" s="188">
        <f t="shared" si="13"/>
        <v>2372992.4725099178</v>
      </c>
    </row>
    <row r="30" spans="2:33" x14ac:dyDescent="0.2">
      <c r="B30" s="3" t="s">
        <v>56</v>
      </c>
      <c r="C30" s="183">
        <f t="shared" si="11"/>
        <v>0</v>
      </c>
      <c r="D30" s="183">
        <f t="shared" ref="D30:AG30" si="14">D19-D8</f>
        <v>0</v>
      </c>
      <c r="E30" s="183">
        <f t="shared" si="14"/>
        <v>0</v>
      </c>
      <c r="F30" s="183">
        <f t="shared" si="14"/>
        <v>0</v>
      </c>
      <c r="G30" s="183">
        <f t="shared" si="14"/>
        <v>0</v>
      </c>
      <c r="H30" s="183">
        <f t="shared" si="14"/>
        <v>0</v>
      </c>
      <c r="I30" s="183">
        <f t="shared" si="14"/>
        <v>0</v>
      </c>
      <c r="J30" s="183">
        <f t="shared" si="14"/>
        <v>0</v>
      </c>
      <c r="K30" s="183">
        <f t="shared" si="14"/>
        <v>0</v>
      </c>
      <c r="L30" s="183">
        <f t="shared" si="14"/>
        <v>0</v>
      </c>
      <c r="M30" s="183">
        <f t="shared" si="14"/>
        <v>0</v>
      </c>
      <c r="N30" s="183">
        <f t="shared" si="14"/>
        <v>0</v>
      </c>
      <c r="O30" s="183">
        <f t="shared" si="14"/>
        <v>0</v>
      </c>
      <c r="P30" s="183">
        <f t="shared" si="14"/>
        <v>0</v>
      </c>
      <c r="Q30" s="183">
        <f t="shared" si="14"/>
        <v>0</v>
      </c>
      <c r="R30" s="183">
        <f t="shared" si="14"/>
        <v>0</v>
      </c>
      <c r="S30" s="183">
        <f t="shared" si="14"/>
        <v>0</v>
      </c>
      <c r="T30" s="183">
        <f t="shared" si="14"/>
        <v>0</v>
      </c>
      <c r="U30" s="183">
        <f t="shared" si="14"/>
        <v>0</v>
      </c>
      <c r="V30" s="183">
        <f t="shared" si="14"/>
        <v>0</v>
      </c>
      <c r="W30" s="183">
        <f t="shared" si="14"/>
        <v>0</v>
      </c>
      <c r="X30" s="183">
        <f t="shared" si="14"/>
        <v>0</v>
      </c>
      <c r="Y30" s="183">
        <f t="shared" si="14"/>
        <v>0</v>
      </c>
      <c r="Z30" s="183">
        <f t="shared" si="14"/>
        <v>0</v>
      </c>
      <c r="AA30" s="183">
        <f t="shared" si="14"/>
        <v>0</v>
      </c>
      <c r="AB30" s="183">
        <f t="shared" si="14"/>
        <v>0</v>
      </c>
      <c r="AC30" s="183">
        <f t="shared" si="14"/>
        <v>0</v>
      </c>
      <c r="AD30" s="183">
        <f t="shared" si="14"/>
        <v>0</v>
      </c>
      <c r="AE30" s="183">
        <f t="shared" si="14"/>
        <v>0</v>
      </c>
      <c r="AF30" s="183">
        <f t="shared" si="14"/>
        <v>0</v>
      </c>
      <c r="AG30" s="183">
        <f t="shared" si="14"/>
        <v>0</v>
      </c>
    </row>
    <row r="31" spans="2:33" ht="12" thickBot="1" x14ac:dyDescent="0.25">
      <c r="B31" s="16" t="s">
        <v>54</v>
      </c>
      <c r="C31" s="196">
        <f t="shared" si="11"/>
        <v>0</v>
      </c>
      <c r="D31" s="196">
        <f t="shared" ref="D31:AG31" si="15">SUM(D30:D30)</f>
        <v>0</v>
      </c>
      <c r="E31" s="196">
        <f t="shared" si="15"/>
        <v>0</v>
      </c>
      <c r="F31" s="196">
        <f t="shared" si="15"/>
        <v>0</v>
      </c>
      <c r="G31" s="196">
        <f t="shared" si="15"/>
        <v>0</v>
      </c>
      <c r="H31" s="196">
        <f t="shared" si="15"/>
        <v>0</v>
      </c>
      <c r="I31" s="196">
        <f t="shared" si="15"/>
        <v>0</v>
      </c>
      <c r="J31" s="196">
        <f t="shared" si="15"/>
        <v>0</v>
      </c>
      <c r="K31" s="196">
        <f t="shared" si="15"/>
        <v>0</v>
      </c>
      <c r="L31" s="196">
        <f t="shared" si="15"/>
        <v>0</v>
      </c>
      <c r="M31" s="196">
        <f t="shared" si="15"/>
        <v>0</v>
      </c>
      <c r="N31" s="196">
        <f t="shared" si="15"/>
        <v>0</v>
      </c>
      <c r="O31" s="196">
        <f t="shared" si="15"/>
        <v>0</v>
      </c>
      <c r="P31" s="196">
        <f t="shared" si="15"/>
        <v>0</v>
      </c>
      <c r="Q31" s="196">
        <f t="shared" si="15"/>
        <v>0</v>
      </c>
      <c r="R31" s="196">
        <f t="shared" si="15"/>
        <v>0</v>
      </c>
      <c r="S31" s="196">
        <f t="shared" si="15"/>
        <v>0</v>
      </c>
      <c r="T31" s="196">
        <f t="shared" si="15"/>
        <v>0</v>
      </c>
      <c r="U31" s="196">
        <f t="shared" si="15"/>
        <v>0</v>
      </c>
      <c r="V31" s="196">
        <f t="shared" si="15"/>
        <v>0</v>
      </c>
      <c r="W31" s="196">
        <f t="shared" si="15"/>
        <v>0</v>
      </c>
      <c r="X31" s="196">
        <f t="shared" si="15"/>
        <v>0</v>
      </c>
      <c r="Y31" s="196">
        <f t="shared" si="15"/>
        <v>0</v>
      </c>
      <c r="Z31" s="196">
        <f t="shared" si="15"/>
        <v>0</v>
      </c>
      <c r="AA31" s="196">
        <f t="shared" si="15"/>
        <v>0</v>
      </c>
      <c r="AB31" s="196">
        <f t="shared" si="15"/>
        <v>0</v>
      </c>
      <c r="AC31" s="196">
        <f t="shared" si="15"/>
        <v>0</v>
      </c>
      <c r="AD31" s="196">
        <f t="shared" si="15"/>
        <v>0</v>
      </c>
      <c r="AE31" s="196">
        <f t="shared" si="15"/>
        <v>0</v>
      </c>
      <c r="AF31" s="196">
        <f t="shared" si="15"/>
        <v>0</v>
      </c>
      <c r="AG31" s="196">
        <f t="shared" si="15"/>
        <v>0</v>
      </c>
    </row>
    <row r="32" spans="2:33" ht="12" thickTop="1" x14ac:dyDescent="0.2">
      <c r="B32" s="17" t="s">
        <v>53</v>
      </c>
      <c r="C32" s="197">
        <f t="shared" si="11"/>
        <v>-4284772.4718800066</v>
      </c>
      <c r="D32" s="197">
        <f t="shared" ref="D32:AG32" si="16">SUM(D29,D31)</f>
        <v>0</v>
      </c>
      <c r="E32" s="197">
        <f t="shared" si="16"/>
        <v>0</v>
      </c>
      <c r="F32" s="197">
        <f t="shared" si="16"/>
        <v>1902029.6095778504</v>
      </c>
      <c r="G32" s="197">
        <f t="shared" si="16"/>
        <v>-18044521.973813839</v>
      </c>
      <c r="H32" s="197">
        <f t="shared" si="16"/>
        <v>-14644014.314874563</v>
      </c>
      <c r="I32" s="197">
        <f t="shared" si="16"/>
        <v>-24843495.57926672</v>
      </c>
      <c r="J32" s="197">
        <f t="shared" si="16"/>
        <v>-1042965.5253072092</v>
      </c>
      <c r="K32" s="197">
        <f t="shared" si="16"/>
        <v>2357576.093960382</v>
      </c>
      <c r="L32" s="197">
        <f t="shared" si="16"/>
        <v>2358129.5308808358</v>
      </c>
      <c r="M32" s="197">
        <f t="shared" si="16"/>
        <v>2358695.0433048764</v>
      </c>
      <c r="N32" s="197">
        <f t="shared" si="16"/>
        <v>2359272.8947092965</v>
      </c>
      <c r="O32" s="197">
        <f t="shared" si="16"/>
        <v>2359863.3543197252</v>
      </c>
      <c r="P32" s="197">
        <f t="shared" si="16"/>
        <v>2360466.6972360518</v>
      </c>
      <c r="Q32" s="197">
        <f t="shared" si="16"/>
        <v>2361083.2045606058</v>
      </c>
      <c r="R32" s="197">
        <f t="shared" si="16"/>
        <v>3441713.1635291232</v>
      </c>
      <c r="S32" s="197">
        <f t="shared" si="16"/>
        <v>2902356.8676445577</v>
      </c>
      <c r="T32" s="197">
        <f t="shared" si="16"/>
        <v>2363014.6168138459</v>
      </c>
      <c r="U32" s="197">
        <f t="shared" si="16"/>
        <v>2363686.7174876304</v>
      </c>
      <c r="V32" s="197">
        <f t="shared" si="16"/>
        <v>1824373.4828030318</v>
      </c>
      <c r="W32" s="197">
        <f t="shared" si="16"/>
        <v>1915075.232729543</v>
      </c>
      <c r="X32" s="197">
        <f t="shared" si="16"/>
        <v>12565792.294218116</v>
      </c>
      <c r="Y32" s="197">
        <f t="shared" si="16"/>
        <v>7736525.0013534725</v>
      </c>
      <c r="Z32" s="197">
        <f t="shared" si="16"/>
        <v>2367273.6955097765</v>
      </c>
      <c r="AA32" s="197">
        <f t="shared" si="16"/>
        <v>-3091961.2744903294</v>
      </c>
      <c r="AB32" s="197">
        <f t="shared" si="16"/>
        <v>-2181179.5522132097</v>
      </c>
      <c r="AC32" s="197">
        <f t="shared" si="16"/>
        <v>-4910380.7734481469</v>
      </c>
      <c r="AD32" s="197">
        <f t="shared" si="16"/>
        <v>1460435.4339623228</v>
      </c>
      <c r="AE32" s="197">
        <f t="shared" si="16"/>
        <v>2371269.4502958078</v>
      </c>
      <c r="AF32" s="197">
        <f t="shared" si="16"/>
        <v>2372121.6641272418</v>
      </c>
      <c r="AG32" s="197">
        <f t="shared" si="16"/>
        <v>2372992.4725099178</v>
      </c>
    </row>
    <row r="35" spans="2:33" x14ac:dyDescent="0.2">
      <c r="C35" s="3"/>
      <c r="D35" s="3" t="s">
        <v>10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2">
      <c r="B36" s="4" t="s">
        <v>226</v>
      </c>
      <c r="C36" s="4"/>
      <c r="D36" s="3">
        <v>1</v>
      </c>
      <c r="E36" s="3">
        <v>2</v>
      </c>
      <c r="F36" s="3">
        <v>3</v>
      </c>
      <c r="G36" s="3">
        <v>4</v>
      </c>
      <c r="H36" s="3">
        <v>5</v>
      </c>
      <c r="I36" s="3">
        <v>6</v>
      </c>
      <c r="J36" s="3">
        <v>7</v>
      </c>
      <c r="K36" s="3">
        <v>8</v>
      </c>
      <c r="L36" s="3">
        <v>9</v>
      </c>
      <c r="M36" s="3">
        <v>10</v>
      </c>
      <c r="N36" s="3">
        <v>11</v>
      </c>
      <c r="O36" s="3">
        <v>12</v>
      </c>
      <c r="P36" s="3">
        <v>13</v>
      </c>
      <c r="Q36" s="3">
        <v>14</v>
      </c>
      <c r="R36" s="3">
        <v>15</v>
      </c>
      <c r="S36" s="3">
        <v>16</v>
      </c>
      <c r="T36" s="3">
        <v>17</v>
      </c>
      <c r="U36" s="3">
        <v>18</v>
      </c>
      <c r="V36" s="3">
        <v>19</v>
      </c>
      <c r="W36" s="3">
        <v>20</v>
      </c>
      <c r="X36" s="3">
        <v>21</v>
      </c>
      <c r="Y36" s="3">
        <v>22</v>
      </c>
      <c r="Z36" s="3">
        <v>23</v>
      </c>
      <c r="AA36" s="3">
        <v>24</v>
      </c>
      <c r="AB36" s="3">
        <v>25</v>
      </c>
      <c r="AC36" s="3">
        <v>26</v>
      </c>
      <c r="AD36" s="3">
        <v>27</v>
      </c>
      <c r="AE36" s="3">
        <v>28</v>
      </c>
      <c r="AF36" s="3">
        <v>29</v>
      </c>
      <c r="AG36" s="3">
        <v>30</v>
      </c>
    </row>
    <row r="37" spans="2:33" x14ac:dyDescent="0.2">
      <c r="B37" s="169" t="s">
        <v>41</v>
      </c>
      <c r="C37" s="169" t="s">
        <v>9</v>
      </c>
      <c r="D37" s="170">
        <f t="shared" ref="D37:AG37" si="17">D4</f>
        <v>2023</v>
      </c>
      <c r="E37" s="170">
        <f t="shared" si="17"/>
        <v>2024</v>
      </c>
      <c r="F37" s="170">
        <f t="shared" si="17"/>
        <v>2025</v>
      </c>
      <c r="G37" s="170">
        <f t="shared" si="17"/>
        <v>2026</v>
      </c>
      <c r="H37" s="170">
        <f t="shared" si="17"/>
        <v>2027</v>
      </c>
      <c r="I37" s="170">
        <f t="shared" si="17"/>
        <v>2028</v>
      </c>
      <c r="J37" s="170">
        <f t="shared" si="17"/>
        <v>2029</v>
      </c>
      <c r="K37" s="170">
        <f t="shared" si="17"/>
        <v>2030</v>
      </c>
      <c r="L37" s="170">
        <f t="shared" si="17"/>
        <v>2031</v>
      </c>
      <c r="M37" s="170">
        <f t="shared" si="17"/>
        <v>2032</v>
      </c>
      <c r="N37" s="170">
        <f t="shared" si="17"/>
        <v>2033</v>
      </c>
      <c r="O37" s="170">
        <f t="shared" si="17"/>
        <v>2034</v>
      </c>
      <c r="P37" s="170">
        <f t="shared" si="17"/>
        <v>2035</v>
      </c>
      <c r="Q37" s="170">
        <f t="shared" si="17"/>
        <v>2036</v>
      </c>
      <c r="R37" s="170">
        <f t="shared" si="17"/>
        <v>2037</v>
      </c>
      <c r="S37" s="170">
        <f t="shared" si="17"/>
        <v>2038</v>
      </c>
      <c r="T37" s="170">
        <f t="shared" si="17"/>
        <v>2039</v>
      </c>
      <c r="U37" s="170">
        <f t="shared" si="17"/>
        <v>2040</v>
      </c>
      <c r="V37" s="170">
        <f t="shared" si="17"/>
        <v>2041</v>
      </c>
      <c r="W37" s="170">
        <f t="shared" si="17"/>
        <v>2042</v>
      </c>
      <c r="X37" s="170">
        <f t="shared" si="17"/>
        <v>2043</v>
      </c>
      <c r="Y37" s="170">
        <f t="shared" si="17"/>
        <v>2044</v>
      </c>
      <c r="Z37" s="170">
        <f t="shared" si="17"/>
        <v>2045</v>
      </c>
      <c r="AA37" s="170">
        <f t="shared" si="17"/>
        <v>2046</v>
      </c>
      <c r="AB37" s="170">
        <f t="shared" si="17"/>
        <v>2047</v>
      </c>
      <c r="AC37" s="170">
        <f t="shared" si="17"/>
        <v>2048</v>
      </c>
      <c r="AD37" s="170">
        <f t="shared" si="17"/>
        <v>2049</v>
      </c>
      <c r="AE37" s="170">
        <f t="shared" si="17"/>
        <v>2050</v>
      </c>
      <c r="AF37" s="170">
        <f t="shared" si="17"/>
        <v>2051</v>
      </c>
      <c r="AG37" s="170">
        <f t="shared" si="17"/>
        <v>2052</v>
      </c>
    </row>
    <row r="38" spans="2:33" x14ac:dyDescent="0.2">
      <c r="B38" s="3" t="s">
        <v>353</v>
      </c>
      <c r="C38" s="183">
        <f t="shared" ref="C38:C43" si="18">SUM(D38:AG38)</f>
        <v>59143704.775307983</v>
      </c>
      <c r="D38" s="183">
        <f>D27*Parametre!$C$71</f>
        <v>0</v>
      </c>
      <c r="E38" s="183">
        <f>E27*Parametre!$C$71</f>
        <v>0</v>
      </c>
      <c r="F38" s="183">
        <f>F27*Parametre!$C$71</f>
        <v>1711826.6486200655</v>
      </c>
      <c r="G38" s="183">
        <f>G27*Parametre!$C$71</f>
        <v>2119930.2235675449</v>
      </c>
      <c r="H38" s="183">
        <f>H27*Parametre!$C$71</f>
        <v>2120387.1166128921</v>
      </c>
      <c r="I38" s="183">
        <f>I27*Parametre!$C$71</f>
        <v>2120853.9786599507</v>
      </c>
      <c r="J38" s="183">
        <f>J27*Parametre!$C$71</f>
        <v>2121331.0272235116</v>
      </c>
      <c r="K38" s="183">
        <f>K27*Parametre!$C$71</f>
        <v>2121818.4845643439</v>
      </c>
      <c r="L38" s="183">
        <f>L27*Parametre!$C$71</f>
        <v>2122316.5777927525</v>
      </c>
      <c r="M38" s="183">
        <f>M27*Parametre!$C$71</f>
        <v>2122825.538974389</v>
      </c>
      <c r="N38" s="183">
        <f>N27*Parametre!$C$71</f>
        <v>2123345.6052383669</v>
      </c>
      <c r="O38" s="183">
        <f>O27*Parametre!$C$71</f>
        <v>2123877.0188877527</v>
      </c>
      <c r="P38" s="183">
        <f>P27*Parametre!$C$71</f>
        <v>2124420.0275124465</v>
      </c>
      <c r="Q38" s="183">
        <f>Q27*Parametre!$C$71</f>
        <v>2124974.8841045452</v>
      </c>
      <c r="R38" s="183">
        <f>R27*Parametre!$C$71</f>
        <v>2125541.847176211</v>
      </c>
      <c r="S38" s="183">
        <f>S27*Parametre!$C$71</f>
        <v>2126121.1808801019</v>
      </c>
      <c r="T38" s="183">
        <f>T27*Parametre!$C$71</f>
        <v>2126713.1551324613</v>
      </c>
      <c r="U38" s="183">
        <f>U27*Parametre!$C$71</f>
        <v>2127318.0457388675</v>
      </c>
      <c r="V38" s="183">
        <f>V27*Parametre!$C$71</f>
        <v>2127936.1345227286</v>
      </c>
      <c r="W38" s="183">
        <f>W27*Parametre!$C$71</f>
        <v>2128567.7094565886</v>
      </c>
      <c r="X38" s="183">
        <f>X27*Parametre!$C$71</f>
        <v>2129213.0647963039</v>
      </c>
      <c r="Y38" s="183">
        <f>Y27*Parametre!$C$71</f>
        <v>2129872.5012181252</v>
      </c>
      <c r="Z38" s="183">
        <f>Z27*Parametre!$C$71</f>
        <v>2130546.3259587991</v>
      </c>
      <c r="AA38" s="183">
        <f>AA27*Parametre!$C$71</f>
        <v>2131234.8529587034</v>
      </c>
      <c r="AB38" s="183">
        <f>AB27*Parametre!$C$71</f>
        <v>2131938.4030081113</v>
      </c>
      <c r="AC38" s="183">
        <f>AC27*Parametre!$C$71</f>
        <v>2132657.3038966679</v>
      </c>
      <c r="AD38" s="183">
        <f>AD27*Parametre!$C$71</f>
        <v>2133391.8905660906</v>
      </c>
      <c r="AE38" s="183">
        <f>AE27*Parametre!$C$71</f>
        <v>2134142.5052662273</v>
      </c>
      <c r="AF38" s="183">
        <f>AF27*Parametre!$C$71</f>
        <v>2134909.4977145176</v>
      </c>
      <c r="AG38" s="183">
        <f>AG27*Parametre!$C$71</f>
        <v>2135693.2252589259</v>
      </c>
    </row>
    <row r="39" spans="2:33" x14ac:dyDescent="0.2">
      <c r="B39" s="3" t="s">
        <v>351</v>
      </c>
      <c r="C39" s="183">
        <f t="shared" si="18"/>
        <v>-63000000</v>
      </c>
      <c r="D39" s="183">
        <f>D28*Parametre!$C$71</f>
        <v>0</v>
      </c>
      <c r="E39" s="183">
        <f>E28*Parametre!$C$71</f>
        <v>0</v>
      </c>
      <c r="F39" s="183">
        <f>F28*Parametre!$C$71</f>
        <v>0</v>
      </c>
      <c r="G39" s="183">
        <f>G28*Parametre!$C$71</f>
        <v>-18360000</v>
      </c>
      <c r="H39" s="183">
        <f>H28*Parametre!$C$71</f>
        <v>-15300000</v>
      </c>
      <c r="I39" s="183">
        <f>I28*Parametre!$C$71</f>
        <v>-24480000</v>
      </c>
      <c r="J39" s="183">
        <f>J28*Parametre!$C$71</f>
        <v>-3060000</v>
      </c>
      <c r="K39" s="183">
        <f>K28*Parametre!$C$71</f>
        <v>0</v>
      </c>
      <c r="L39" s="183">
        <f>L28*Parametre!$C$71</f>
        <v>0</v>
      </c>
      <c r="M39" s="183">
        <f>M28*Parametre!$C$71</f>
        <v>0</v>
      </c>
      <c r="N39" s="183">
        <f>N28*Parametre!$C$71</f>
        <v>0</v>
      </c>
      <c r="O39" s="183">
        <f>O28*Parametre!$C$71</f>
        <v>0</v>
      </c>
      <c r="P39" s="183">
        <f>P28*Parametre!$C$71</f>
        <v>0</v>
      </c>
      <c r="Q39" s="183">
        <f>Q28*Parametre!$C$71</f>
        <v>0</v>
      </c>
      <c r="R39" s="183">
        <f>R28*Parametre!$C$71</f>
        <v>972000</v>
      </c>
      <c r="S39" s="183">
        <f>S28*Parametre!$C$71</f>
        <v>486000</v>
      </c>
      <c r="T39" s="183">
        <f>T28*Parametre!$C$71</f>
        <v>0</v>
      </c>
      <c r="U39" s="183">
        <f>U28*Parametre!$C$71</f>
        <v>0</v>
      </c>
      <c r="V39" s="183">
        <f>V28*Parametre!$C$71</f>
        <v>-486000</v>
      </c>
      <c r="W39" s="183">
        <f>W28*Parametre!$C$71</f>
        <v>-405000</v>
      </c>
      <c r="X39" s="183">
        <f>X28*Parametre!$C$71</f>
        <v>9180000</v>
      </c>
      <c r="Y39" s="183">
        <f>Y28*Parametre!$C$71</f>
        <v>4833000</v>
      </c>
      <c r="Z39" s="183">
        <f>Z28*Parametre!$C$71</f>
        <v>0</v>
      </c>
      <c r="AA39" s="183">
        <f>AA28*Parametre!$C$71</f>
        <v>-4914000</v>
      </c>
      <c r="AB39" s="183">
        <f>AB28*Parametre!$C$71</f>
        <v>-4095000</v>
      </c>
      <c r="AC39" s="183">
        <f>AC28*Parametre!$C$71</f>
        <v>-6552000</v>
      </c>
      <c r="AD39" s="183">
        <f>AD28*Parametre!$C$71</f>
        <v>-819000</v>
      </c>
      <c r="AE39" s="183">
        <f>AE28*Parametre!$C$71</f>
        <v>0</v>
      </c>
      <c r="AF39" s="183">
        <f>AF28*Parametre!$C$71</f>
        <v>0</v>
      </c>
      <c r="AG39" s="183">
        <f>AG28*Parametre!$C$71</f>
        <v>0</v>
      </c>
    </row>
    <row r="40" spans="2:33" x14ac:dyDescent="0.2">
      <c r="B40" s="4" t="s">
        <v>352</v>
      </c>
      <c r="C40" s="188">
        <f t="shared" si="18"/>
        <v>-3856295.2246920131</v>
      </c>
      <c r="D40" s="188">
        <f t="shared" ref="D40:AG40" si="19">SUM(D38:D39)</f>
        <v>0</v>
      </c>
      <c r="E40" s="188">
        <f t="shared" si="19"/>
        <v>0</v>
      </c>
      <c r="F40" s="188">
        <f t="shared" si="19"/>
        <v>1711826.6486200655</v>
      </c>
      <c r="G40" s="188">
        <f t="shared" si="19"/>
        <v>-16240069.776432455</v>
      </c>
      <c r="H40" s="188">
        <f t="shared" si="19"/>
        <v>-13179612.883387107</v>
      </c>
      <c r="I40" s="188">
        <f t="shared" si="19"/>
        <v>-22359146.02134005</v>
      </c>
      <c r="J40" s="188">
        <f t="shared" si="19"/>
        <v>-938668.9727764884</v>
      </c>
      <c r="K40" s="188">
        <f t="shared" si="19"/>
        <v>2121818.4845643439</v>
      </c>
      <c r="L40" s="188">
        <f t="shared" si="19"/>
        <v>2122316.5777927525</v>
      </c>
      <c r="M40" s="188">
        <f t="shared" si="19"/>
        <v>2122825.538974389</v>
      </c>
      <c r="N40" s="188">
        <f t="shared" si="19"/>
        <v>2123345.6052383669</v>
      </c>
      <c r="O40" s="188">
        <f t="shared" si="19"/>
        <v>2123877.0188877527</v>
      </c>
      <c r="P40" s="188">
        <f t="shared" si="19"/>
        <v>2124420.0275124465</v>
      </c>
      <c r="Q40" s="188">
        <f t="shared" si="19"/>
        <v>2124974.8841045452</v>
      </c>
      <c r="R40" s="188">
        <f t="shared" si="19"/>
        <v>3097541.847176211</v>
      </c>
      <c r="S40" s="188">
        <f t="shared" si="19"/>
        <v>2612121.1808801019</v>
      </c>
      <c r="T40" s="188">
        <f t="shared" si="19"/>
        <v>2126713.1551324613</v>
      </c>
      <c r="U40" s="188">
        <f t="shared" si="19"/>
        <v>2127318.0457388675</v>
      </c>
      <c r="V40" s="188">
        <f t="shared" si="19"/>
        <v>1641936.1345227286</v>
      </c>
      <c r="W40" s="188">
        <f t="shared" si="19"/>
        <v>1723567.7094565886</v>
      </c>
      <c r="X40" s="188">
        <f t="shared" si="19"/>
        <v>11309213.064796304</v>
      </c>
      <c r="Y40" s="188">
        <f t="shared" si="19"/>
        <v>6962872.5012181252</v>
      </c>
      <c r="Z40" s="188">
        <f t="shared" si="19"/>
        <v>2130546.3259587991</v>
      </c>
      <c r="AA40" s="188">
        <f t="shared" si="19"/>
        <v>-2782765.1470412966</v>
      </c>
      <c r="AB40" s="188">
        <f t="shared" si="19"/>
        <v>-1963061.5969918887</v>
      </c>
      <c r="AC40" s="188">
        <f t="shared" si="19"/>
        <v>-4419342.6961033326</v>
      </c>
      <c r="AD40" s="188">
        <f t="shared" si="19"/>
        <v>1314391.8905660906</v>
      </c>
      <c r="AE40" s="188">
        <f t="shared" si="19"/>
        <v>2134142.5052662273</v>
      </c>
      <c r="AF40" s="188">
        <f t="shared" si="19"/>
        <v>2134909.4977145176</v>
      </c>
      <c r="AG40" s="188">
        <f t="shared" si="19"/>
        <v>2135693.2252589259</v>
      </c>
    </row>
    <row r="41" spans="2:33" x14ac:dyDescent="0.2">
      <c r="B41" s="3" t="s">
        <v>227</v>
      </c>
      <c r="C41" s="183">
        <f t="shared" si="18"/>
        <v>0</v>
      </c>
      <c r="D41" s="183">
        <f>D30*Parametre!$C$71</f>
        <v>0</v>
      </c>
      <c r="E41" s="183">
        <f>E30*Parametre!$C$71</f>
        <v>0</v>
      </c>
      <c r="F41" s="183">
        <f>F30*Parametre!$C$71</f>
        <v>0</v>
      </c>
      <c r="G41" s="183">
        <f>G30*Parametre!$C$71</f>
        <v>0</v>
      </c>
      <c r="H41" s="183">
        <f>H30*Parametre!$C$71</f>
        <v>0</v>
      </c>
      <c r="I41" s="183">
        <f>I30*Parametre!$C$71</f>
        <v>0</v>
      </c>
      <c r="J41" s="183">
        <f>J30*Parametre!$C$71</f>
        <v>0</v>
      </c>
      <c r="K41" s="183">
        <f>K30*Parametre!$C$71</f>
        <v>0</v>
      </c>
      <c r="L41" s="183">
        <f>L30*Parametre!$C$71</f>
        <v>0</v>
      </c>
      <c r="M41" s="183">
        <f>M30*Parametre!$C$71</f>
        <v>0</v>
      </c>
      <c r="N41" s="183">
        <f>N30*Parametre!$C$71</f>
        <v>0</v>
      </c>
      <c r="O41" s="183">
        <f>O30*Parametre!$C$71</f>
        <v>0</v>
      </c>
      <c r="P41" s="183">
        <f>P30*Parametre!$C$71</f>
        <v>0</v>
      </c>
      <c r="Q41" s="183">
        <f>Q30*Parametre!$C$71</f>
        <v>0</v>
      </c>
      <c r="R41" s="183">
        <f>R30*Parametre!$C$71</f>
        <v>0</v>
      </c>
      <c r="S41" s="183">
        <f>S30*Parametre!$C$71</f>
        <v>0</v>
      </c>
      <c r="T41" s="183">
        <f>T30*Parametre!$C$71</f>
        <v>0</v>
      </c>
      <c r="U41" s="183">
        <f>U30*Parametre!$C$71</f>
        <v>0</v>
      </c>
      <c r="V41" s="183">
        <f>V30*Parametre!$C$71</f>
        <v>0</v>
      </c>
      <c r="W41" s="183">
        <f>W30*Parametre!$C$71</f>
        <v>0</v>
      </c>
      <c r="X41" s="183">
        <f>X30*Parametre!$C$71</f>
        <v>0</v>
      </c>
      <c r="Y41" s="183">
        <f>Y30*Parametre!$C$71</f>
        <v>0</v>
      </c>
      <c r="Z41" s="183">
        <f>Z30*Parametre!$C$71</f>
        <v>0</v>
      </c>
      <c r="AA41" s="183">
        <f>AA30*Parametre!$C$71</f>
        <v>0</v>
      </c>
      <c r="AB41" s="183">
        <f>AB30*Parametre!$C$71</f>
        <v>0</v>
      </c>
      <c r="AC41" s="183">
        <f>AC30*Parametre!$C$71</f>
        <v>0</v>
      </c>
      <c r="AD41" s="183">
        <f>AD30*Parametre!$C$71</f>
        <v>0</v>
      </c>
      <c r="AE41" s="183">
        <f>AE30*Parametre!$C$71</f>
        <v>0</v>
      </c>
      <c r="AF41" s="183">
        <f>AF30*Parametre!$C$71</f>
        <v>0</v>
      </c>
      <c r="AG41" s="183">
        <f>AG30*Parametre!$C$71</f>
        <v>0</v>
      </c>
    </row>
    <row r="42" spans="2:33" ht="12" thickBot="1" x14ac:dyDescent="0.25">
      <c r="B42" s="16" t="s">
        <v>228</v>
      </c>
      <c r="C42" s="196">
        <f t="shared" si="18"/>
        <v>0</v>
      </c>
      <c r="D42" s="196">
        <f t="shared" ref="D42:AG42" si="20">SUM(D41:D41)</f>
        <v>0</v>
      </c>
      <c r="E42" s="196">
        <f t="shared" si="20"/>
        <v>0</v>
      </c>
      <c r="F42" s="196">
        <f t="shared" si="20"/>
        <v>0</v>
      </c>
      <c r="G42" s="196">
        <f t="shared" si="20"/>
        <v>0</v>
      </c>
      <c r="H42" s="196">
        <f t="shared" si="20"/>
        <v>0</v>
      </c>
      <c r="I42" s="196">
        <f t="shared" si="20"/>
        <v>0</v>
      </c>
      <c r="J42" s="196">
        <f t="shared" si="20"/>
        <v>0</v>
      </c>
      <c r="K42" s="196">
        <f t="shared" si="20"/>
        <v>0</v>
      </c>
      <c r="L42" s="196">
        <f t="shared" si="20"/>
        <v>0</v>
      </c>
      <c r="M42" s="196">
        <f t="shared" si="20"/>
        <v>0</v>
      </c>
      <c r="N42" s="196">
        <f t="shared" si="20"/>
        <v>0</v>
      </c>
      <c r="O42" s="196">
        <f t="shared" si="20"/>
        <v>0</v>
      </c>
      <c r="P42" s="196">
        <f t="shared" si="20"/>
        <v>0</v>
      </c>
      <c r="Q42" s="196">
        <f t="shared" si="20"/>
        <v>0</v>
      </c>
      <c r="R42" s="196">
        <f t="shared" si="20"/>
        <v>0</v>
      </c>
      <c r="S42" s="196">
        <f t="shared" si="20"/>
        <v>0</v>
      </c>
      <c r="T42" s="196">
        <f t="shared" si="20"/>
        <v>0</v>
      </c>
      <c r="U42" s="196">
        <f t="shared" si="20"/>
        <v>0</v>
      </c>
      <c r="V42" s="196">
        <f t="shared" si="20"/>
        <v>0</v>
      </c>
      <c r="W42" s="196">
        <f t="shared" si="20"/>
        <v>0</v>
      </c>
      <c r="X42" s="196">
        <f t="shared" si="20"/>
        <v>0</v>
      </c>
      <c r="Y42" s="196">
        <f t="shared" si="20"/>
        <v>0</v>
      </c>
      <c r="Z42" s="196">
        <f t="shared" si="20"/>
        <v>0</v>
      </c>
      <c r="AA42" s="196">
        <f t="shared" si="20"/>
        <v>0</v>
      </c>
      <c r="AB42" s="196">
        <f t="shared" si="20"/>
        <v>0</v>
      </c>
      <c r="AC42" s="196">
        <f t="shared" si="20"/>
        <v>0</v>
      </c>
      <c r="AD42" s="196">
        <f t="shared" si="20"/>
        <v>0</v>
      </c>
      <c r="AE42" s="196">
        <f t="shared" si="20"/>
        <v>0</v>
      </c>
      <c r="AF42" s="196">
        <f t="shared" si="20"/>
        <v>0</v>
      </c>
      <c r="AG42" s="196">
        <f t="shared" si="20"/>
        <v>0</v>
      </c>
    </row>
    <row r="43" spans="2:33" ht="12" thickTop="1" x14ac:dyDescent="0.2">
      <c r="B43" s="17" t="s">
        <v>229</v>
      </c>
      <c r="C43" s="197">
        <f t="shared" si="18"/>
        <v>-3856295.2246920131</v>
      </c>
      <c r="D43" s="197">
        <f t="shared" ref="D43:AG43" si="21">SUM(D40,D42)</f>
        <v>0</v>
      </c>
      <c r="E43" s="197">
        <f t="shared" si="21"/>
        <v>0</v>
      </c>
      <c r="F43" s="197">
        <f t="shared" si="21"/>
        <v>1711826.6486200655</v>
      </c>
      <c r="G43" s="197">
        <f t="shared" si="21"/>
        <v>-16240069.776432455</v>
      </c>
      <c r="H43" s="197">
        <f t="shared" si="21"/>
        <v>-13179612.883387107</v>
      </c>
      <c r="I43" s="197">
        <f t="shared" si="21"/>
        <v>-22359146.02134005</v>
      </c>
      <c r="J43" s="197">
        <f t="shared" si="21"/>
        <v>-938668.9727764884</v>
      </c>
      <c r="K43" s="197">
        <f t="shared" si="21"/>
        <v>2121818.4845643439</v>
      </c>
      <c r="L43" s="197">
        <f t="shared" si="21"/>
        <v>2122316.5777927525</v>
      </c>
      <c r="M43" s="197">
        <f t="shared" si="21"/>
        <v>2122825.538974389</v>
      </c>
      <c r="N43" s="197">
        <f t="shared" si="21"/>
        <v>2123345.6052383669</v>
      </c>
      <c r="O43" s="197">
        <f t="shared" si="21"/>
        <v>2123877.0188877527</v>
      </c>
      <c r="P43" s="197">
        <f t="shared" si="21"/>
        <v>2124420.0275124465</v>
      </c>
      <c r="Q43" s="197">
        <f t="shared" si="21"/>
        <v>2124974.8841045452</v>
      </c>
      <c r="R43" s="197">
        <f t="shared" si="21"/>
        <v>3097541.847176211</v>
      </c>
      <c r="S43" s="197">
        <f t="shared" si="21"/>
        <v>2612121.1808801019</v>
      </c>
      <c r="T43" s="197">
        <f t="shared" si="21"/>
        <v>2126713.1551324613</v>
      </c>
      <c r="U43" s="197">
        <f t="shared" si="21"/>
        <v>2127318.0457388675</v>
      </c>
      <c r="V43" s="197">
        <f t="shared" si="21"/>
        <v>1641936.1345227286</v>
      </c>
      <c r="W43" s="197">
        <f t="shared" si="21"/>
        <v>1723567.7094565886</v>
      </c>
      <c r="X43" s="197">
        <f t="shared" si="21"/>
        <v>11309213.064796304</v>
      </c>
      <c r="Y43" s="197">
        <f t="shared" si="21"/>
        <v>6962872.5012181252</v>
      </c>
      <c r="Z43" s="197">
        <f t="shared" si="21"/>
        <v>2130546.3259587991</v>
      </c>
      <c r="AA43" s="197">
        <f t="shared" si="21"/>
        <v>-2782765.1470412966</v>
      </c>
      <c r="AB43" s="197">
        <f t="shared" si="21"/>
        <v>-1963061.5969918887</v>
      </c>
      <c r="AC43" s="197">
        <f t="shared" si="21"/>
        <v>-4419342.6961033326</v>
      </c>
      <c r="AD43" s="197">
        <f t="shared" si="21"/>
        <v>1314391.8905660906</v>
      </c>
      <c r="AE43" s="197">
        <f t="shared" si="21"/>
        <v>2134142.5052662273</v>
      </c>
      <c r="AF43" s="197">
        <f t="shared" si="21"/>
        <v>2134909.4977145176</v>
      </c>
      <c r="AG43" s="197">
        <f t="shared" si="21"/>
        <v>2135693.2252589259</v>
      </c>
    </row>
    <row r="45" spans="2:33" x14ac:dyDescent="0.2">
      <c r="B45" s="2" t="s">
        <v>214</v>
      </c>
    </row>
    <row r="46" spans="2:33" x14ac:dyDescent="0.2">
      <c r="B46" s="2" t="s">
        <v>215</v>
      </c>
    </row>
    <row r="48" spans="2:33" x14ac:dyDescent="0.2">
      <c r="G48" s="2" t="s">
        <v>486</v>
      </c>
      <c r="H48" s="2">
        <v>2</v>
      </c>
    </row>
  </sheetData>
  <sheetProtection algorithmName="SHA-512" hashValue="kwpCwIWGNYJewk/1rjgQ/HjBwAjwqki4yywhZw+sd26WEdkHPFZ+sgV0BSIeunNcCVInVA9v/mGLoIH9DrBPPg==" saltValue="ojeII9mRT8Xc5lXrBJixkQ==" spinCount="100000" sheet="1" formatCells="0" formatColumns="0" formatRows="0" insertColumns="0" insertRows="0" insertHyperlinks="0" deleteColumns="0" deleteRows="0" sort="0" autoFilter="0" pivotTables="0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28:Z29 AA29:AG29 D40:AG40" formula="1"/>
    <ignoredError sqref="D7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9D4F-60B7-4CC5-A341-B9382C475666}">
  <sheetPr>
    <tabColor rgb="FFFFC000"/>
  </sheetPr>
  <dimension ref="B2:AG23"/>
  <sheetViews>
    <sheetView zoomScaleNormal="100" workbookViewId="0">
      <selection activeCell="AB6" sqref="AB6"/>
    </sheetView>
  </sheetViews>
  <sheetFormatPr defaultColWidth="9.140625" defaultRowHeight="11.25" x14ac:dyDescent="0.2"/>
  <cols>
    <col min="1" max="1" width="2.7109375" style="2" customWidth="1"/>
    <col min="2" max="2" width="30.7109375" style="2" customWidth="1"/>
    <col min="3" max="3" width="13.7109375" style="2" customWidth="1"/>
    <col min="4" max="33" width="11.140625" style="2" customWidth="1"/>
    <col min="34" max="16384" width="9.140625" style="2"/>
  </cols>
  <sheetData>
    <row r="2" spans="2:33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 t="s">
        <v>250</v>
      </c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</row>
    <row r="4" spans="2:33" x14ac:dyDescent="0.2">
      <c r="B4" s="6" t="s">
        <v>32</v>
      </c>
      <c r="C4" s="6" t="s">
        <v>9</v>
      </c>
      <c r="D4" s="7">
        <v>2023</v>
      </c>
      <c r="E4" s="7">
        <f>$D$4+D3</f>
        <v>2024</v>
      </c>
      <c r="F4" s="7">
        <f>$D$4+E3</f>
        <v>2025</v>
      </c>
      <c r="G4" s="7">
        <f t="shared" ref="G4:AG4" si="0">$D$4+F3</f>
        <v>2026</v>
      </c>
      <c r="H4" s="7">
        <f t="shared" si="0"/>
        <v>2027</v>
      </c>
      <c r="I4" s="7">
        <f t="shared" si="0"/>
        <v>2028</v>
      </c>
      <c r="J4" s="7">
        <f t="shared" si="0"/>
        <v>2029</v>
      </c>
      <c r="K4" s="7">
        <f t="shared" si="0"/>
        <v>2030</v>
      </c>
      <c r="L4" s="7">
        <f t="shared" si="0"/>
        <v>2031</v>
      </c>
      <c r="M4" s="7">
        <f t="shared" si="0"/>
        <v>2032</v>
      </c>
      <c r="N4" s="7">
        <f t="shared" si="0"/>
        <v>2033</v>
      </c>
      <c r="O4" s="7">
        <f t="shared" si="0"/>
        <v>2034</v>
      </c>
      <c r="P4" s="7">
        <f t="shared" si="0"/>
        <v>2035</v>
      </c>
      <c r="Q4" s="7">
        <f t="shared" si="0"/>
        <v>2036</v>
      </c>
      <c r="R4" s="7">
        <f t="shared" si="0"/>
        <v>2037</v>
      </c>
      <c r="S4" s="7">
        <f t="shared" si="0"/>
        <v>2038</v>
      </c>
      <c r="T4" s="7">
        <f t="shared" si="0"/>
        <v>2039</v>
      </c>
      <c r="U4" s="7">
        <f t="shared" si="0"/>
        <v>2040</v>
      </c>
      <c r="V4" s="7">
        <f t="shared" si="0"/>
        <v>2041</v>
      </c>
      <c r="W4" s="7">
        <f t="shared" si="0"/>
        <v>2042</v>
      </c>
      <c r="X4" s="7">
        <f t="shared" si="0"/>
        <v>2043</v>
      </c>
      <c r="Y4" s="7">
        <f t="shared" si="0"/>
        <v>2044</v>
      </c>
      <c r="Z4" s="7">
        <f t="shared" si="0"/>
        <v>2045</v>
      </c>
      <c r="AA4" s="7">
        <f t="shared" si="0"/>
        <v>2046</v>
      </c>
      <c r="AB4" s="7">
        <f t="shared" si="0"/>
        <v>2047</v>
      </c>
      <c r="AC4" s="7">
        <f t="shared" si="0"/>
        <v>2048</v>
      </c>
      <c r="AD4" s="7">
        <f t="shared" si="0"/>
        <v>2049</v>
      </c>
      <c r="AE4" s="7">
        <f t="shared" si="0"/>
        <v>2050</v>
      </c>
      <c r="AF4" s="7">
        <f t="shared" si="0"/>
        <v>2051</v>
      </c>
      <c r="AG4" s="7">
        <f t="shared" si="0"/>
        <v>2052</v>
      </c>
    </row>
    <row r="5" spans="2:33" x14ac:dyDescent="0.2">
      <c r="B5" s="3" t="s">
        <v>354</v>
      </c>
      <c r="C5" s="183">
        <f>SUM(D5:AG5)</f>
        <v>133720946.07956022</v>
      </c>
      <c r="D5" s="186">
        <v>3827958.8400000003</v>
      </c>
      <c r="E5" s="186">
        <v>3904518.0168000003</v>
      </c>
      <c r="F5" s="186">
        <v>3904518.0168000003</v>
      </c>
      <c r="G5" s="186">
        <v>3982608.3771360004</v>
      </c>
      <c r="H5" s="186">
        <v>3982608.3771360004</v>
      </c>
      <c r="I5" s="186">
        <v>4062260.5446787202</v>
      </c>
      <c r="J5" s="186">
        <v>4062260.5446787202</v>
      </c>
      <c r="K5" s="186">
        <v>4143505.7555722944</v>
      </c>
      <c r="L5" s="186">
        <v>4143505.7555722944</v>
      </c>
      <c r="M5" s="186">
        <v>4226375.8706837408</v>
      </c>
      <c r="N5" s="186">
        <v>4226375.8706837408</v>
      </c>
      <c r="O5" s="186">
        <v>4310903.3880974166</v>
      </c>
      <c r="P5" s="186">
        <v>4310903.3880974166</v>
      </c>
      <c r="Q5" s="186">
        <v>4397121.455859364</v>
      </c>
      <c r="R5" s="186">
        <v>4397121.455859364</v>
      </c>
      <c r="S5" s="186">
        <v>4485063.8849765519</v>
      </c>
      <c r="T5" s="186">
        <v>4485063.8849765519</v>
      </c>
      <c r="U5" s="186">
        <v>4574765.1626760829</v>
      </c>
      <c r="V5" s="186">
        <v>4574765.1626760829</v>
      </c>
      <c r="W5" s="186">
        <v>4666260.4659296041</v>
      </c>
      <c r="X5" s="186">
        <v>4666260.4659296041</v>
      </c>
      <c r="Y5" s="186">
        <v>4759585.6752481963</v>
      </c>
      <c r="Z5" s="186">
        <v>4759585.6752481963</v>
      </c>
      <c r="AA5" s="186">
        <v>4854777.3887531608</v>
      </c>
      <c r="AB5" s="186">
        <v>4854777.3887531608</v>
      </c>
      <c r="AC5" s="186">
        <v>4951872.9365282236</v>
      </c>
      <c r="AD5" s="186">
        <v>4951872.9365282236</v>
      </c>
      <c r="AE5" s="186">
        <v>5050910.395258788</v>
      </c>
      <c r="AF5" s="186">
        <v>5050910.395258788</v>
      </c>
      <c r="AG5" s="186">
        <v>5151928.603163965</v>
      </c>
    </row>
    <row r="6" spans="2:33" x14ac:dyDescent="0.2">
      <c r="B6" s="3" t="s">
        <v>55</v>
      </c>
      <c r="C6" s="183">
        <f>SUM(D6:AG6)</f>
        <v>0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</row>
    <row r="7" spans="2:33" x14ac:dyDescent="0.2">
      <c r="B7" s="4" t="s">
        <v>11</v>
      </c>
      <c r="C7" s="188">
        <f>SUM(D7:AG7)</f>
        <v>133720946.07956022</v>
      </c>
      <c r="D7" s="188">
        <f>SUM(D5:D6)</f>
        <v>3827958.8400000003</v>
      </c>
      <c r="E7" s="188">
        <f t="shared" ref="E7:AG7" si="1">SUM(E5:E6)</f>
        <v>3904518.0168000003</v>
      </c>
      <c r="F7" s="188">
        <f t="shared" si="1"/>
        <v>3904518.0168000003</v>
      </c>
      <c r="G7" s="188">
        <f t="shared" si="1"/>
        <v>3982608.3771360004</v>
      </c>
      <c r="H7" s="188">
        <f t="shared" si="1"/>
        <v>3982608.3771360004</v>
      </c>
      <c r="I7" s="188">
        <f t="shared" si="1"/>
        <v>4062260.5446787202</v>
      </c>
      <c r="J7" s="188">
        <f t="shared" si="1"/>
        <v>4062260.5446787202</v>
      </c>
      <c r="K7" s="188">
        <f t="shared" si="1"/>
        <v>4143505.7555722944</v>
      </c>
      <c r="L7" s="188">
        <f t="shared" si="1"/>
        <v>4143505.7555722944</v>
      </c>
      <c r="M7" s="188">
        <f t="shared" si="1"/>
        <v>4226375.8706837408</v>
      </c>
      <c r="N7" s="188">
        <f t="shared" si="1"/>
        <v>4226375.8706837408</v>
      </c>
      <c r="O7" s="188">
        <f t="shared" si="1"/>
        <v>4310903.3880974166</v>
      </c>
      <c r="P7" s="188">
        <f t="shared" si="1"/>
        <v>4310903.3880974166</v>
      </c>
      <c r="Q7" s="188">
        <f t="shared" si="1"/>
        <v>4397121.455859364</v>
      </c>
      <c r="R7" s="188">
        <f t="shared" si="1"/>
        <v>4397121.455859364</v>
      </c>
      <c r="S7" s="188">
        <f t="shared" si="1"/>
        <v>4485063.8849765519</v>
      </c>
      <c r="T7" s="188">
        <f t="shared" si="1"/>
        <v>4485063.8849765519</v>
      </c>
      <c r="U7" s="188">
        <f t="shared" si="1"/>
        <v>4574765.1626760829</v>
      </c>
      <c r="V7" s="188">
        <f t="shared" si="1"/>
        <v>4574765.1626760829</v>
      </c>
      <c r="W7" s="188">
        <f t="shared" si="1"/>
        <v>4666260.4659296041</v>
      </c>
      <c r="X7" s="188">
        <f t="shared" si="1"/>
        <v>4666260.4659296041</v>
      </c>
      <c r="Y7" s="188">
        <f t="shared" si="1"/>
        <v>4759585.6752481963</v>
      </c>
      <c r="Z7" s="188">
        <f t="shared" si="1"/>
        <v>4759585.6752481963</v>
      </c>
      <c r="AA7" s="188">
        <f t="shared" si="1"/>
        <v>4854777.3887531608</v>
      </c>
      <c r="AB7" s="188">
        <f t="shared" si="1"/>
        <v>4854777.3887531608</v>
      </c>
      <c r="AC7" s="188">
        <f t="shared" si="1"/>
        <v>4951872.9365282236</v>
      </c>
      <c r="AD7" s="188">
        <f t="shared" si="1"/>
        <v>4951872.9365282236</v>
      </c>
      <c r="AE7" s="188">
        <f t="shared" si="1"/>
        <v>5050910.395258788</v>
      </c>
      <c r="AF7" s="188">
        <f t="shared" si="1"/>
        <v>5050910.395258788</v>
      </c>
      <c r="AG7" s="188">
        <f t="shared" si="1"/>
        <v>5151928.603163965</v>
      </c>
    </row>
    <row r="10" spans="2:33" x14ac:dyDescent="0.2">
      <c r="B10" s="3"/>
      <c r="C10" s="3"/>
      <c r="D10" s="3" t="s">
        <v>10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3" x14ac:dyDescent="0.2">
      <c r="B11" s="4" t="s">
        <v>251</v>
      </c>
      <c r="C11" s="4"/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3">
        <v>11</v>
      </c>
      <c r="O11" s="3">
        <v>12</v>
      </c>
      <c r="P11" s="3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</row>
    <row r="12" spans="2:33" x14ac:dyDescent="0.2">
      <c r="B12" s="6" t="s">
        <v>33</v>
      </c>
      <c r="C12" s="6" t="s">
        <v>9</v>
      </c>
      <c r="D12" s="15">
        <f>D4</f>
        <v>2023</v>
      </c>
      <c r="E12" s="15">
        <f>E4</f>
        <v>2024</v>
      </c>
      <c r="F12" s="15">
        <f>F4</f>
        <v>2025</v>
      </c>
      <c r="G12" s="15">
        <f t="shared" ref="G12:AG12" si="2">G4</f>
        <v>2026</v>
      </c>
      <c r="H12" s="15">
        <f t="shared" si="2"/>
        <v>2027</v>
      </c>
      <c r="I12" s="15">
        <f t="shared" si="2"/>
        <v>2028</v>
      </c>
      <c r="J12" s="15">
        <f t="shared" si="2"/>
        <v>2029</v>
      </c>
      <c r="K12" s="15">
        <f t="shared" si="2"/>
        <v>2030</v>
      </c>
      <c r="L12" s="15">
        <f t="shared" si="2"/>
        <v>2031</v>
      </c>
      <c r="M12" s="15">
        <f t="shared" si="2"/>
        <v>2032</v>
      </c>
      <c r="N12" s="15">
        <f t="shared" si="2"/>
        <v>2033</v>
      </c>
      <c r="O12" s="15">
        <f t="shared" si="2"/>
        <v>2034</v>
      </c>
      <c r="P12" s="15">
        <f t="shared" si="2"/>
        <v>2035</v>
      </c>
      <c r="Q12" s="15">
        <f t="shared" si="2"/>
        <v>2036</v>
      </c>
      <c r="R12" s="15">
        <f t="shared" si="2"/>
        <v>2037</v>
      </c>
      <c r="S12" s="15">
        <f t="shared" si="2"/>
        <v>2038</v>
      </c>
      <c r="T12" s="15">
        <f t="shared" si="2"/>
        <v>2039</v>
      </c>
      <c r="U12" s="15">
        <f t="shared" si="2"/>
        <v>2040</v>
      </c>
      <c r="V12" s="15">
        <f t="shared" si="2"/>
        <v>2041</v>
      </c>
      <c r="W12" s="15">
        <f t="shared" si="2"/>
        <v>2042</v>
      </c>
      <c r="X12" s="15">
        <f t="shared" si="2"/>
        <v>2043</v>
      </c>
      <c r="Y12" s="15">
        <f t="shared" si="2"/>
        <v>2044</v>
      </c>
      <c r="Z12" s="15">
        <f t="shared" si="2"/>
        <v>2045</v>
      </c>
      <c r="AA12" s="15">
        <f t="shared" si="2"/>
        <v>2046</v>
      </c>
      <c r="AB12" s="15">
        <f t="shared" si="2"/>
        <v>2047</v>
      </c>
      <c r="AC12" s="15">
        <f t="shared" si="2"/>
        <v>2048</v>
      </c>
      <c r="AD12" s="15">
        <f t="shared" si="2"/>
        <v>2049</v>
      </c>
      <c r="AE12" s="15">
        <f t="shared" si="2"/>
        <v>2050</v>
      </c>
      <c r="AF12" s="15">
        <f t="shared" si="2"/>
        <v>2051</v>
      </c>
      <c r="AG12" s="15">
        <f t="shared" si="2"/>
        <v>2052</v>
      </c>
    </row>
    <row r="13" spans="2:33" x14ac:dyDescent="0.2">
      <c r="B13" s="3" t="s">
        <v>354</v>
      </c>
      <c r="C13" s="183">
        <f>SUM(D13:AG13)</f>
        <v>152467702.31627694</v>
      </c>
      <c r="D13" s="186">
        <v>3827958.8400000003</v>
      </c>
      <c r="E13" s="186">
        <v>3904518.0168000003</v>
      </c>
      <c r="F13" s="186">
        <v>4550749.4167199992</v>
      </c>
      <c r="G13" s="186">
        <v>4573081.5812999997</v>
      </c>
      <c r="H13" s="186">
        <v>4573081.5812999997</v>
      </c>
      <c r="I13" s="186">
        <v>4664543.2129260004</v>
      </c>
      <c r="J13" s="186">
        <v>4664543.2129260004</v>
      </c>
      <c r="K13" s="186">
        <v>4757834.0771845197</v>
      </c>
      <c r="L13" s="186">
        <v>4757834.0771845197</v>
      </c>
      <c r="M13" s="186">
        <v>4852990.7587282099</v>
      </c>
      <c r="N13" s="186">
        <v>4852990.7587282099</v>
      </c>
      <c r="O13" s="186">
        <v>4950050.5739027746</v>
      </c>
      <c r="P13" s="186">
        <v>4950050.5739027746</v>
      </c>
      <c r="Q13" s="186">
        <v>5049051.5853808299</v>
      </c>
      <c r="R13" s="186">
        <v>5049051.5853808299</v>
      </c>
      <c r="S13" s="186">
        <v>5150032.6170884473</v>
      </c>
      <c r="T13" s="186">
        <v>5150032.6170884473</v>
      </c>
      <c r="U13" s="186">
        <v>5253033.2694302164</v>
      </c>
      <c r="V13" s="186">
        <v>5253033.2694302164</v>
      </c>
      <c r="W13" s="186">
        <v>5358093.934818821</v>
      </c>
      <c r="X13" s="186">
        <v>5358093.934818821</v>
      </c>
      <c r="Y13" s="186">
        <v>5465255.8135151975</v>
      </c>
      <c r="Z13" s="186">
        <v>5465255.8135151975</v>
      </c>
      <c r="AA13" s="186">
        <v>5574560.9297855012</v>
      </c>
      <c r="AB13" s="186">
        <v>5574560.9297855012</v>
      </c>
      <c r="AC13" s="186">
        <v>5686052.1483812118</v>
      </c>
      <c r="AD13" s="186">
        <v>5686052.1483812118</v>
      </c>
      <c r="AE13" s="186">
        <v>5799773.1913488349</v>
      </c>
      <c r="AF13" s="186">
        <v>5799773.1913488349</v>
      </c>
      <c r="AG13" s="186">
        <v>5915768.6551758125</v>
      </c>
    </row>
    <row r="14" spans="2:33" x14ac:dyDescent="0.2">
      <c r="B14" s="3" t="s">
        <v>55</v>
      </c>
      <c r="C14" s="183">
        <f>SUM(D14:AG14)</f>
        <v>0</v>
      </c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</row>
    <row r="15" spans="2:33" x14ac:dyDescent="0.2">
      <c r="B15" s="4" t="s">
        <v>11</v>
      </c>
      <c r="C15" s="188">
        <f>SUM(D15:AG15)</f>
        <v>152467702.31627694</v>
      </c>
      <c r="D15" s="188">
        <f>SUM(D13:D14)</f>
        <v>3827958.8400000003</v>
      </c>
      <c r="E15" s="188">
        <f t="shared" ref="E15:AG15" si="3">SUM(E13:E14)</f>
        <v>3904518.0168000003</v>
      </c>
      <c r="F15" s="188">
        <f t="shared" si="3"/>
        <v>4550749.4167199992</v>
      </c>
      <c r="G15" s="188">
        <f t="shared" si="3"/>
        <v>4573081.5812999997</v>
      </c>
      <c r="H15" s="188">
        <f t="shared" si="3"/>
        <v>4573081.5812999997</v>
      </c>
      <c r="I15" s="188">
        <f t="shared" si="3"/>
        <v>4664543.2129260004</v>
      </c>
      <c r="J15" s="188">
        <f t="shared" si="3"/>
        <v>4664543.2129260004</v>
      </c>
      <c r="K15" s="188">
        <f t="shared" si="3"/>
        <v>4757834.0771845197</v>
      </c>
      <c r="L15" s="188">
        <f t="shared" si="3"/>
        <v>4757834.0771845197</v>
      </c>
      <c r="M15" s="188">
        <f t="shared" si="3"/>
        <v>4852990.7587282099</v>
      </c>
      <c r="N15" s="188">
        <f t="shared" si="3"/>
        <v>4852990.7587282099</v>
      </c>
      <c r="O15" s="188">
        <f t="shared" si="3"/>
        <v>4950050.5739027746</v>
      </c>
      <c r="P15" s="188">
        <f t="shared" si="3"/>
        <v>4950050.5739027746</v>
      </c>
      <c r="Q15" s="188">
        <f t="shared" si="3"/>
        <v>5049051.5853808299</v>
      </c>
      <c r="R15" s="188">
        <f t="shared" si="3"/>
        <v>5049051.5853808299</v>
      </c>
      <c r="S15" s="188">
        <f t="shared" si="3"/>
        <v>5150032.6170884473</v>
      </c>
      <c r="T15" s="188">
        <f t="shared" si="3"/>
        <v>5150032.6170884473</v>
      </c>
      <c r="U15" s="188">
        <f t="shared" si="3"/>
        <v>5253033.2694302164</v>
      </c>
      <c r="V15" s="188">
        <f t="shared" si="3"/>
        <v>5253033.2694302164</v>
      </c>
      <c r="W15" s="188">
        <f t="shared" si="3"/>
        <v>5358093.934818821</v>
      </c>
      <c r="X15" s="188">
        <f t="shared" si="3"/>
        <v>5358093.934818821</v>
      </c>
      <c r="Y15" s="188">
        <f t="shared" si="3"/>
        <v>5465255.8135151975</v>
      </c>
      <c r="Z15" s="188">
        <f t="shared" si="3"/>
        <v>5465255.8135151975</v>
      </c>
      <c r="AA15" s="188">
        <f t="shared" si="3"/>
        <v>5574560.9297855012</v>
      </c>
      <c r="AB15" s="188">
        <f t="shared" si="3"/>
        <v>5574560.9297855012</v>
      </c>
      <c r="AC15" s="188">
        <f t="shared" si="3"/>
        <v>5686052.1483812118</v>
      </c>
      <c r="AD15" s="188">
        <f t="shared" si="3"/>
        <v>5686052.1483812118</v>
      </c>
      <c r="AE15" s="188">
        <f t="shared" si="3"/>
        <v>5799773.1913488349</v>
      </c>
      <c r="AF15" s="188">
        <f t="shared" si="3"/>
        <v>5799773.1913488349</v>
      </c>
      <c r="AG15" s="188">
        <f t="shared" si="3"/>
        <v>5915768.6551758125</v>
      </c>
    </row>
    <row r="18" spans="2:33" x14ac:dyDescent="0.2">
      <c r="B18" s="3"/>
      <c r="C18" s="3"/>
      <c r="D18" s="3" t="s">
        <v>10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2:33" x14ac:dyDescent="0.2">
      <c r="B19" s="4" t="s">
        <v>252</v>
      </c>
      <c r="C19" s="4"/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  <c r="P19" s="3">
        <v>13</v>
      </c>
      <c r="Q19" s="3">
        <v>14</v>
      </c>
      <c r="R19" s="3">
        <v>15</v>
      </c>
      <c r="S19" s="3">
        <v>16</v>
      </c>
      <c r="T19" s="3">
        <v>17</v>
      </c>
      <c r="U19" s="3">
        <v>18</v>
      </c>
      <c r="V19" s="3">
        <v>19</v>
      </c>
      <c r="W19" s="3">
        <v>20</v>
      </c>
      <c r="X19" s="3">
        <v>21</v>
      </c>
      <c r="Y19" s="3">
        <v>22</v>
      </c>
      <c r="Z19" s="3">
        <v>23</v>
      </c>
      <c r="AA19" s="3">
        <v>24</v>
      </c>
      <c r="AB19" s="3">
        <v>25</v>
      </c>
      <c r="AC19" s="3">
        <v>26</v>
      </c>
      <c r="AD19" s="3">
        <v>27</v>
      </c>
      <c r="AE19" s="3">
        <v>28</v>
      </c>
      <c r="AF19" s="3">
        <v>29</v>
      </c>
      <c r="AG19" s="3">
        <v>30</v>
      </c>
    </row>
    <row r="20" spans="2:33" x14ac:dyDescent="0.2">
      <c r="B20" s="169" t="s">
        <v>253</v>
      </c>
      <c r="C20" s="169" t="s">
        <v>9</v>
      </c>
      <c r="D20" s="170">
        <f>D4</f>
        <v>2023</v>
      </c>
      <c r="E20" s="170">
        <f t="shared" ref="E20:AG20" si="4">E4</f>
        <v>2024</v>
      </c>
      <c r="F20" s="170">
        <f t="shared" si="4"/>
        <v>2025</v>
      </c>
      <c r="G20" s="170">
        <f t="shared" si="4"/>
        <v>2026</v>
      </c>
      <c r="H20" s="170">
        <f t="shared" si="4"/>
        <v>2027</v>
      </c>
      <c r="I20" s="170">
        <f t="shared" si="4"/>
        <v>2028</v>
      </c>
      <c r="J20" s="170">
        <f t="shared" si="4"/>
        <v>2029</v>
      </c>
      <c r="K20" s="170">
        <f t="shared" si="4"/>
        <v>2030</v>
      </c>
      <c r="L20" s="170">
        <f t="shared" si="4"/>
        <v>2031</v>
      </c>
      <c r="M20" s="170">
        <f t="shared" si="4"/>
        <v>2032</v>
      </c>
      <c r="N20" s="170">
        <f t="shared" si="4"/>
        <v>2033</v>
      </c>
      <c r="O20" s="170">
        <f t="shared" si="4"/>
        <v>2034</v>
      </c>
      <c r="P20" s="170">
        <f t="shared" si="4"/>
        <v>2035</v>
      </c>
      <c r="Q20" s="170">
        <f t="shared" si="4"/>
        <v>2036</v>
      </c>
      <c r="R20" s="170">
        <f t="shared" si="4"/>
        <v>2037</v>
      </c>
      <c r="S20" s="170">
        <f t="shared" si="4"/>
        <v>2038</v>
      </c>
      <c r="T20" s="170">
        <f t="shared" si="4"/>
        <v>2039</v>
      </c>
      <c r="U20" s="170">
        <f t="shared" si="4"/>
        <v>2040</v>
      </c>
      <c r="V20" s="170">
        <f t="shared" si="4"/>
        <v>2041</v>
      </c>
      <c r="W20" s="170">
        <f t="shared" si="4"/>
        <v>2042</v>
      </c>
      <c r="X20" s="170">
        <f t="shared" si="4"/>
        <v>2043</v>
      </c>
      <c r="Y20" s="170">
        <f t="shared" si="4"/>
        <v>2044</v>
      </c>
      <c r="Z20" s="170">
        <f t="shared" si="4"/>
        <v>2045</v>
      </c>
      <c r="AA20" s="170">
        <f t="shared" si="4"/>
        <v>2046</v>
      </c>
      <c r="AB20" s="170">
        <f t="shared" si="4"/>
        <v>2047</v>
      </c>
      <c r="AC20" s="170">
        <f t="shared" si="4"/>
        <v>2048</v>
      </c>
      <c r="AD20" s="170">
        <f t="shared" si="4"/>
        <v>2049</v>
      </c>
      <c r="AE20" s="170">
        <f t="shared" si="4"/>
        <v>2050</v>
      </c>
      <c r="AF20" s="170">
        <f t="shared" si="4"/>
        <v>2051</v>
      </c>
      <c r="AG20" s="170">
        <f t="shared" si="4"/>
        <v>2052</v>
      </c>
    </row>
    <row r="21" spans="2:33" x14ac:dyDescent="0.2">
      <c r="B21" s="3" t="s">
        <v>354</v>
      </c>
      <c r="C21" s="183">
        <f>SUM(D21:AG21)</f>
        <v>18746756.236716688</v>
      </c>
      <c r="D21" s="183">
        <f>D13-D5</f>
        <v>0</v>
      </c>
      <c r="E21" s="183">
        <f t="shared" ref="E21:AG22" si="5">E13-E5</f>
        <v>0</v>
      </c>
      <c r="F21" s="183">
        <f t="shared" si="5"/>
        <v>646231.39991999883</v>
      </c>
      <c r="G21" s="183">
        <f t="shared" si="5"/>
        <v>590473.2041639993</v>
      </c>
      <c r="H21" s="183">
        <f t="shared" si="5"/>
        <v>590473.2041639993</v>
      </c>
      <c r="I21" s="183">
        <f t="shared" si="5"/>
        <v>602282.66824728018</v>
      </c>
      <c r="J21" s="183">
        <f t="shared" si="5"/>
        <v>602282.66824728018</v>
      </c>
      <c r="K21" s="183">
        <f t="shared" si="5"/>
        <v>614328.32161222538</v>
      </c>
      <c r="L21" s="183">
        <f t="shared" si="5"/>
        <v>614328.32161222538</v>
      </c>
      <c r="M21" s="183">
        <f t="shared" si="5"/>
        <v>626614.88804446906</v>
      </c>
      <c r="N21" s="183">
        <f t="shared" si="5"/>
        <v>626614.88804446906</v>
      </c>
      <c r="O21" s="183">
        <f t="shared" si="5"/>
        <v>639147.18580535799</v>
      </c>
      <c r="P21" s="183">
        <f t="shared" si="5"/>
        <v>639147.18580535799</v>
      </c>
      <c r="Q21" s="183">
        <f t="shared" si="5"/>
        <v>651930.12952146586</v>
      </c>
      <c r="R21" s="183">
        <f t="shared" si="5"/>
        <v>651930.12952146586</v>
      </c>
      <c r="S21" s="183">
        <f t="shared" si="5"/>
        <v>664968.73211189546</v>
      </c>
      <c r="T21" s="183">
        <f t="shared" si="5"/>
        <v>664968.73211189546</v>
      </c>
      <c r="U21" s="183">
        <f t="shared" si="5"/>
        <v>678268.10675413348</v>
      </c>
      <c r="V21" s="183">
        <f t="shared" si="5"/>
        <v>678268.10675413348</v>
      </c>
      <c r="W21" s="183">
        <f t="shared" si="5"/>
        <v>691833.46888921689</v>
      </c>
      <c r="X21" s="183">
        <f t="shared" si="5"/>
        <v>691833.46888921689</v>
      </c>
      <c r="Y21" s="183">
        <f t="shared" si="5"/>
        <v>705670.13826700114</v>
      </c>
      <c r="Z21" s="183">
        <f t="shared" si="5"/>
        <v>705670.13826700114</v>
      </c>
      <c r="AA21" s="183">
        <f t="shared" si="5"/>
        <v>719783.54103234038</v>
      </c>
      <c r="AB21" s="183">
        <f t="shared" si="5"/>
        <v>719783.54103234038</v>
      </c>
      <c r="AC21" s="183">
        <f t="shared" si="5"/>
        <v>734179.21185298823</v>
      </c>
      <c r="AD21" s="183">
        <f t="shared" si="5"/>
        <v>734179.21185298823</v>
      </c>
      <c r="AE21" s="183">
        <f t="shared" si="5"/>
        <v>748862.79609004688</v>
      </c>
      <c r="AF21" s="183">
        <f t="shared" si="5"/>
        <v>748862.79609004688</v>
      </c>
      <c r="AG21" s="183">
        <f t="shared" si="5"/>
        <v>763840.0520118475</v>
      </c>
    </row>
    <row r="22" spans="2:33" x14ac:dyDescent="0.2">
      <c r="B22" s="3" t="s">
        <v>55</v>
      </c>
      <c r="C22" s="183">
        <f>SUM(D22:AG22)</f>
        <v>0</v>
      </c>
      <c r="D22" s="183">
        <f>D14-D6</f>
        <v>0</v>
      </c>
      <c r="E22" s="183">
        <f t="shared" si="5"/>
        <v>0</v>
      </c>
      <c r="F22" s="183">
        <f t="shared" si="5"/>
        <v>0</v>
      </c>
      <c r="G22" s="183">
        <f t="shared" si="5"/>
        <v>0</v>
      </c>
      <c r="H22" s="183">
        <f t="shared" si="5"/>
        <v>0</v>
      </c>
      <c r="I22" s="183">
        <f t="shared" si="5"/>
        <v>0</v>
      </c>
      <c r="J22" s="183">
        <f t="shared" si="5"/>
        <v>0</v>
      </c>
      <c r="K22" s="183">
        <f t="shared" si="5"/>
        <v>0</v>
      </c>
      <c r="L22" s="183">
        <f t="shared" si="5"/>
        <v>0</v>
      </c>
      <c r="M22" s="183">
        <f t="shared" si="5"/>
        <v>0</v>
      </c>
      <c r="N22" s="183">
        <f t="shared" si="5"/>
        <v>0</v>
      </c>
      <c r="O22" s="183">
        <f t="shared" si="5"/>
        <v>0</v>
      </c>
      <c r="P22" s="183">
        <f t="shared" si="5"/>
        <v>0</v>
      </c>
      <c r="Q22" s="183">
        <f t="shared" si="5"/>
        <v>0</v>
      </c>
      <c r="R22" s="183">
        <f t="shared" si="5"/>
        <v>0</v>
      </c>
      <c r="S22" s="183">
        <f t="shared" si="5"/>
        <v>0</v>
      </c>
      <c r="T22" s="183">
        <f t="shared" si="5"/>
        <v>0</v>
      </c>
      <c r="U22" s="183">
        <f t="shared" si="5"/>
        <v>0</v>
      </c>
      <c r="V22" s="183">
        <f t="shared" si="5"/>
        <v>0</v>
      </c>
      <c r="W22" s="183">
        <f t="shared" si="5"/>
        <v>0</v>
      </c>
      <c r="X22" s="183">
        <f t="shared" si="5"/>
        <v>0</v>
      </c>
      <c r="Y22" s="183">
        <f t="shared" si="5"/>
        <v>0</v>
      </c>
      <c r="Z22" s="183">
        <f t="shared" si="5"/>
        <v>0</v>
      </c>
      <c r="AA22" s="183">
        <f t="shared" si="5"/>
        <v>0</v>
      </c>
      <c r="AB22" s="183">
        <f t="shared" si="5"/>
        <v>0</v>
      </c>
      <c r="AC22" s="183">
        <f t="shared" si="5"/>
        <v>0</v>
      </c>
      <c r="AD22" s="183">
        <f t="shared" si="5"/>
        <v>0</v>
      </c>
      <c r="AE22" s="183">
        <f t="shared" si="5"/>
        <v>0</v>
      </c>
      <c r="AF22" s="183">
        <f t="shared" si="5"/>
        <v>0</v>
      </c>
      <c r="AG22" s="183">
        <f t="shared" si="5"/>
        <v>0</v>
      </c>
    </row>
    <row r="23" spans="2:33" x14ac:dyDescent="0.2">
      <c r="B23" s="4" t="s">
        <v>11</v>
      </c>
      <c r="C23" s="188">
        <f>SUM(D23:AG23)</f>
        <v>18746756.236716688</v>
      </c>
      <c r="D23" s="188">
        <f>SUM(D21:D22)</f>
        <v>0</v>
      </c>
      <c r="E23" s="188">
        <f t="shared" ref="E23:AG23" si="6">SUM(E21:E22)</f>
        <v>0</v>
      </c>
      <c r="F23" s="188">
        <f t="shared" si="6"/>
        <v>646231.39991999883</v>
      </c>
      <c r="G23" s="188">
        <f t="shared" si="6"/>
        <v>590473.2041639993</v>
      </c>
      <c r="H23" s="188">
        <f t="shared" si="6"/>
        <v>590473.2041639993</v>
      </c>
      <c r="I23" s="188">
        <f t="shared" si="6"/>
        <v>602282.66824728018</v>
      </c>
      <c r="J23" s="188">
        <f t="shared" si="6"/>
        <v>602282.66824728018</v>
      </c>
      <c r="K23" s="188">
        <f t="shared" si="6"/>
        <v>614328.32161222538</v>
      </c>
      <c r="L23" s="188">
        <f t="shared" si="6"/>
        <v>614328.32161222538</v>
      </c>
      <c r="M23" s="188">
        <f t="shared" si="6"/>
        <v>626614.88804446906</v>
      </c>
      <c r="N23" s="188">
        <f t="shared" si="6"/>
        <v>626614.88804446906</v>
      </c>
      <c r="O23" s="188">
        <f t="shared" si="6"/>
        <v>639147.18580535799</v>
      </c>
      <c r="P23" s="188">
        <f t="shared" si="6"/>
        <v>639147.18580535799</v>
      </c>
      <c r="Q23" s="188">
        <f t="shared" si="6"/>
        <v>651930.12952146586</v>
      </c>
      <c r="R23" s="188">
        <f t="shared" si="6"/>
        <v>651930.12952146586</v>
      </c>
      <c r="S23" s="188">
        <f t="shared" si="6"/>
        <v>664968.73211189546</v>
      </c>
      <c r="T23" s="188">
        <f t="shared" si="6"/>
        <v>664968.73211189546</v>
      </c>
      <c r="U23" s="188">
        <f t="shared" si="6"/>
        <v>678268.10675413348</v>
      </c>
      <c r="V23" s="188">
        <f t="shared" si="6"/>
        <v>678268.10675413348</v>
      </c>
      <c r="W23" s="188">
        <f t="shared" si="6"/>
        <v>691833.46888921689</v>
      </c>
      <c r="X23" s="188">
        <f t="shared" si="6"/>
        <v>691833.46888921689</v>
      </c>
      <c r="Y23" s="188">
        <f t="shared" si="6"/>
        <v>705670.13826700114</v>
      </c>
      <c r="Z23" s="188">
        <f t="shared" si="6"/>
        <v>705670.13826700114</v>
      </c>
      <c r="AA23" s="188">
        <f t="shared" si="6"/>
        <v>719783.54103234038</v>
      </c>
      <c r="AB23" s="188">
        <f t="shared" si="6"/>
        <v>719783.54103234038</v>
      </c>
      <c r="AC23" s="188">
        <f t="shared" si="6"/>
        <v>734179.21185298823</v>
      </c>
      <c r="AD23" s="188">
        <f t="shared" si="6"/>
        <v>734179.21185298823</v>
      </c>
      <c r="AE23" s="188">
        <f t="shared" si="6"/>
        <v>748862.79609004688</v>
      </c>
      <c r="AF23" s="188">
        <f t="shared" si="6"/>
        <v>748862.79609004688</v>
      </c>
      <c r="AG23" s="188">
        <f t="shared" si="6"/>
        <v>763840.0520118475</v>
      </c>
    </row>
  </sheetData>
  <sheetProtection algorithmName="SHA-512" hashValue="tWHMSke/btIRNQ0CaBW/smQ5wHggLy9FZtRKX5aAbonHL3x3ip1NuGX3MOmFjtesY/FihyO9rCYg/fytKcU5WA==" saltValue="UB5X4rnK1a/zzYAwUjYMwg==" spinCount="100000" sheet="1" formatCells="0" formatColumns="0" formatRows="0" insertColumns="0" insertRows="0" insertHyperlinks="0" deleteColumns="0" deleteRows="0" sort="0" autoFilter="0" pivotTables="0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5836-F39E-4ABD-9B91-5AFA0B9210A7}">
  <sheetPr>
    <tabColor rgb="FFFFC000"/>
  </sheetPr>
  <dimension ref="B2:AG23"/>
  <sheetViews>
    <sheetView zoomScaleNormal="100" workbookViewId="0">
      <selection activeCell="D19" sqref="D19:AG19"/>
    </sheetView>
  </sheetViews>
  <sheetFormatPr defaultColWidth="9.140625" defaultRowHeight="11.25" x14ac:dyDescent="0.2"/>
  <cols>
    <col min="1" max="1" width="2.42578125" style="2" customWidth="1"/>
    <col min="2" max="2" width="30.7109375" style="2" customWidth="1"/>
    <col min="3" max="4" width="12.7109375" style="2" customWidth="1"/>
    <col min="5" max="5" width="6.7109375" style="2" customWidth="1"/>
    <col min="6" max="6" width="12" style="2" customWidth="1"/>
    <col min="7" max="7" width="11.42578125" style="2" customWidth="1"/>
    <col min="8" max="33" width="6.7109375" style="2" customWidth="1"/>
    <col min="34" max="16384" width="9.140625" style="2"/>
  </cols>
  <sheetData>
    <row r="2" spans="2:33" x14ac:dyDescent="0.2">
      <c r="B2" s="6" t="s">
        <v>15</v>
      </c>
      <c r="C2" s="124" t="s">
        <v>25</v>
      </c>
      <c r="D2" s="124" t="s">
        <v>26</v>
      </c>
    </row>
    <row r="3" spans="2:33" x14ac:dyDescent="0.2">
      <c r="B3" s="3" t="s">
        <v>270</v>
      </c>
      <c r="C3" s="209">
        <f>'01 Investičné výdavky - zánovné'!C6</f>
        <v>31284000</v>
      </c>
      <c r="D3" s="210">
        <f>'06 Finančná analýza - zánovné'!C5</f>
        <v>28552998.406918522</v>
      </c>
      <c r="F3" s="2" t="s">
        <v>236</v>
      </c>
    </row>
    <row r="4" spans="2:33" x14ac:dyDescent="0.2">
      <c r="B4" s="3" t="s">
        <v>16</v>
      </c>
      <c r="C4" s="209">
        <f>'06 Finančná analýza - zánovné'!AG8</f>
        <v>5708235.1148613477</v>
      </c>
      <c r="D4" s="210">
        <f>'06 Finančná analýza - zánovné'!C8</f>
        <v>1830353.6649768811</v>
      </c>
    </row>
    <row r="5" spans="2:33" x14ac:dyDescent="0.2">
      <c r="B5" s="3" t="s">
        <v>220</v>
      </c>
      <c r="C5" s="209">
        <f>'04 Prevádzkové príjmy - zánovné'!C23</f>
        <v>18746756.236716688</v>
      </c>
      <c r="D5" s="210">
        <f>'06 Finančná analýza - zánovné'!C7</f>
        <v>10486113.549556177</v>
      </c>
    </row>
    <row r="6" spans="2:33" x14ac:dyDescent="0.2">
      <c r="B6" s="3" t="s">
        <v>59</v>
      </c>
      <c r="C6" s="209">
        <f>'03 Prevádzkové výdavky-zánovné'!C32</f>
        <v>-4284772.4718800066</v>
      </c>
      <c r="D6" s="210">
        <f>'06 Finančná analýza - zánovné'!C6</f>
        <v>-19887408.376226202</v>
      </c>
      <c r="F6" s="139" t="s">
        <v>274</v>
      </c>
    </row>
    <row r="7" spans="2:33" x14ac:dyDescent="0.2">
      <c r="B7" s="3" t="s">
        <v>269</v>
      </c>
      <c r="C7" s="211"/>
      <c r="D7" s="210">
        <f>IF(D5&gt;D6,D4+D5-D6,0)</f>
        <v>32203875.590759262</v>
      </c>
      <c r="F7" s="139" t="s">
        <v>268</v>
      </c>
    </row>
    <row r="8" spans="2:33" x14ac:dyDescent="0.2">
      <c r="B8" s="3" t="s">
        <v>271</v>
      </c>
      <c r="C8" s="212"/>
      <c r="D8" s="210">
        <f>D3-D7</f>
        <v>-3650877.1838407405</v>
      </c>
    </row>
    <row r="9" spans="2:33" x14ac:dyDescent="0.2">
      <c r="B9" s="3" t="s">
        <v>272</v>
      </c>
      <c r="C9" s="138"/>
      <c r="D9" s="213">
        <f>D8/D3</f>
        <v>-0.12786318031510541</v>
      </c>
    </row>
    <row r="12" spans="2:33" x14ac:dyDescent="0.2">
      <c r="B12" s="3" t="s">
        <v>221</v>
      </c>
      <c r="C12" s="183">
        <f>'01 Investičné výdavky - nové'!C15</f>
        <v>63000000</v>
      </c>
    </row>
    <row r="13" spans="2:33" x14ac:dyDescent="0.2">
      <c r="B13" s="10"/>
    </row>
    <row r="14" spans="2:33" x14ac:dyDescent="0.2">
      <c r="B14" s="10"/>
    </row>
    <row r="15" spans="2:33" x14ac:dyDescent="0.2">
      <c r="B15" s="3"/>
      <c r="C15" s="3"/>
      <c r="D15" s="3" t="s">
        <v>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2:33" x14ac:dyDescent="0.2">
      <c r="B16" s="4"/>
      <c r="C16" s="4"/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5">
        <v>24</v>
      </c>
      <c r="AB16" s="5">
        <v>25</v>
      </c>
      <c r="AC16" s="5">
        <v>26</v>
      </c>
      <c r="AD16" s="5">
        <v>27</v>
      </c>
      <c r="AE16" s="5">
        <v>28</v>
      </c>
      <c r="AF16" s="5">
        <v>29</v>
      </c>
      <c r="AG16" s="5">
        <v>30</v>
      </c>
    </row>
    <row r="17" spans="2:33" x14ac:dyDescent="0.2">
      <c r="B17" s="6" t="s">
        <v>239</v>
      </c>
      <c r="C17" s="124" t="s">
        <v>9</v>
      </c>
      <c r="D17" s="7">
        <v>2023</v>
      </c>
      <c r="E17" s="7">
        <f>$D$17+D16</f>
        <v>2024</v>
      </c>
      <c r="F17" s="7">
        <f>$D$17+E16</f>
        <v>2025</v>
      </c>
      <c r="G17" s="7">
        <f>$D$17+F16</f>
        <v>2026</v>
      </c>
      <c r="H17" s="7">
        <f t="shared" ref="H17:AG17" si="0">$D$17+G16</f>
        <v>2027</v>
      </c>
      <c r="I17" s="7">
        <f t="shared" si="0"/>
        <v>2028</v>
      </c>
      <c r="J17" s="7">
        <f t="shared" si="0"/>
        <v>2029</v>
      </c>
      <c r="K17" s="7">
        <f t="shared" si="0"/>
        <v>2030</v>
      </c>
      <c r="L17" s="7">
        <f t="shared" si="0"/>
        <v>2031</v>
      </c>
      <c r="M17" s="7">
        <f t="shared" si="0"/>
        <v>2032</v>
      </c>
      <c r="N17" s="7">
        <f t="shared" si="0"/>
        <v>2033</v>
      </c>
      <c r="O17" s="7">
        <f t="shared" si="0"/>
        <v>2034</v>
      </c>
      <c r="P17" s="7">
        <f t="shared" si="0"/>
        <v>2035</v>
      </c>
      <c r="Q17" s="7">
        <f t="shared" si="0"/>
        <v>2036</v>
      </c>
      <c r="R17" s="7">
        <f t="shared" si="0"/>
        <v>2037</v>
      </c>
      <c r="S17" s="7">
        <f t="shared" si="0"/>
        <v>2038</v>
      </c>
      <c r="T17" s="7">
        <f t="shared" si="0"/>
        <v>2039</v>
      </c>
      <c r="U17" s="7">
        <f t="shared" si="0"/>
        <v>2040</v>
      </c>
      <c r="V17" s="7">
        <f t="shared" si="0"/>
        <v>2041</v>
      </c>
      <c r="W17" s="7">
        <f t="shared" si="0"/>
        <v>2042</v>
      </c>
      <c r="X17" s="7">
        <f t="shared" si="0"/>
        <v>2043</v>
      </c>
      <c r="Y17" s="7">
        <f t="shared" si="0"/>
        <v>2044</v>
      </c>
      <c r="Z17" s="7">
        <f t="shared" si="0"/>
        <v>2045</v>
      </c>
      <c r="AA17" s="7">
        <f t="shared" si="0"/>
        <v>2046</v>
      </c>
      <c r="AB17" s="7">
        <f t="shared" si="0"/>
        <v>2047</v>
      </c>
      <c r="AC17" s="7">
        <f t="shared" si="0"/>
        <v>2048</v>
      </c>
      <c r="AD17" s="7">
        <f t="shared" si="0"/>
        <v>2049</v>
      </c>
      <c r="AE17" s="7">
        <f t="shared" si="0"/>
        <v>2050</v>
      </c>
      <c r="AF17" s="7">
        <f t="shared" si="0"/>
        <v>2051</v>
      </c>
      <c r="AG17" s="7">
        <f t="shared" si="0"/>
        <v>2052</v>
      </c>
    </row>
    <row r="18" spans="2:33" x14ac:dyDescent="0.2">
      <c r="B18" s="3" t="s">
        <v>60</v>
      </c>
      <c r="C18" s="183">
        <f>SUM(D18:AG18)</f>
        <v>31284000</v>
      </c>
      <c r="D18" s="183">
        <f>'01 Investičné výdavky - zánovné'!D6</f>
        <v>0</v>
      </c>
      <c r="E18" s="183">
        <f>'01 Investičné výdavky - zánovné'!E6</f>
        <v>0</v>
      </c>
      <c r="F18" s="183">
        <f>'01 Investičné výdavky - zánovné'!F6</f>
        <v>20856000</v>
      </c>
      <c r="G18" s="183">
        <f>'01 Investičné výdavky - zánovné'!G6</f>
        <v>10428000</v>
      </c>
      <c r="H18" s="183">
        <f>'01 Investičné výdavky - zánovné'!H6</f>
        <v>0</v>
      </c>
      <c r="I18" s="183">
        <f>'01 Investičné výdavky - zánovné'!I6</f>
        <v>0</v>
      </c>
      <c r="J18" s="183">
        <f>'01 Investičné výdavky - zánovné'!J6</f>
        <v>0</v>
      </c>
      <c r="K18" s="183">
        <f>'01 Investičné výdavky - zánovné'!K6</f>
        <v>0</v>
      </c>
      <c r="L18" s="183">
        <f>'01 Investičné výdavky - zánovné'!L6</f>
        <v>0</v>
      </c>
      <c r="M18" s="183">
        <f>'01 Investičné výdavky - zánovné'!M6</f>
        <v>0</v>
      </c>
      <c r="N18" s="183">
        <f>'01 Investičné výdavky - zánovné'!N6</f>
        <v>0</v>
      </c>
      <c r="O18" s="183">
        <f>'01 Investičné výdavky - zánovné'!O6</f>
        <v>0</v>
      </c>
      <c r="P18" s="183">
        <f>'01 Investičné výdavky - zánovné'!P6</f>
        <v>0</v>
      </c>
      <c r="Q18" s="183">
        <f>'01 Investičné výdavky - zánovné'!Q6</f>
        <v>0</v>
      </c>
      <c r="R18" s="183">
        <f>'01 Investičné výdavky - zánovné'!R6</f>
        <v>0</v>
      </c>
      <c r="S18" s="183">
        <f>'01 Investičné výdavky - zánovné'!S6</f>
        <v>0</v>
      </c>
      <c r="T18" s="183">
        <f>'01 Investičné výdavky - zánovné'!T6</f>
        <v>0</v>
      </c>
      <c r="U18" s="183">
        <f>'01 Investičné výdavky - zánovné'!U6</f>
        <v>0</v>
      </c>
      <c r="V18" s="183">
        <f>'01 Investičné výdavky - zánovné'!V6</f>
        <v>0</v>
      </c>
      <c r="W18" s="183">
        <f>'01 Investičné výdavky - zánovné'!W6</f>
        <v>0</v>
      </c>
      <c r="X18" s="183">
        <f>'01 Investičné výdavky - zánovné'!X6</f>
        <v>0</v>
      </c>
      <c r="Y18" s="183">
        <f>'01 Investičné výdavky - zánovné'!Y6</f>
        <v>0</v>
      </c>
      <c r="Z18" s="183">
        <f>'01 Investičné výdavky - zánovné'!Z6</f>
        <v>0</v>
      </c>
      <c r="AA18" s="183">
        <f>'01 Investičné výdavky - zánovné'!AA6</f>
        <v>0</v>
      </c>
      <c r="AB18" s="183">
        <f>'01 Investičné výdavky - zánovné'!AB6</f>
        <v>0</v>
      </c>
      <c r="AC18" s="183">
        <f>'01 Investičné výdavky - zánovné'!AC6</f>
        <v>0</v>
      </c>
      <c r="AD18" s="183">
        <f>'01 Investičné výdavky - zánovné'!AD6</f>
        <v>0</v>
      </c>
      <c r="AE18" s="183">
        <f>'01 Investičné výdavky - zánovné'!AE6</f>
        <v>0</v>
      </c>
      <c r="AF18" s="183">
        <f>'01 Investičné výdavky - zánovné'!AF6</f>
        <v>0</v>
      </c>
      <c r="AG18" s="183">
        <f>'01 Investičné výdavky - zánovné'!AG6</f>
        <v>0</v>
      </c>
    </row>
    <row r="19" spans="2:33" x14ac:dyDescent="0.2">
      <c r="B19" s="3" t="s">
        <v>240</v>
      </c>
      <c r="C19" s="183">
        <f>SUM(D19:AG19)</f>
        <v>35490876.795000002</v>
      </c>
      <c r="D19" s="186">
        <f>'06 Finančná analýza - zánovné'!D20</f>
        <v>0</v>
      </c>
      <c r="E19" s="186">
        <f>'06 Finančná analýza - zánovné'!E20</f>
        <v>0</v>
      </c>
      <c r="F19" s="186">
        <f>'06 Finančná analýza - zánovné'!F20</f>
        <v>61525.200000000004</v>
      </c>
      <c r="G19" s="186">
        <f>'06 Finančná analýza - zánovné'!G20</f>
        <v>3719432.9699999997</v>
      </c>
      <c r="H19" s="186">
        <f>'06 Finančná analýza - zánovné'!H20</f>
        <v>5436508.0707142856</v>
      </c>
      <c r="I19" s="186">
        <f>'06 Finančná analýza - zánovné'!I20</f>
        <v>5274290.5992857143</v>
      </c>
      <c r="J19" s="186">
        <f>'06 Finančná analýza - zánovné'!J20</f>
        <v>5112073.1278571431</v>
      </c>
      <c r="K19" s="186">
        <f>'06 Finančná analýza - zánovné'!K20</f>
        <v>4949855.6564285718</v>
      </c>
      <c r="L19" s="186">
        <f>'06 Finančná analýza - zánovné'!L20</f>
        <v>4787638.1850000005</v>
      </c>
      <c r="M19" s="186">
        <f>'06 Finančná analýza - zánovné'!M20</f>
        <v>4625420.7135714293</v>
      </c>
      <c r="N19" s="186">
        <f>'06 Finančná analýza - zánovné'!N20</f>
        <v>1524132.2721428571</v>
      </c>
      <c r="O19" s="186">
        <f>'06 Finančná analýza - zánovné'!O20</f>
        <v>0</v>
      </c>
      <c r="P19" s="186">
        <f>'06 Finančná analýza - zánovné'!P20</f>
        <v>0</v>
      </c>
      <c r="Q19" s="186">
        <f>'06 Finančná analýza - zánovné'!Q20</f>
        <v>0</v>
      </c>
      <c r="R19" s="186">
        <f>'06 Finančná analýza - zánovné'!R20</f>
        <v>0</v>
      </c>
      <c r="S19" s="186">
        <f>'06 Finančná analýza - zánovné'!S20</f>
        <v>0</v>
      </c>
      <c r="T19" s="186">
        <f>'06 Finančná analýza - zánovné'!T20</f>
        <v>0</v>
      </c>
      <c r="U19" s="186">
        <f>'06 Finančná analýza - zánovné'!U20</f>
        <v>0</v>
      </c>
      <c r="V19" s="186">
        <f>'06 Finančná analýza - zánovné'!V20</f>
        <v>0</v>
      </c>
      <c r="W19" s="186">
        <f>'06 Finančná analýza - zánovné'!W20</f>
        <v>0</v>
      </c>
      <c r="X19" s="186">
        <f>'06 Finančná analýza - zánovné'!X20</f>
        <v>0</v>
      </c>
      <c r="Y19" s="186">
        <f>'06 Finančná analýza - zánovné'!Y20</f>
        <v>0</v>
      </c>
      <c r="Z19" s="186">
        <f>'06 Finančná analýza - zánovné'!Z20</f>
        <v>0</v>
      </c>
      <c r="AA19" s="186">
        <f>'06 Finančná analýza - zánovné'!AA20</f>
        <v>0</v>
      </c>
      <c r="AB19" s="186">
        <f>'06 Finančná analýza - zánovné'!AB20</f>
        <v>0</v>
      </c>
      <c r="AC19" s="186">
        <f>'06 Finančná analýza - zánovné'!AC20</f>
        <v>0</v>
      </c>
      <c r="AD19" s="186">
        <f>'06 Finančná analýza - zánovné'!AD20</f>
        <v>0</v>
      </c>
      <c r="AE19" s="186">
        <f>'06 Finančná analýza - zánovné'!AE20</f>
        <v>0</v>
      </c>
      <c r="AF19" s="186">
        <f>'06 Finančná analýza - zánovné'!AF20</f>
        <v>0</v>
      </c>
      <c r="AG19" s="186">
        <f>'06 Finančná analýza - zánovné'!AG20</f>
        <v>0</v>
      </c>
    </row>
    <row r="20" spans="2:33" hidden="1" x14ac:dyDescent="0.2">
      <c r="B20" s="3" t="s">
        <v>234</v>
      </c>
      <c r="C20" s="183" t="e">
        <f t="shared" ref="C20:C21" si="1">SUM(D20:AG20)</f>
        <v>#REF!</v>
      </c>
      <c r="D20" s="183" t="e">
        <f>$D$9*#REF!*'01 Investičné výdavky - nové'!D16</f>
        <v>#REF!</v>
      </c>
      <c r="E20" s="183" t="e">
        <f>$D$9*#REF!*'01 Investičné výdavky - nové'!E16</f>
        <v>#REF!</v>
      </c>
      <c r="F20" s="183" t="e">
        <f>$D$9*#REF!*'01 Investičné výdavky - nové'!F16</f>
        <v>#REF!</v>
      </c>
      <c r="G20" s="183" t="e">
        <f>$D$9*#REF!*'01 Investičné výdavky - nové'!G16</f>
        <v>#REF!</v>
      </c>
      <c r="H20" s="183" t="e">
        <f>$D$9*#REF!*'01 Investičné výdavky - nové'!H16</f>
        <v>#REF!</v>
      </c>
      <c r="I20" s="183" t="e">
        <f>$D$9*#REF!*'01 Investičné výdavky - nové'!I16</f>
        <v>#REF!</v>
      </c>
      <c r="J20" s="183" t="e">
        <f>$D$9*#REF!*'01 Investičné výdavky - nové'!J16</f>
        <v>#REF!</v>
      </c>
      <c r="K20" s="183" t="e">
        <f>$D$9*#REF!*'01 Investičné výdavky - nové'!K16</f>
        <v>#REF!</v>
      </c>
      <c r="L20" s="183" t="e">
        <f>$D$9*#REF!*'01 Investičné výdavky - nové'!L16</f>
        <v>#REF!</v>
      </c>
      <c r="M20" s="183" t="e">
        <f>$D$9*#REF!*'01 Investičné výdavky - nové'!M16</f>
        <v>#REF!</v>
      </c>
      <c r="N20" s="183" t="e">
        <f>$D$9*#REF!*'01 Investičné výdavky - nové'!N16</f>
        <v>#REF!</v>
      </c>
      <c r="O20" s="183" t="e">
        <f>$D$9*#REF!*'01 Investičné výdavky - nové'!O16</f>
        <v>#REF!</v>
      </c>
      <c r="P20" s="183" t="e">
        <f>$D$9*#REF!*'01 Investičné výdavky - nové'!P16</f>
        <v>#REF!</v>
      </c>
      <c r="Q20" s="183" t="e">
        <f>$D$9*#REF!*'01 Investičné výdavky - nové'!Q16</f>
        <v>#REF!</v>
      </c>
      <c r="R20" s="183" t="e">
        <f>$D$9*#REF!*'01 Investičné výdavky - nové'!R16</f>
        <v>#REF!</v>
      </c>
      <c r="S20" s="183" t="e">
        <f>$D$9*#REF!*'01 Investičné výdavky - nové'!S16</f>
        <v>#REF!</v>
      </c>
      <c r="T20" s="183" t="e">
        <f>$D$9*#REF!*'01 Investičné výdavky - nové'!T16</f>
        <v>#REF!</v>
      </c>
      <c r="U20" s="183" t="e">
        <f>$D$9*#REF!*'01 Investičné výdavky - nové'!U16</f>
        <v>#REF!</v>
      </c>
      <c r="V20" s="183" t="e">
        <f>$D$9*#REF!*'01 Investičné výdavky - nové'!V16</f>
        <v>#REF!</v>
      </c>
      <c r="W20" s="183" t="e">
        <f>$D$9*#REF!*'01 Investičné výdavky - nové'!W16</f>
        <v>#REF!</v>
      </c>
      <c r="X20" s="183" t="e">
        <f>$D$9*#REF!*'01 Investičné výdavky - nové'!X16</f>
        <v>#REF!</v>
      </c>
      <c r="Y20" s="183" t="e">
        <f>$D$9*#REF!*'01 Investičné výdavky - nové'!Y16</f>
        <v>#REF!</v>
      </c>
      <c r="Z20" s="183" t="e">
        <f>$D$9*#REF!*'01 Investičné výdavky - nové'!Z16</f>
        <v>#REF!</v>
      </c>
      <c r="AA20" s="183" t="e">
        <f>$D$9*#REF!*'01 Investičné výdavky - nové'!AA16</f>
        <v>#REF!</v>
      </c>
      <c r="AB20" s="183" t="e">
        <f>$D$9*#REF!*'01 Investičné výdavky - nové'!AB16</f>
        <v>#REF!</v>
      </c>
      <c r="AC20" s="183" t="e">
        <f>$D$9*#REF!*'01 Investičné výdavky - nové'!AC16</f>
        <v>#REF!</v>
      </c>
      <c r="AD20" s="183" t="e">
        <f>$D$9*#REF!*'01 Investičné výdavky - nové'!AD16</f>
        <v>#REF!</v>
      </c>
      <c r="AE20" s="183" t="e">
        <f>$D$9*#REF!*'01 Investičné výdavky - nové'!AE16</f>
        <v>#REF!</v>
      </c>
      <c r="AF20" s="183" t="e">
        <f>$D$9*#REF!*'01 Investičné výdavky - nové'!AF16</f>
        <v>#REF!</v>
      </c>
      <c r="AG20" s="183" t="e">
        <f>$D$9*#REF!*'01 Investičné výdavky - nové'!AG16</f>
        <v>#REF!</v>
      </c>
    </row>
    <row r="21" spans="2:33" hidden="1" x14ac:dyDescent="0.2">
      <c r="B21" s="3" t="s">
        <v>235</v>
      </c>
      <c r="C21" s="183">
        <f t="shared" si="1"/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</row>
    <row r="22" spans="2:33" hidden="1" x14ac:dyDescent="0.2">
      <c r="B22" s="1" t="s">
        <v>238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2:33" hidden="1" x14ac:dyDescent="0.2">
      <c r="B23" s="1" t="s">
        <v>241</v>
      </c>
    </row>
  </sheetData>
  <sheetProtection algorithmName="SHA-512" hashValue="ey5WKRKjHJNBYo8ZSoqSp4KQwV3M+mcIHGw33a/6eZ8PfkcpI/9+WOZ08WzKJfBLSLXPzy8p86nS1Y9W+eH/wA==" saltValue="v236C/C0AykeVWnOntIs1Q==" spinCount="100000" sheet="1" formatCells="0" formatColumns="0" formatRows="0" insertColumns="0" insertRows="0" insertHyperlinks="0" deleteColumns="0" deleteRows="0" sort="0" autoFilter="0" pivotTables="0"/>
  <pageMargins left="0.1953125" right="0.34375" top="1" bottom="1" header="0.5" footer="0.5"/>
  <pageSetup scale="75" orientation="landscape" r:id="rId1"/>
  <headerFooter alignWithMargins="0">
    <oddFooter>Strana &amp;P z &amp;N</oddFooter>
  </headerFooter>
  <ignoredErrors>
    <ignoredError sqref="C20:AG2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38FE-F612-4D2A-8758-8FE6EBADF587}">
  <sheetPr>
    <pageSetUpPr fitToPage="1"/>
  </sheetPr>
  <dimension ref="A1:U4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45" sqref="J45"/>
    </sheetView>
  </sheetViews>
  <sheetFormatPr defaultColWidth="9.140625" defaultRowHeight="15.75" x14ac:dyDescent="0.25"/>
  <cols>
    <col min="1" max="1" width="5.7109375" style="233" customWidth="1"/>
    <col min="2" max="2" width="36.140625" style="223" customWidth="1"/>
    <col min="3" max="4" width="11.140625" style="223" customWidth="1"/>
    <col min="5" max="5" width="11.140625" style="268" customWidth="1"/>
    <col min="6" max="20" width="11.140625" style="223" customWidth="1"/>
    <col min="21" max="16384" width="9.140625" style="223"/>
  </cols>
  <sheetData>
    <row r="1" spans="1:21" x14ac:dyDescent="0.25">
      <c r="A1" s="515" t="s">
        <v>422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7"/>
      <c r="R1" s="517"/>
      <c r="S1" s="222"/>
    </row>
    <row r="2" spans="1:21" ht="18.75" x14ac:dyDescent="0.3">
      <c r="A2" s="518" t="s">
        <v>366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224"/>
    </row>
    <row r="3" spans="1:21" x14ac:dyDescent="0.25">
      <c r="A3" s="520" t="s">
        <v>367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222"/>
    </row>
    <row r="4" spans="1:21" x14ac:dyDescent="0.25">
      <c r="A4" s="226"/>
      <c r="B4" s="227"/>
      <c r="C4" s="228"/>
      <c r="D4" s="229"/>
      <c r="E4" s="230"/>
      <c r="F4" s="230"/>
      <c r="G4" s="230"/>
      <c r="H4" s="230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7"/>
    </row>
    <row r="5" spans="1:21" x14ac:dyDescent="0.25">
      <c r="A5" s="231"/>
      <c r="B5" s="232"/>
      <c r="C5" s="231">
        <v>2008</v>
      </c>
      <c r="D5" s="233">
        <v>2009</v>
      </c>
      <c r="E5" s="233">
        <v>2010</v>
      </c>
      <c r="F5" s="233">
        <v>2011</v>
      </c>
      <c r="G5" s="233">
        <v>2012</v>
      </c>
      <c r="H5" s="233">
        <v>2013</v>
      </c>
      <c r="I5" s="233">
        <v>2014</v>
      </c>
      <c r="J5" s="233">
        <v>2015</v>
      </c>
      <c r="K5" s="233">
        <v>2016</v>
      </c>
      <c r="L5" s="233">
        <v>2017</v>
      </c>
      <c r="M5" s="233">
        <v>2018</v>
      </c>
      <c r="N5" s="233">
        <v>2019</v>
      </c>
      <c r="O5" s="233">
        <v>2020</v>
      </c>
      <c r="P5" s="233">
        <v>2021</v>
      </c>
      <c r="Q5" s="233">
        <v>2022</v>
      </c>
      <c r="R5" s="233">
        <v>2023</v>
      </c>
      <c r="S5" s="233">
        <v>2024</v>
      </c>
      <c r="T5" s="233">
        <v>2025</v>
      </c>
      <c r="U5" s="234">
        <v>2026</v>
      </c>
    </row>
    <row r="6" spans="1:21" x14ac:dyDescent="0.25">
      <c r="A6" s="235"/>
      <c r="B6" s="236"/>
      <c r="C6" s="237" t="s">
        <v>368</v>
      </c>
      <c r="D6" s="238" t="s">
        <v>368</v>
      </c>
      <c r="E6" s="238" t="s">
        <v>368</v>
      </c>
      <c r="F6" s="238" t="s">
        <v>368</v>
      </c>
      <c r="G6" s="238" t="s">
        <v>368</v>
      </c>
      <c r="H6" s="238" t="s">
        <v>368</v>
      </c>
      <c r="I6" s="238" t="s">
        <v>368</v>
      </c>
      <c r="J6" s="238" t="s">
        <v>368</v>
      </c>
      <c r="K6" s="238" t="s">
        <v>368</v>
      </c>
      <c r="L6" s="238" t="s">
        <v>368</v>
      </c>
      <c r="M6" s="238" t="s">
        <v>368</v>
      </c>
      <c r="N6" s="238" t="s">
        <v>368</v>
      </c>
      <c r="O6" s="238" t="s">
        <v>368</v>
      </c>
      <c r="P6" s="238" t="s">
        <v>368</v>
      </c>
      <c r="Q6" s="238" t="s">
        <v>369</v>
      </c>
      <c r="R6" s="238" t="s">
        <v>369</v>
      </c>
      <c r="S6" s="238" t="s">
        <v>369</v>
      </c>
      <c r="T6" s="238" t="s">
        <v>369</v>
      </c>
      <c r="U6" s="239" t="s">
        <v>369</v>
      </c>
    </row>
    <row r="7" spans="1:21" x14ac:dyDescent="0.25">
      <c r="A7" s="226"/>
      <c r="B7" s="234"/>
      <c r="C7" s="240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2"/>
    </row>
    <row r="8" spans="1:21" x14ac:dyDescent="0.25">
      <c r="A8" s="231"/>
      <c r="B8" s="243" t="s">
        <v>370</v>
      </c>
      <c r="C8" s="244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/>
    </row>
    <row r="9" spans="1:21" x14ac:dyDescent="0.25">
      <c r="A9" s="231"/>
      <c r="B9" s="234"/>
      <c r="C9" s="244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6"/>
    </row>
    <row r="10" spans="1:21" x14ac:dyDescent="0.25">
      <c r="A10" s="247"/>
      <c r="B10" s="248" t="s">
        <v>371</v>
      </c>
      <c r="C10" s="249">
        <v>4.5876307055422894</v>
      </c>
      <c r="D10" s="250">
        <v>1.6236443564852099</v>
      </c>
      <c r="E10" s="250">
        <v>0.96309892889521187</v>
      </c>
      <c r="F10" s="250">
        <v>3.908765900839728</v>
      </c>
      <c r="G10" s="250">
        <v>3.6150362463793551</v>
      </c>
      <c r="H10" s="250">
        <v>1.3889746916249779</v>
      </c>
      <c r="I10" s="250">
        <v>-6.9055864163058978E-2</v>
      </c>
      <c r="J10" s="250">
        <v>-0.32875013973152623</v>
      </c>
      <c r="K10" s="250">
        <v>-0.51947654708678348</v>
      </c>
      <c r="L10" s="250">
        <v>1.3083863171367671</v>
      </c>
      <c r="M10" s="250">
        <v>2.4942252144670052</v>
      </c>
      <c r="N10" s="250">
        <v>2.6775097969561568</v>
      </c>
      <c r="O10" s="250">
        <v>1.9325023003922803</v>
      </c>
      <c r="P10" s="250">
        <v>3.1603780536386905</v>
      </c>
      <c r="Q10" s="250">
        <v>12.780022596737828</v>
      </c>
      <c r="R10" s="250">
        <v>9.7998069459672479</v>
      </c>
      <c r="S10" s="250">
        <v>5.3337327309215476</v>
      </c>
      <c r="T10" s="250">
        <v>4.153769845228239</v>
      </c>
      <c r="U10" s="251">
        <v>2.1888254005387742</v>
      </c>
    </row>
    <row r="11" spans="1:21" x14ac:dyDescent="0.25">
      <c r="A11" s="231" t="s">
        <v>338</v>
      </c>
      <c r="B11" s="248" t="s">
        <v>372</v>
      </c>
      <c r="C11" s="249">
        <v>4.4711628780762513</v>
      </c>
      <c r="D11" s="250">
        <v>4.2016215413242852</v>
      </c>
      <c r="E11" s="250">
        <v>-0.49220795786220073</v>
      </c>
      <c r="F11" s="250">
        <v>7.0094479758107786</v>
      </c>
      <c r="G11" s="250">
        <v>6.3089693271419112</v>
      </c>
      <c r="H11" s="250">
        <v>0.80300655197669268</v>
      </c>
      <c r="I11" s="250">
        <v>-0.89491195539248558</v>
      </c>
      <c r="J11" s="250">
        <v>-1.5886969964371223</v>
      </c>
      <c r="K11" s="250">
        <v>-1.1862344220351706</v>
      </c>
      <c r="L11" s="250">
        <v>-1.888214946065625</v>
      </c>
      <c r="M11" s="250">
        <v>1.3025080059388294</v>
      </c>
      <c r="N11" s="250">
        <v>3.9175605559262472</v>
      </c>
      <c r="O11" s="250">
        <v>3.2515616904095213</v>
      </c>
      <c r="P11" s="250">
        <v>-0.70421866286205503</v>
      </c>
      <c r="Q11" s="250">
        <v>13.27831750606261</v>
      </c>
      <c r="R11" s="250">
        <v>9.2168166918269669</v>
      </c>
      <c r="S11" s="250">
        <v>15.600279791685523</v>
      </c>
      <c r="T11" s="250">
        <v>9.5696649714110738</v>
      </c>
      <c r="U11" s="251">
        <v>1.051426452805404</v>
      </c>
    </row>
    <row r="12" spans="1:21" x14ac:dyDescent="0.25">
      <c r="A12" s="231"/>
      <c r="B12" s="248" t="s">
        <v>373</v>
      </c>
      <c r="C12" s="249">
        <v>4.6040101483600271</v>
      </c>
      <c r="D12" s="250">
        <v>0.46895995700080295</v>
      </c>
      <c r="E12" s="250">
        <v>1.1836456285359009</v>
      </c>
      <c r="F12" s="250">
        <v>2.315806170195911</v>
      </c>
      <c r="G12" s="250">
        <v>2.7446192801591218</v>
      </c>
      <c r="H12" s="250">
        <v>1.4906230942846044</v>
      </c>
      <c r="I12" s="250">
        <v>0.1579612468407765</v>
      </c>
      <c r="J12" s="250">
        <v>4.3293523907195208E-3</v>
      </c>
      <c r="K12" s="250">
        <v>6.606261000619007E-2</v>
      </c>
      <c r="L12" s="250">
        <v>2.0285315847289764</v>
      </c>
      <c r="M12" s="250">
        <v>2.7462988893904194</v>
      </c>
      <c r="N12" s="250">
        <v>2.3774857529279103</v>
      </c>
      <c r="O12" s="250">
        <v>1.6681411512068367</v>
      </c>
      <c r="P12" s="250">
        <v>3.6095793730812398</v>
      </c>
      <c r="Q12" s="250">
        <v>12.50703532505819</v>
      </c>
      <c r="R12" s="250">
        <v>9.9501228005534958</v>
      </c>
      <c r="S12" s="250">
        <v>3.5722098371105959</v>
      </c>
      <c r="T12" s="250">
        <v>3.1247839557309698</v>
      </c>
      <c r="U12" s="251">
        <v>2.398354233127642</v>
      </c>
    </row>
    <row r="13" spans="1:21" x14ac:dyDescent="0.25">
      <c r="A13" s="231" t="s">
        <v>338</v>
      </c>
      <c r="B13" s="248" t="s">
        <v>374</v>
      </c>
      <c r="C13" s="249">
        <v>8.0206548209614823</v>
      </c>
      <c r="D13" s="250">
        <v>-3.6335803499982444</v>
      </c>
      <c r="E13" s="250">
        <v>1.7127219426252616</v>
      </c>
      <c r="F13" s="250">
        <v>5.3185674227096857</v>
      </c>
      <c r="G13" s="250">
        <v>3.7483907062019428</v>
      </c>
      <c r="H13" s="250">
        <v>3.7364050988188513</v>
      </c>
      <c r="I13" s="250">
        <v>-0.73401850077349229</v>
      </c>
      <c r="J13" s="250">
        <v>-0.39685293727955706</v>
      </c>
      <c r="K13" s="250">
        <v>-0.82690909844265192</v>
      </c>
      <c r="L13" s="250">
        <v>4.231806259839388</v>
      </c>
      <c r="M13" s="250">
        <v>4.2411206706375326</v>
      </c>
      <c r="N13" s="250">
        <v>4.3568221926978401</v>
      </c>
      <c r="O13" s="250">
        <v>2.7820210071904716</v>
      </c>
      <c r="P13" s="250">
        <v>1.8831708310725448</v>
      </c>
      <c r="Q13" s="250">
        <v>19.263691837441321</v>
      </c>
      <c r="R13" s="250">
        <v>18.919249055378607</v>
      </c>
      <c r="S13" s="250">
        <v>5.4001212239413565</v>
      </c>
      <c r="T13" s="250">
        <v>4.4777957320893735</v>
      </c>
      <c r="U13" s="251">
        <v>3.7010500486923892</v>
      </c>
    </row>
    <row r="14" spans="1:21" x14ac:dyDescent="0.25">
      <c r="A14" s="231"/>
      <c r="B14" s="248" t="s">
        <v>375</v>
      </c>
      <c r="C14" s="249">
        <v>3.8213324545504523</v>
      </c>
      <c r="D14" s="250">
        <v>1.4250572006718532</v>
      </c>
      <c r="E14" s="250">
        <v>0.87692418028779695</v>
      </c>
      <c r="F14" s="250">
        <v>1.5266090148782885</v>
      </c>
      <c r="G14" s="250">
        <v>2.5260370247765618</v>
      </c>
      <c r="H14" s="250">
        <v>0.9661475796636898</v>
      </c>
      <c r="I14" s="250">
        <v>0.36037587326578358</v>
      </c>
      <c r="J14" s="250">
        <v>0.12439182813095417</v>
      </c>
      <c r="K14" s="250">
        <v>0.2692827897696759</v>
      </c>
      <c r="L14" s="250">
        <v>1.3934581321679573</v>
      </c>
      <c r="M14" s="250">
        <v>2.3593189910797729</v>
      </c>
      <c r="N14" s="250">
        <v>1.9025804371182842</v>
      </c>
      <c r="O14" s="250">
        <v>1.3854120019841876</v>
      </c>
      <c r="P14" s="250">
        <v>4.0379699255253199</v>
      </c>
      <c r="Q14" s="250">
        <v>10.53789148123585</v>
      </c>
      <c r="R14" s="250">
        <v>7.4570230157458006</v>
      </c>
      <c r="S14" s="250">
        <v>3.0453030019477856</v>
      </c>
      <c r="T14" s="250">
        <v>2.7357265768970684</v>
      </c>
      <c r="U14" s="251">
        <v>2.0216963050500025</v>
      </c>
    </row>
    <row r="15" spans="1:21" x14ac:dyDescent="0.25">
      <c r="A15" s="231" t="s">
        <v>338</v>
      </c>
      <c r="B15" s="248" t="s">
        <v>376</v>
      </c>
      <c r="C15" s="249">
        <v>6.6319291550467119</v>
      </c>
      <c r="D15" s="250">
        <v>-16.253336086321479</v>
      </c>
      <c r="E15" s="250">
        <v>11.478089359254163</v>
      </c>
      <c r="F15" s="250">
        <v>15.463250411605213</v>
      </c>
      <c r="G15" s="250">
        <v>5.6732003887600024</v>
      </c>
      <c r="H15" s="250">
        <v>-3.4902455725774995</v>
      </c>
      <c r="I15" s="250">
        <v>-2.7573925806384292</v>
      </c>
      <c r="J15" s="250">
        <v>-12.730784362816994</v>
      </c>
      <c r="K15" s="250">
        <v>-7.1492975294676908</v>
      </c>
      <c r="L15" s="250">
        <v>7.6026695857904558</v>
      </c>
      <c r="M15" s="250">
        <v>7.332140981885038</v>
      </c>
      <c r="N15" s="250">
        <v>-1.6915727116376789</v>
      </c>
      <c r="O15" s="250">
        <v>-11.57668024756634</v>
      </c>
      <c r="P15" s="250">
        <v>17.361971664045761</v>
      </c>
      <c r="Q15" s="250">
        <v>26.091308071654986</v>
      </c>
      <c r="R15" s="250">
        <v>-10.206182576212107</v>
      </c>
      <c r="S15" s="250">
        <v>-2.688672717361662</v>
      </c>
      <c r="T15" s="250">
        <v>-0.87041171932369377</v>
      </c>
      <c r="U15" s="251">
        <v>-0.60644113658191445</v>
      </c>
    </row>
    <row r="16" spans="1:21" x14ac:dyDescent="0.25">
      <c r="A16" s="231" t="s">
        <v>338</v>
      </c>
      <c r="B16" s="248" t="s">
        <v>377</v>
      </c>
      <c r="C16" s="249">
        <v>0.47292770933651251</v>
      </c>
      <c r="D16" s="250">
        <v>-1.6083417888456908</v>
      </c>
      <c r="E16" s="250">
        <v>-1.4109817179677853</v>
      </c>
      <c r="F16" s="250">
        <v>-0.28975910358571833</v>
      </c>
      <c r="G16" s="250">
        <v>2.060897014808627</v>
      </c>
      <c r="H16" s="250">
        <v>0.95155494553009756</v>
      </c>
      <c r="I16" s="250">
        <v>0.16729815413425442</v>
      </c>
      <c r="J16" s="250">
        <v>0.44213930396062029</v>
      </c>
      <c r="K16" s="250">
        <v>0.11670987385077325</v>
      </c>
      <c r="L16" s="250">
        <v>0.55712079970713368</v>
      </c>
      <c r="M16" s="250">
        <v>1.3391797128520011</v>
      </c>
      <c r="N16" s="250">
        <v>1.4030793105535899</v>
      </c>
      <c r="O16" s="250">
        <v>1.5446785741446867</v>
      </c>
      <c r="P16" s="250">
        <v>2.4020691747572931</v>
      </c>
      <c r="Q16" s="250">
        <v>7.5986398457600579</v>
      </c>
      <c r="R16" s="250">
        <v>6.2857728813135116</v>
      </c>
      <c r="S16" s="250">
        <v>2.3921981896262157</v>
      </c>
      <c r="T16" s="250">
        <v>2.4767788568408111</v>
      </c>
      <c r="U16" s="251">
        <v>1.697879054548701</v>
      </c>
    </row>
    <row r="17" spans="1:21" x14ac:dyDescent="0.25">
      <c r="A17" s="231" t="s">
        <v>338</v>
      </c>
      <c r="B17" s="248" t="s">
        <v>378</v>
      </c>
      <c r="C17" s="249">
        <v>7.3581704008733206</v>
      </c>
      <c r="D17" s="250">
        <v>6.8770071780209552</v>
      </c>
      <c r="E17" s="250">
        <v>2.3030839660141966</v>
      </c>
      <c r="F17" s="250">
        <v>2.2351229662913141</v>
      </c>
      <c r="G17" s="250">
        <v>2.7311331162836794</v>
      </c>
      <c r="H17" s="250">
        <v>1.4061910982142045</v>
      </c>
      <c r="I17" s="250">
        <v>0.8338304328656454</v>
      </c>
      <c r="J17" s="250">
        <v>0.79049688988346301</v>
      </c>
      <c r="K17" s="250">
        <v>0.95144929077257689</v>
      </c>
      <c r="L17" s="250">
        <v>1.8579999325895713</v>
      </c>
      <c r="M17" s="250">
        <v>3.0004715381242608</v>
      </c>
      <c r="N17" s="250">
        <v>2.8658793732108778</v>
      </c>
      <c r="O17" s="250">
        <v>2.6443239352073711</v>
      </c>
      <c r="P17" s="250">
        <v>0.46835676781382674</v>
      </c>
      <c r="Q17" s="250">
        <v>12.784696607945278</v>
      </c>
      <c r="R17" s="250">
        <v>9.4752921278490998</v>
      </c>
      <c r="S17" s="250">
        <v>4.3332932431974891</v>
      </c>
      <c r="T17" s="250">
        <v>3.3687309505668672</v>
      </c>
      <c r="U17" s="251">
        <v>2.6433278864936183</v>
      </c>
    </row>
    <row r="18" spans="1:21" x14ac:dyDescent="0.25">
      <c r="A18" s="231"/>
      <c r="B18" s="252"/>
      <c r="C18" s="253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0"/>
      <c r="T18" s="250"/>
      <c r="U18" s="251"/>
    </row>
    <row r="19" spans="1:21" x14ac:dyDescent="0.25">
      <c r="A19" s="231"/>
      <c r="B19" s="248" t="s">
        <v>379</v>
      </c>
      <c r="C19" s="249">
        <v>3.9361763407000483</v>
      </c>
      <c r="D19" s="250">
        <v>0.92553250447988678</v>
      </c>
      <c r="E19" s="250">
        <v>0.69464782545025638</v>
      </c>
      <c r="F19" s="250">
        <v>4.080964889159544</v>
      </c>
      <c r="G19" s="250">
        <v>3.7419332302882635</v>
      </c>
      <c r="H19" s="250">
        <v>1.4638293573966177</v>
      </c>
      <c r="I19" s="250">
        <v>-0.10204335598197334</v>
      </c>
      <c r="J19" s="250">
        <v>-0.34381384224426714</v>
      </c>
      <c r="K19" s="250">
        <v>-0.48166666666666913</v>
      </c>
      <c r="L19" s="250">
        <v>1.3908660045887755</v>
      </c>
      <c r="M19" s="250">
        <v>2.5329732497543</v>
      </c>
      <c r="N19" s="250">
        <v>2.7716472009665871</v>
      </c>
      <c r="O19" s="250">
        <v>2.0142486539019178</v>
      </c>
      <c r="P19" s="250">
        <v>2.8195849755302982</v>
      </c>
      <c r="Q19" s="250">
        <v>12.14267724502065</v>
      </c>
      <c r="R19" s="250">
        <v>9.7277641141920945</v>
      </c>
      <c r="S19" s="250">
        <v>5.4846777153888304</v>
      </c>
      <c r="T19" s="250">
        <v>4.3423148545843615</v>
      </c>
      <c r="U19" s="251">
        <v>2.1819114588192079</v>
      </c>
    </row>
    <row r="20" spans="1:21" x14ac:dyDescent="0.25">
      <c r="A20" s="231"/>
      <c r="B20" s="248"/>
      <c r="C20" s="249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1"/>
    </row>
    <row r="21" spans="1:21" x14ac:dyDescent="0.25">
      <c r="A21" s="231"/>
      <c r="B21" s="248" t="s">
        <v>380</v>
      </c>
      <c r="C21" s="249">
        <v>4.4000000000000039</v>
      </c>
      <c r="D21" s="250">
        <v>1.2999999999999901</v>
      </c>
      <c r="E21" s="250">
        <v>0.8999999999999897</v>
      </c>
      <c r="F21" s="250">
        <v>4.2727846769101241</v>
      </c>
      <c r="G21" s="250">
        <v>3.7293096487686528</v>
      </c>
      <c r="H21" s="250">
        <v>1.4254439309170586</v>
      </c>
      <c r="I21" s="250">
        <v>2.8779739063700127E-2</v>
      </c>
      <c r="J21" s="250">
        <v>-0.19180972475305591</v>
      </c>
      <c r="K21" s="250">
        <v>-0.6774286537907237</v>
      </c>
      <c r="L21" s="250">
        <v>1.2093068253277384</v>
      </c>
      <c r="M21" s="250">
        <v>2.5378769774888843</v>
      </c>
      <c r="N21" s="250">
        <v>3.0810105341661176</v>
      </c>
      <c r="O21" s="250">
        <v>2.1656794031200466</v>
      </c>
      <c r="P21" s="250">
        <v>2.9372679490010878</v>
      </c>
      <c r="Q21" s="250">
        <v>13.601619329058678</v>
      </c>
      <c r="R21" s="250">
        <v>10.167879983375204</v>
      </c>
      <c r="S21" s="250">
        <v>5.9767806368791643</v>
      </c>
      <c r="T21" s="250">
        <v>4.4456807837560453</v>
      </c>
      <c r="U21" s="251">
        <v>2.2021291955989009</v>
      </c>
    </row>
    <row r="22" spans="1:21" x14ac:dyDescent="0.25">
      <c r="A22" s="231"/>
      <c r="B22" s="248"/>
      <c r="C22" s="249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1"/>
    </row>
    <row r="23" spans="1:21" x14ac:dyDescent="0.25">
      <c r="A23" s="231"/>
      <c r="B23" s="248" t="s">
        <v>381</v>
      </c>
      <c r="C23" s="249"/>
      <c r="D23" s="250"/>
      <c r="E23" s="250"/>
      <c r="F23" s="250">
        <v>4.1217501585288474</v>
      </c>
      <c r="G23" s="250">
        <v>3.7758830694275325</v>
      </c>
      <c r="H23" s="250">
        <v>1.7605633802816989</v>
      </c>
      <c r="I23" s="250">
        <v>-0.28835063437139263</v>
      </c>
      <c r="J23" s="250">
        <v>-0.1735106998264957</v>
      </c>
      <c r="K23" s="250">
        <v>-0.63731170336036591</v>
      </c>
      <c r="L23" s="250">
        <v>0.69970845481048816</v>
      </c>
      <c r="M23" s="250">
        <v>2.7214823393167498</v>
      </c>
      <c r="N23" s="250">
        <v>2.5366403607666399</v>
      </c>
      <c r="O23" s="250">
        <v>2.1990104452996206</v>
      </c>
      <c r="P23" s="250">
        <v>1.5255513717052027</v>
      </c>
      <c r="Q23" s="250">
        <v>11.7</v>
      </c>
      <c r="R23" s="250">
        <v>12.661566465229622</v>
      </c>
      <c r="S23" s="250">
        <v>5.9244592113121275</v>
      </c>
      <c r="T23" s="250">
        <v>4.4650251780939509</v>
      </c>
      <c r="U23" s="251">
        <v>2.2967955589508149</v>
      </c>
    </row>
    <row r="24" spans="1:21" x14ac:dyDescent="0.25">
      <c r="A24" s="235"/>
      <c r="B24" s="248"/>
      <c r="C24" s="255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7"/>
    </row>
    <row r="25" spans="1:21" x14ac:dyDescent="0.25">
      <c r="A25" s="231"/>
      <c r="B25" s="258"/>
      <c r="C25" s="259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1"/>
    </row>
    <row r="26" spans="1:21" x14ac:dyDescent="0.25">
      <c r="A26" s="231"/>
      <c r="B26" s="243" t="s">
        <v>382</v>
      </c>
      <c r="C26" s="249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1"/>
    </row>
    <row r="27" spans="1:21" x14ac:dyDescent="0.25">
      <c r="A27" s="231"/>
      <c r="B27" s="248"/>
      <c r="C27" s="249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1"/>
    </row>
    <row r="28" spans="1:21" x14ac:dyDescent="0.25">
      <c r="A28" s="231"/>
      <c r="B28" s="248" t="s">
        <v>383</v>
      </c>
      <c r="C28" s="249">
        <v>2.8580749592820753</v>
      </c>
      <c r="D28" s="250">
        <v>-1.1612222898941038</v>
      </c>
      <c r="E28" s="250">
        <v>0.53269633341479494</v>
      </c>
      <c r="F28" s="250">
        <v>1.6768312709333877</v>
      </c>
      <c r="G28" s="250">
        <v>1.2603676526169227</v>
      </c>
      <c r="H28" s="250">
        <v>0.50937911951882686</v>
      </c>
      <c r="I28" s="250">
        <v>-0.19278059413019299</v>
      </c>
      <c r="J28" s="250">
        <v>-0.21650452565193934</v>
      </c>
      <c r="K28" s="250">
        <v>-0.51229585589450677</v>
      </c>
      <c r="L28" s="250">
        <v>1.2158019881251869</v>
      </c>
      <c r="M28" s="250">
        <v>2.0347877952904492</v>
      </c>
      <c r="N28" s="250">
        <v>2.494293465654307</v>
      </c>
      <c r="O28" s="250">
        <v>2.3706577836335452</v>
      </c>
      <c r="P28" s="250">
        <v>2.3833136169670421</v>
      </c>
      <c r="Q28" s="250">
        <v>7.5300534303745614</v>
      </c>
      <c r="R28" s="250">
        <v>7.7740547297875162</v>
      </c>
      <c r="S28" s="250">
        <v>5.4598888816368651</v>
      </c>
      <c r="T28" s="250">
        <v>4.09345139267141</v>
      </c>
      <c r="U28" s="251">
        <v>2.5126916031902535</v>
      </c>
    </row>
    <row r="29" spans="1:21" x14ac:dyDescent="0.25">
      <c r="A29" s="231"/>
      <c r="B29" s="248"/>
      <c r="C29" s="249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1"/>
    </row>
    <row r="30" spans="1:21" x14ac:dyDescent="0.25">
      <c r="A30" s="231"/>
      <c r="B30" s="248" t="s">
        <v>384</v>
      </c>
      <c r="C30" s="249">
        <v>4.481573549235196</v>
      </c>
      <c r="D30" s="250">
        <v>5.5384353614273962E-2</v>
      </c>
      <c r="E30" s="250">
        <v>1.0044610576323887</v>
      </c>
      <c r="F30" s="250">
        <v>3.8730526951081812</v>
      </c>
      <c r="G30" s="250">
        <v>3.4312400963067313</v>
      </c>
      <c r="H30" s="250">
        <v>1.3325416469186946</v>
      </c>
      <c r="I30" s="250">
        <v>-9.1024607148704195E-2</v>
      </c>
      <c r="J30" s="250">
        <v>-0.11487468631581343</v>
      </c>
      <c r="K30" s="250">
        <v>-0.31799017778754157</v>
      </c>
      <c r="L30" s="250">
        <v>1.4049560286474305</v>
      </c>
      <c r="M30" s="250">
        <v>2.3103896551299519</v>
      </c>
      <c r="N30" s="250">
        <v>2.7303666789154857</v>
      </c>
      <c r="O30" s="250">
        <v>2.1673451213708006</v>
      </c>
      <c r="P30" s="250">
        <v>3.2524755360404667</v>
      </c>
      <c r="Q30" s="250">
        <v>13.194681969328759</v>
      </c>
      <c r="R30" s="250">
        <v>9.4767397788820595</v>
      </c>
      <c r="S30" s="250">
        <v>5.2660055602479439</v>
      </c>
      <c r="T30" s="250">
        <v>4.3233319786641466</v>
      </c>
      <c r="U30" s="251">
        <v>2.2830210981927612</v>
      </c>
    </row>
    <row r="31" spans="1:21" x14ac:dyDescent="0.25">
      <c r="A31" s="231"/>
      <c r="B31" s="248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1"/>
    </row>
    <row r="32" spans="1:21" x14ac:dyDescent="0.25">
      <c r="A32" s="231"/>
      <c r="B32" s="248" t="s">
        <v>385</v>
      </c>
      <c r="C32" s="249">
        <v>4.5099219583472516</v>
      </c>
      <c r="D32" s="250">
        <v>0.53731810888062448</v>
      </c>
      <c r="E32" s="250">
        <v>0.86759632479538329</v>
      </c>
      <c r="F32" s="250">
        <v>2.008509828374061</v>
      </c>
      <c r="G32" s="250">
        <v>1.8750462146829516</v>
      </c>
      <c r="H32" s="250">
        <v>1.0855575546953267</v>
      </c>
      <c r="I32" s="250">
        <v>0.30795139611772271</v>
      </c>
      <c r="J32" s="250">
        <v>0.69315659020976472</v>
      </c>
      <c r="K32" s="250">
        <v>1.2775578699509627</v>
      </c>
      <c r="L32" s="250">
        <v>3.1925424732910379</v>
      </c>
      <c r="M32" s="250">
        <v>4.2394368382836056</v>
      </c>
      <c r="N32" s="250">
        <v>5.551049797983465</v>
      </c>
      <c r="O32" s="250">
        <v>6.5080366147094004</v>
      </c>
      <c r="P32" s="250">
        <v>3.8851390484931692</v>
      </c>
      <c r="Q32" s="250">
        <v>10.087040282094485</v>
      </c>
      <c r="R32" s="250">
        <v>9.2061433471771537</v>
      </c>
      <c r="S32" s="250">
        <v>6.7016509959872517</v>
      </c>
      <c r="T32" s="250">
        <v>5.6134505341817853</v>
      </c>
      <c r="U32" s="251">
        <v>4.3275574418803808</v>
      </c>
    </row>
    <row r="33" spans="1:21" x14ac:dyDescent="0.25">
      <c r="A33" s="231"/>
      <c r="B33" s="248"/>
      <c r="C33" s="249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1"/>
    </row>
    <row r="34" spans="1:21" x14ac:dyDescent="0.25">
      <c r="A34" s="231"/>
      <c r="B34" s="248" t="s">
        <v>386</v>
      </c>
      <c r="C34" s="249">
        <v>1.9401613653068139</v>
      </c>
      <c r="D34" s="250">
        <v>-2.1545346439085233</v>
      </c>
      <c r="E34" s="250">
        <v>-0.14577533025331713</v>
      </c>
      <c r="F34" s="250">
        <v>0.89080600204121119</v>
      </c>
      <c r="G34" s="250">
        <v>0.15510309190609473</v>
      </c>
      <c r="H34" s="250">
        <v>0.40791060772011889</v>
      </c>
      <c r="I34" s="250">
        <v>-0.41058170971403074</v>
      </c>
      <c r="J34" s="250">
        <v>-5.0551681035237994E-2</v>
      </c>
      <c r="K34" s="250">
        <v>-0.76710669350843474</v>
      </c>
      <c r="L34" s="250">
        <v>1.6004304294108485</v>
      </c>
      <c r="M34" s="250">
        <v>2.2843520229080205</v>
      </c>
      <c r="N34" s="250">
        <v>1.207844679407355</v>
      </c>
      <c r="O34" s="250">
        <v>0.69703275148040866</v>
      </c>
      <c r="P34" s="250">
        <v>2.1884666112512052</v>
      </c>
      <c r="Q34" s="250">
        <v>10.26851886277087</v>
      </c>
      <c r="R34" s="250">
        <v>7.4816302475193996</v>
      </c>
      <c r="S34" s="250">
        <v>4.5782668244921609</v>
      </c>
      <c r="T34" s="250">
        <v>4.0563794909588724</v>
      </c>
      <c r="U34" s="251">
        <v>2.2123217647922466</v>
      </c>
    </row>
    <row r="35" spans="1:21" x14ac:dyDescent="0.25">
      <c r="A35" s="231"/>
      <c r="B35" s="262"/>
      <c r="C35" s="231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4"/>
    </row>
    <row r="36" spans="1:21" x14ac:dyDescent="0.25">
      <c r="A36" s="231"/>
      <c r="B36" s="248" t="s">
        <v>387</v>
      </c>
      <c r="C36" s="249">
        <v>1.3315384109522155</v>
      </c>
      <c r="D36" s="250">
        <v>-5.1510926478510966</v>
      </c>
      <c r="E36" s="250">
        <v>2.8916701439634096</v>
      </c>
      <c r="F36" s="250">
        <v>3.9471735455814283</v>
      </c>
      <c r="G36" s="250">
        <v>1.2374442483482406</v>
      </c>
      <c r="H36" s="250">
        <v>-1.8469143204819072</v>
      </c>
      <c r="I36" s="250">
        <v>-3.3136383408854497</v>
      </c>
      <c r="J36" s="250">
        <v>-1.3828189265974511</v>
      </c>
      <c r="K36" s="250">
        <v>-1.4696536881596778</v>
      </c>
      <c r="L36" s="250">
        <v>2.2181960338146345</v>
      </c>
      <c r="M36" s="250">
        <v>1.7843083396688719</v>
      </c>
      <c r="N36" s="250">
        <v>-2.5613181154782172E-2</v>
      </c>
      <c r="O36" s="250">
        <v>-2.2219462971359238</v>
      </c>
      <c r="P36" s="250">
        <v>5.1197791317096897</v>
      </c>
      <c r="Q36" s="250">
        <v>16.093258165482393</v>
      </c>
      <c r="R36" s="250">
        <v>5.5343076935729485</v>
      </c>
      <c r="S36" s="250">
        <v>3.6209859500783814</v>
      </c>
      <c r="T36" s="250">
        <v>3.3425955799490037</v>
      </c>
      <c r="U36" s="251">
        <v>2.4762473006368912</v>
      </c>
    </row>
    <row r="37" spans="1:21" x14ac:dyDescent="0.25">
      <c r="A37" s="231"/>
      <c r="B37" s="248"/>
      <c r="C37" s="249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1"/>
    </row>
    <row r="38" spans="1:21" x14ac:dyDescent="0.25">
      <c r="A38" s="231"/>
      <c r="B38" s="248" t="s">
        <v>388</v>
      </c>
      <c r="C38" s="249">
        <v>3.0173403166024793</v>
      </c>
      <c r="D38" s="250">
        <v>-4.0613116102297457</v>
      </c>
      <c r="E38" s="250">
        <v>3.7454888743739145</v>
      </c>
      <c r="F38" s="250">
        <v>5.3556709670642855</v>
      </c>
      <c r="G38" s="250">
        <v>2.5077044601512277</v>
      </c>
      <c r="H38" s="250">
        <v>-1.400893712772644</v>
      </c>
      <c r="I38" s="250">
        <v>-3.3642069974999189</v>
      </c>
      <c r="J38" s="250">
        <v>-1.1166566611537698</v>
      </c>
      <c r="K38" s="250">
        <v>-1.0861752094133537</v>
      </c>
      <c r="L38" s="250">
        <v>2.7792651720128569</v>
      </c>
      <c r="M38" s="250">
        <v>2.3858000697894344</v>
      </c>
      <c r="N38" s="250">
        <v>0.21780038415362135</v>
      </c>
      <c r="O38" s="250">
        <v>-1.8685895963600041</v>
      </c>
      <c r="P38" s="250">
        <v>6.0328618049342753</v>
      </c>
      <c r="Q38" s="250">
        <v>21.480798909962395</v>
      </c>
      <c r="R38" s="250">
        <v>6.1667474966405234</v>
      </c>
      <c r="S38" s="250">
        <v>3.3254301497148253</v>
      </c>
      <c r="T38" s="250">
        <v>3.4652540325509129</v>
      </c>
      <c r="U38" s="251">
        <v>2.4286713457247977</v>
      </c>
    </row>
    <row r="39" spans="1:21" x14ac:dyDescent="0.25">
      <c r="A39" s="231"/>
      <c r="B39" s="248"/>
      <c r="C39" s="249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1"/>
    </row>
    <row r="40" spans="1:21" x14ac:dyDescent="0.25">
      <c r="A40" s="231"/>
      <c r="B40" s="248" t="s">
        <v>389</v>
      </c>
      <c r="C40" s="249">
        <v>-1.6364253828232034</v>
      </c>
      <c r="D40" s="250">
        <v>-1.1359140466814632</v>
      </c>
      <c r="E40" s="250">
        <v>-0.82299359680536588</v>
      </c>
      <c r="F40" s="250">
        <v>-1.3368975856298926</v>
      </c>
      <c r="G40" s="250">
        <v>-1.2391851114925578</v>
      </c>
      <c r="H40" s="250">
        <v>-0.45235765769514602</v>
      </c>
      <c r="I40" s="250">
        <v>5.2329116410487764E-2</v>
      </c>
      <c r="J40" s="250">
        <v>-0.26916794725639903</v>
      </c>
      <c r="K40" s="250">
        <v>-0.38768946561129614</v>
      </c>
      <c r="L40" s="250">
        <v>-0.5458972072423518</v>
      </c>
      <c r="M40" s="250">
        <v>-0.58747573365699468</v>
      </c>
      <c r="N40" s="250">
        <v>-0.24288456179973883</v>
      </c>
      <c r="O40" s="250">
        <v>-0.36008521565367158</v>
      </c>
      <c r="P40" s="250">
        <v>-0.86113178280933234</v>
      </c>
      <c r="Q40" s="250">
        <v>-4.4348907751858402</v>
      </c>
      <c r="R40" s="250">
        <v>-0.59570422752904806</v>
      </c>
      <c r="S40" s="250">
        <v>0.28604361959616575</v>
      </c>
      <c r="T40" s="250">
        <v>-0.11855038075229141</v>
      </c>
      <c r="U40" s="251">
        <v>4.6447888356859757E-2</v>
      </c>
    </row>
    <row r="41" spans="1:21" x14ac:dyDescent="0.25">
      <c r="A41" s="235"/>
      <c r="B41" s="263"/>
      <c r="C41" s="235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36"/>
    </row>
    <row r="43" spans="1:21" x14ac:dyDescent="0.25">
      <c r="A43" s="233" t="s">
        <v>338</v>
      </c>
      <c r="B43" s="522" t="s">
        <v>390</v>
      </c>
      <c r="C43" s="516"/>
      <c r="D43" s="516"/>
      <c r="E43" s="516"/>
      <c r="F43" s="516"/>
      <c r="G43" s="516"/>
      <c r="H43" s="516"/>
      <c r="I43" s="516"/>
      <c r="J43" s="516"/>
      <c r="K43" s="516"/>
      <c r="L43" s="516"/>
      <c r="M43" s="516"/>
      <c r="N43" s="516"/>
      <c r="O43" s="516"/>
      <c r="P43" s="516"/>
    </row>
    <row r="44" spans="1:21" x14ac:dyDescent="0.25"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</row>
    <row r="45" spans="1:21" x14ac:dyDescent="0.25">
      <c r="B45" s="266" t="s">
        <v>391</v>
      </c>
      <c r="C45" s="267">
        <v>0.17396396442500001</v>
      </c>
      <c r="D45" s="222"/>
      <c r="E45" s="223"/>
    </row>
    <row r="46" spans="1:21" x14ac:dyDescent="0.25">
      <c r="B46" s="266" t="s">
        <v>392</v>
      </c>
      <c r="C46" s="267">
        <v>0.16561514460900001</v>
      </c>
      <c r="D46" s="222"/>
      <c r="E46" s="223"/>
    </row>
    <row r="47" spans="1:21" x14ac:dyDescent="0.25">
      <c r="B47" s="266" t="s">
        <v>393</v>
      </c>
      <c r="C47" s="267">
        <v>3.2555668783000001E-2</v>
      </c>
      <c r="D47" s="222"/>
      <c r="E47" s="223"/>
    </row>
    <row r="48" spans="1:21" x14ac:dyDescent="0.25">
      <c r="B48" s="265" t="s">
        <v>394</v>
      </c>
      <c r="C48" s="267">
        <v>0.33255469000600002</v>
      </c>
      <c r="D48" s="222"/>
      <c r="E48" s="223"/>
    </row>
    <row r="49" spans="2:5" x14ac:dyDescent="0.25">
      <c r="B49" s="265" t="s">
        <v>395</v>
      </c>
      <c r="C49" s="267">
        <v>0.29531053217699998</v>
      </c>
      <c r="D49" s="222"/>
      <c r="E49" s="223"/>
    </row>
  </sheetData>
  <mergeCells count="4">
    <mergeCell ref="A1:R1"/>
    <mergeCell ref="A2:R2"/>
    <mergeCell ref="A3:R3"/>
    <mergeCell ref="B43:P43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2055-B3BF-4E58-8C1C-F9146AB00656}">
  <sheetPr>
    <tabColor rgb="FFFFC000"/>
  </sheetPr>
  <dimension ref="B2:AG60"/>
  <sheetViews>
    <sheetView topLeftCell="B1" zoomScaleNormal="100" workbookViewId="0">
      <selection activeCell="D20" sqref="D20:AG20"/>
    </sheetView>
  </sheetViews>
  <sheetFormatPr defaultColWidth="9.140625" defaultRowHeight="11.25" x14ac:dyDescent="0.2"/>
  <cols>
    <col min="1" max="1" width="2.7109375" style="2" customWidth="1"/>
    <col min="2" max="2" width="44.7109375" style="2" customWidth="1"/>
    <col min="3" max="33" width="13.7109375" style="2" customWidth="1"/>
    <col min="34" max="34" width="5" style="2" bestFit="1" customWidth="1"/>
    <col min="35" max="16384" width="9.140625" style="2"/>
  </cols>
  <sheetData>
    <row r="2" spans="2:33" x14ac:dyDescent="0.2">
      <c r="B2" s="10" t="s">
        <v>21</v>
      </c>
      <c r="C2" s="10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/>
      <c r="C3" s="13" t="s">
        <v>9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</row>
    <row r="4" spans="2:33" x14ac:dyDescent="0.2">
      <c r="B4" s="6" t="s">
        <v>37</v>
      </c>
      <c r="C4" s="124" t="s">
        <v>230</v>
      </c>
      <c r="D4" s="7">
        <f>Parametre!C13</f>
        <v>2023</v>
      </c>
      <c r="E4" s="7">
        <f>$D$4+D3</f>
        <v>2024</v>
      </c>
      <c r="F4" s="7">
        <f>$D$4+E3</f>
        <v>2025</v>
      </c>
      <c r="G4" s="7">
        <f t="shared" ref="G4:AG4" si="0">$D$4+F3</f>
        <v>2026</v>
      </c>
      <c r="H4" s="7">
        <f t="shared" si="0"/>
        <v>2027</v>
      </c>
      <c r="I4" s="7">
        <f t="shared" si="0"/>
        <v>2028</v>
      </c>
      <c r="J4" s="7">
        <f t="shared" si="0"/>
        <v>2029</v>
      </c>
      <c r="K4" s="7">
        <f t="shared" si="0"/>
        <v>2030</v>
      </c>
      <c r="L4" s="7">
        <f t="shared" si="0"/>
        <v>2031</v>
      </c>
      <c r="M4" s="7">
        <f t="shared" si="0"/>
        <v>2032</v>
      </c>
      <c r="N4" s="7">
        <f t="shared" si="0"/>
        <v>2033</v>
      </c>
      <c r="O4" s="7">
        <f t="shared" si="0"/>
        <v>2034</v>
      </c>
      <c r="P4" s="7">
        <f t="shared" si="0"/>
        <v>2035</v>
      </c>
      <c r="Q4" s="7">
        <f t="shared" si="0"/>
        <v>2036</v>
      </c>
      <c r="R4" s="7">
        <f t="shared" si="0"/>
        <v>2037</v>
      </c>
      <c r="S4" s="7">
        <f t="shared" si="0"/>
        <v>2038</v>
      </c>
      <c r="T4" s="7">
        <f t="shared" si="0"/>
        <v>2039</v>
      </c>
      <c r="U4" s="7">
        <f t="shared" si="0"/>
        <v>2040</v>
      </c>
      <c r="V4" s="7">
        <f t="shared" si="0"/>
        <v>2041</v>
      </c>
      <c r="W4" s="7">
        <f t="shared" si="0"/>
        <v>2042</v>
      </c>
      <c r="X4" s="7">
        <f t="shared" si="0"/>
        <v>2043</v>
      </c>
      <c r="Y4" s="7">
        <f t="shared" si="0"/>
        <v>2044</v>
      </c>
      <c r="Z4" s="7">
        <f t="shared" si="0"/>
        <v>2045</v>
      </c>
      <c r="AA4" s="7">
        <f t="shared" si="0"/>
        <v>2046</v>
      </c>
      <c r="AB4" s="7">
        <f t="shared" si="0"/>
        <v>2047</v>
      </c>
      <c r="AC4" s="7">
        <f t="shared" si="0"/>
        <v>2048</v>
      </c>
      <c r="AD4" s="7">
        <f t="shared" si="0"/>
        <v>2049</v>
      </c>
      <c r="AE4" s="7">
        <f t="shared" si="0"/>
        <v>2050</v>
      </c>
      <c r="AF4" s="7">
        <f t="shared" si="0"/>
        <v>2051</v>
      </c>
      <c r="AG4" s="7">
        <f t="shared" si="0"/>
        <v>2052</v>
      </c>
    </row>
    <row r="5" spans="2:33" x14ac:dyDescent="0.2">
      <c r="B5" s="3" t="s">
        <v>60</v>
      </c>
      <c r="C5" s="204">
        <f>D5+NPV(Parametre!$C$9,'06 Finančná analýza - zánovné'!E5:AG5)</f>
        <v>28552998.406918522</v>
      </c>
      <c r="D5" s="183">
        <f>'01 Investičné výdavky - zánovné'!D6</f>
        <v>0</v>
      </c>
      <c r="E5" s="183">
        <f>'01 Investičné výdavky - zánovné'!E6</f>
        <v>0</v>
      </c>
      <c r="F5" s="183">
        <f>'01 Investičné výdavky - zánovné'!F6</f>
        <v>20856000</v>
      </c>
      <c r="G5" s="183">
        <f>'01 Investičné výdavky - zánovné'!G6</f>
        <v>10428000</v>
      </c>
      <c r="H5" s="183">
        <f>'01 Investičné výdavky - zánovné'!H6</f>
        <v>0</v>
      </c>
      <c r="I5" s="183">
        <f>'01 Investičné výdavky - zánovné'!I6</f>
        <v>0</v>
      </c>
      <c r="J5" s="183">
        <f>'01 Investičné výdavky - zánovné'!J6</f>
        <v>0</v>
      </c>
      <c r="K5" s="183">
        <f>'01 Investičné výdavky - zánovné'!K6</f>
        <v>0</v>
      </c>
      <c r="L5" s="183">
        <f>'01 Investičné výdavky - zánovné'!L6</f>
        <v>0</v>
      </c>
      <c r="M5" s="183">
        <f>'01 Investičné výdavky - zánovné'!M6</f>
        <v>0</v>
      </c>
      <c r="N5" s="183">
        <f>'01 Investičné výdavky - zánovné'!N6</f>
        <v>0</v>
      </c>
      <c r="O5" s="183">
        <f>'01 Investičné výdavky - zánovné'!O6</f>
        <v>0</v>
      </c>
      <c r="P5" s="183">
        <f>'01 Investičné výdavky - zánovné'!P6</f>
        <v>0</v>
      </c>
      <c r="Q5" s="183">
        <f>'01 Investičné výdavky - zánovné'!Q6</f>
        <v>0</v>
      </c>
      <c r="R5" s="183">
        <f>'01 Investičné výdavky - zánovné'!R6</f>
        <v>0</v>
      </c>
      <c r="S5" s="183">
        <f>'01 Investičné výdavky - zánovné'!S6</f>
        <v>0</v>
      </c>
      <c r="T5" s="183">
        <f>'01 Investičné výdavky - zánovné'!T6</f>
        <v>0</v>
      </c>
      <c r="U5" s="183">
        <f>'01 Investičné výdavky - zánovné'!U6</f>
        <v>0</v>
      </c>
      <c r="V5" s="183">
        <f>'01 Investičné výdavky - zánovné'!V6</f>
        <v>0</v>
      </c>
      <c r="W5" s="183">
        <f>'01 Investičné výdavky - zánovné'!W6</f>
        <v>0</v>
      </c>
      <c r="X5" s="183">
        <f>'01 Investičné výdavky - zánovné'!X6</f>
        <v>0</v>
      </c>
      <c r="Y5" s="183">
        <f>'01 Investičné výdavky - zánovné'!Y6</f>
        <v>0</v>
      </c>
      <c r="Z5" s="183">
        <f>'01 Investičné výdavky - zánovné'!Z6</f>
        <v>0</v>
      </c>
      <c r="AA5" s="183">
        <f>'01 Investičné výdavky - zánovné'!AA6</f>
        <v>0</v>
      </c>
      <c r="AB5" s="183">
        <f>'01 Investičné výdavky - zánovné'!AB6</f>
        <v>0</v>
      </c>
      <c r="AC5" s="183">
        <f>'01 Investičné výdavky - zánovné'!AC6</f>
        <v>0</v>
      </c>
      <c r="AD5" s="183">
        <f>'01 Investičné výdavky - zánovné'!AD6</f>
        <v>0</v>
      </c>
      <c r="AE5" s="183">
        <f>'01 Investičné výdavky - zánovné'!AE6</f>
        <v>0</v>
      </c>
      <c r="AF5" s="183">
        <f>'01 Investičné výdavky - zánovné'!AF6</f>
        <v>0</v>
      </c>
      <c r="AG5" s="183">
        <f>'01 Investičné výdavky - zánovné'!AG6</f>
        <v>0</v>
      </c>
    </row>
    <row r="6" spans="2:33" x14ac:dyDescent="0.2">
      <c r="B6" s="3" t="s">
        <v>59</v>
      </c>
      <c r="C6" s="204">
        <f>D6+NPV(Parametre!$C$9,'06 Finančná analýza - zánovné'!E6:AG6)</f>
        <v>-19887408.376226202</v>
      </c>
      <c r="D6" s="183">
        <f>'03 Prevádzkové výdavky-zánovné'!D32</f>
        <v>0</v>
      </c>
      <c r="E6" s="183">
        <f>'03 Prevádzkové výdavky-zánovné'!E32</f>
        <v>0</v>
      </c>
      <c r="F6" s="183">
        <f>'03 Prevádzkové výdavky-zánovné'!F32</f>
        <v>1902029.6095778504</v>
      </c>
      <c r="G6" s="183">
        <f>'03 Prevádzkové výdavky-zánovné'!G32</f>
        <v>-18044521.973813839</v>
      </c>
      <c r="H6" s="183">
        <f>'03 Prevádzkové výdavky-zánovné'!H32</f>
        <v>-14644014.314874563</v>
      </c>
      <c r="I6" s="183">
        <f>'03 Prevádzkové výdavky-zánovné'!I32</f>
        <v>-24843495.57926672</v>
      </c>
      <c r="J6" s="183">
        <f>'03 Prevádzkové výdavky-zánovné'!J32</f>
        <v>-1042965.5253072092</v>
      </c>
      <c r="K6" s="183">
        <f>'03 Prevádzkové výdavky-zánovné'!K32</f>
        <v>2357576.093960382</v>
      </c>
      <c r="L6" s="183">
        <f>'03 Prevádzkové výdavky-zánovné'!L32</f>
        <v>2358129.5308808358</v>
      </c>
      <c r="M6" s="183">
        <f>'03 Prevádzkové výdavky-zánovné'!M32</f>
        <v>2358695.0433048764</v>
      </c>
      <c r="N6" s="183">
        <f>'03 Prevádzkové výdavky-zánovné'!N32</f>
        <v>2359272.8947092965</v>
      </c>
      <c r="O6" s="183">
        <f>'03 Prevádzkové výdavky-zánovné'!O32</f>
        <v>2359863.3543197252</v>
      </c>
      <c r="P6" s="183">
        <f>'03 Prevádzkové výdavky-zánovné'!P32</f>
        <v>2360466.6972360518</v>
      </c>
      <c r="Q6" s="183">
        <f>'03 Prevádzkové výdavky-zánovné'!Q32</f>
        <v>2361083.2045606058</v>
      </c>
      <c r="R6" s="183">
        <f>'03 Prevádzkové výdavky-zánovné'!R32</f>
        <v>3441713.1635291232</v>
      </c>
      <c r="S6" s="183">
        <f>'03 Prevádzkové výdavky-zánovné'!S32</f>
        <v>2902356.8676445577</v>
      </c>
      <c r="T6" s="183">
        <f>'03 Prevádzkové výdavky-zánovné'!T32</f>
        <v>2363014.6168138459</v>
      </c>
      <c r="U6" s="183">
        <f>'03 Prevádzkové výdavky-zánovné'!U32</f>
        <v>2363686.7174876304</v>
      </c>
      <c r="V6" s="183">
        <f>'03 Prevádzkové výdavky-zánovné'!V32</f>
        <v>1824373.4828030318</v>
      </c>
      <c r="W6" s="183">
        <f>'03 Prevádzkové výdavky-zánovné'!W32</f>
        <v>1915075.232729543</v>
      </c>
      <c r="X6" s="183">
        <f>'03 Prevádzkové výdavky-zánovné'!X32</f>
        <v>12565792.294218116</v>
      </c>
      <c r="Y6" s="183">
        <f>'03 Prevádzkové výdavky-zánovné'!Y32</f>
        <v>7736525.0013534725</v>
      </c>
      <c r="Z6" s="183">
        <f>'03 Prevádzkové výdavky-zánovné'!Z32</f>
        <v>2367273.6955097765</v>
      </c>
      <c r="AA6" s="183">
        <f>'03 Prevádzkové výdavky-zánovné'!AA32</f>
        <v>-3091961.2744903294</v>
      </c>
      <c r="AB6" s="183">
        <f>'03 Prevádzkové výdavky-zánovné'!AB32</f>
        <v>-2181179.5522132097</v>
      </c>
      <c r="AC6" s="183">
        <f>'03 Prevádzkové výdavky-zánovné'!AC32</f>
        <v>-4910380.7734481469</v>
      </c>
      <c r="AD6" s="183">
        <f>'03 Prevádzkové výdavky-zánovné'!AD32</f>
        <v>1460435.4339623228</v>
      </c>
      <c r="AE6" s="183">
        <f>'03 Prevádzkové výdavky-zánovné'!AE32</f>
        <v>2371269.4502958078</v>
      </c>
      <c r="AF6" s="183">
        <f>'03 Prevádzkové výdavky-zánovné'!AF32</f>
        <v>2372121.6641272418</v>
      </c>
      <c r="AG6" s="183">
        <f>'03 Prevádzkové výdavky-zánovné'!AG32</f>
        <v>2372992.4725099178</v>
      </c>
    </row>
    <row r="7" spans="2:33" x14ac:dyDescent="0.2">
      <c r="B7" s="3" t="s">
        <v>220</v>
      </c>
      <c r="C7" s="204">
        <f>D7+NPV(Parametre!$C$9,'06 Finančná analýza - zánovné'!E7:AG7)</f>
        <v>10486113.549556177</v>
      </c>
      <c r="D7" s="183">
        <f>'04 Prevádzkové príjmy - zánovné'!D23</f>
        <v>0</v>
      </c>
      <c r="E7" s="183">
        <f>'04 Prevádzkové príjmy - zánovné'!E23</f>
        <v>0</v>
      </c>
      <c r="F7" s="183">
        <f>'04 Prevádzkové príjmy - zánovné'!F23</f>
        <v>646231.39991999883</v>
      </c>
      <c r="G7" s="183">
        <f>'04 Prevádzkové príjmy - zánovné'!G23</f>
        <v>590473.2041639993</v>
      </c>
      <c r="H7" s="183">
        <f>'04 Prevádzkové príjmy - zánovné'!H23</f>
        <v>590473.2041639993</v>
      </c>
      <c r="I7" s="183">
        <f>'04 Prevádzkové príjmy - zánovné'!I23</f>
        <v>602282.66824728018</v>
      </c>
      <c r="J7" s="183">
        <f>'04 Prevádzkové príjmy - zánovné'!J23</f>
        <v>602282.66824728018</v>
      </c>
      <c r="K7" s="183">
        <f>'04 Prevádzkové príjmy - zánovné'!K23</f>
        <v>614328.32161222538</v>
      </c>
      <c r="L7" s="183">
        <f>'04 Prevádzkové príjmy - zánovné'!L23</f>
        <v>614328.32161222538</v>
      </c>
      <c r="M7" s="183">
        <f>'04 Prevádzkové príjmy - zánovné'!M23</f>
        <v>626614.88804446906</v>
      </c>
      <c r="N7" s="183">
        <f>'04 Prevádzkové príjmy - zánovné'!N23</f>
        <v>626614.88804446906</v>
      </c>
      <c r="O7" s="183">
        <f>'04 Prevádzkové príjmy - zánovné'!O23</f>
        <v>639147.18580535799</v>
      </c>
      <c r="P7" s="183">
        <f>'04 Prevádzkové príjmy - zánovné'!P23</f>
        <v>639147.18580535799</v>
      </c>
      <c r="Q7" s="183">
        <f>'04 Prevádzkové príjmy - zánovné'!Q23</f>
        <v>651930.12952146586</v>
      </c>
      <c r="R7" s="183">
        <f>'04 Prevádzkové príjmy - zánovné'!R23</f>
        <v>651930.12952146586</v>
      </c>
      <c r="S7" s="183">
        <f>'04 Prevádzkové príjmy - zánovné'!S23</f>
        <v>664968.73211189546</v>
      </c>
      <c r="T7" s="183">
        <f>'04 Prevádzkové príjmy - zánovné'!T23</f>
        <v>664968.73211189546</v>
      </c>
      <c r="U7" s="183">
        <f>'04 Prevádzkové príjmy - zánovné'!U23</f>
        <v>678268.10675413348</v>
      </c>
      <c r="V7" s="183">
        <f>'04 Prevádzkové príjmy - zánovné'!V23</f>
        <v>678268.10675413348</v>
      </c>
      <c r="W7" s="183">
        <f>'04 Prevádzkové príjmy - zánovné'!W23</f>
        <v>691833.46888921689</v>
      </c>
      <c r="X7" s="183">
        <f>'04 Prevádzkové príjmy - zánovné'!X23</f>
        <v>691833.46888921689</v>
      </c>
      <c r="Y7" s="183">
        <f>'04 Prevádzkové príjmy - zánovné'!Y23</f>
        <v>705670.13826700114</v>
      </c>
      <c r="Z7" s="183">
        <f>'04 Prevádzkové príjmy - zánovné'!Z23</f>
        <v>705670.13826700114</v>
      </c>
      <c r="AA7" s="183">
        <f>'04 Prevádzkové príjmy - zánovné'!AA23</f>
        <v>719783.54103234038</v>
      </c>
      <c r="AB7" s="183">
        <f>'04 Prevádzkové príjmy - zánovné'!AB23</f>
        <v>719783.54103234038</v>
      </c>
      <c r="AC7" s="183">
        <f>'04 Prevádzkové príjmy - zánovné'!AC23</f>
        <v>734179.21185298823</v>
      </c>
      <c r="AD7" s="183">
        <f>'04 Prevádzkové príjmy - zánovné'!AD23</f>
        <v>734179.21185298823</v>
      </c>
      <c r="AE7" s="183">
        <f>'04 Prevádzkové príjmy - zánovné'!AE23</f>
        <v>748862.79609004688</v>
      </c>
      <c r="AF7" s="183">
        <f>'04 Prevádzkové príjmy - zánovné'!AF23</f>
        <v>748862.79609004688</v>
      </c>
      <c r="AG7" s="183">
        <f>'04 Prevádzkové príjmy - zánovné'!AG23</f>
        <v>763840.0520118475</v>
      </c>
    </row>
    <row r="8" spans="2:33" ht="12" thickBot="1" x14ac:dyDescent="0.25">
      <c r="B8" s="21" t="s">
        <v>16</v>
      </c>
      <c r="C8" s="205">
        <f>D8+NPV(Parametre!$C$9,'06 Finančná analýza - zánovné'!E8:AG8)</f>
        <v>1830353.6649768811</v>
      </c>
      <c r="D8" s="206">
        <v>0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206">
        <v>0</v>
      </c>
      <c r="O8" s="206">
        <v>0</v>
      </c>
      <c r="P8" s="206">
        <v>0</v>
      </c>
      <c r="Q8" s="206">
        <v>0</v>
      </c>
      <c r="R8" s="206">
        <v>0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0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7">
        <f>'02 Zostatková hodnota - zánovné'!C12</f>
        <v>5708235.1148613477</v>
      </c>
    </row>
    <row r="9" spans="2:33" ht="12" thickTop="1" x14ac:dyDescent="0.2">
      <c r="B9" s="17" t="s">
        <v>38</v>
      </c>
      <c r="C9" s="208">
        <f>D9+NPV(Parametre!$C$9,'06 Finančná analýza - zánovné'!E9:AG9)</f>
        <v>3650877.1838407405</v>
      </c>
      <c r="D9" s="197">
        <f>-D5-D6+D7+D8</f>
        <v>0</v>
      </c>
      <c r="E9" s="197">
        <f t="shared" ref="E9:AG9" si="1">-E5-E6+E7+E8</f>
        <v>0</v>
      </c>
      <c r="F9" s="197">
        <f t="shared" si="1"/>
        <v>-22111798.209657852</v>
      </c>
      <c r="G9" s="197">
        <f t="shared" si="1"/>
        <v>8206995.1779778386</v>
      </c>
      <c r="H9" s="197">
        <f t="shared" si="1"/>
        <v>15234487.519038562</v>
      </c>
      <c r="I9" s="197">
        <f t="shared" si="1"/>
        <v>25445778.247513998</v>
      </c>
      <c r="J9" s="197">
        <f t="shared" si="1"/>
        <v>1645248.1935544894</v>
      </c>
      <c r="K9" s="197">
        <f t="shared" si="1"/>
        <v>-1743247.7723481567</v>
      </c>
      <c r="L9" s="197">
        <f t="shared" si="1"/>
        <v>-1743801.2092686105</v>
      </c>
      <c r="M9" s="197">
        <f t="shared" si="1"/>
        <v>-1732080.1552604074</v>
      </c>
      <c r="N9" s="197">
        <f t="shared" si="1"/>
        <v>-1732658.0066648275</v>
      </c>
      <c r="O9" s="197">
        <f t="shared" si="1"/>
        <v>-1720716.1685143672</v>
      </c>
      <c r="P9" s="197">
        <f t="shared" si="1"/>
        <v>-1721319.5114306938</v>
      </c>
      <c r="Q9" s="197">
        <f t="shared" si="1"/>
        <v>-1709153.0750391399</v>
      </c>
      <c r="R9" s="197">
        <f t="shared" si="1"/>
        <v>-2789783.0340076573</v>
      </c>
      <c r="S9" s="197">
        <f t="shared" si="1"/>
        <v>-2237388.1355326623</v>
      </c>
      <c r="T9" s="197">
        <f t="shared" si="1"/>
        <v>-1698045.8847019505</v>
      </c>
      <c r="U9" s="197">
        <f t="shared" si="1"/>
        <v>-1685418.610733497</v>
      </c>
      <c r="V9" s="197">
        <f t="shared" si="1"/>
        <v>-1146105.3760488983</v>
      </c>
      <c r="W9" s="197">
        <f t="shared" si="1"/>
        <v>-1223241.7638403261</v>
      </c>
      <c r="X9" s="197">
        <f t="shared" si="1"/>
        <v>-11873958.825328898</v>
      </c>
      <c r="Y9" s="197">
        <f t="shared" si="1"/>
        <v>-7030854.8630864713</v>
      </c>
      <c r="Z9" s="197">
        <f t="shared" si="1"/>
        <v>-1661603.5572427753</v>
      </c>
      <c r="AA9" s="197">
        <f t="shared" si="1"/>
        <v>3811744.8155226698</v>
      </c>
      <c r="AB9" s="197">
        <f t="shared" si="1"/>
        <v>2900963.0932455501</v>
      </c>
      <c r="AC9" s="197">
        <f t="shared" si="1"/>
        <v>5644559.9853011351</v>
      </c>
      <c r="AD9" s="197">
        <f t="shared" si="1"/>
        <v>-726256.22210933454</v>
      </c>
      <c r="AE9" s="197">
        <f t="shared" si="1"/>
        <v>-1622406.6542057609</v>
      </c>
      <c r="AF9" s="197">
        <f t="shared" si="1"/>
        <v>-1623258.8680371949</v>
      </c>
      <c r="AG9" s="197">
        <f t="shared" si="1"/>
        <v>4099082.6943632774</v>
      </c>
    </row>
    <row r="11" spans="2:33" x14ac:dyDescent="0.2">
      <c r="B11" s="20" t="s">
        <v>17</v>
      </c>
      <c r="C11" s="219">
        <f>D9+NPV(0.04,E9:AG9)</f>
        <v>3650877.1838407405</v>
      </c>
      <c r="D11" s="2" t="s">
        <v>0</v>
      </c>
      <c r="E11" s="19"/>
    </row>
    <row r="12" spans="2:33" x14ac:dyDescent="0.2">
      <c r="B12" s="20" t="s">
        <v>18</v>
      </c>
      <c r="C12" s="171">
        <f>IRR(D9:AG9,1)</f>
        <v>0.40183404486713359</v>
      </c>
    </row>
    <row r="15" spans="2:33" x14ac:dyDescent="0.2">
      <c r="B15" s="10" t="s">
        <v>22</v>
      </c>
      <c r="C15" s="10"/>
      <c r="D15" s="3" t="s">
        <v>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2:33" x14ac:dyDescent="0.2">
      <c r="B16" s="4"/>
      <c r="C16" s="13" t="s">
        <v>9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5">
        <v>24</v>
      </c>
      <c r="AB16" s="5">
        <v>25</v>
      </c>
      <c r="AC16" s="5">
        <v>26</v>
      </c>
      <c r="AD16" s="5">
        <v>27</v>
      </c>
      <c r="AE16" s="5">
        <v>28</v>
      </c>
      <c r="AF16" s="5">
        <v>29</v>
      </c>
      <c r="AG16" s="5">
        <v>30</v>
      </c>
    </row>
    <row r="17" spans="2:33" x14ac:dyDescent="0.2">
      <c r="B17" s="6" t="s">
        <v>37</v>
      </c>
      <c r="C17" s="124" t="s">
        <v>230</v>
      </c>
      <c r="D17" s="7">
        <f>D4</f>
        <v>2023</v>
      </c>
      <c r="E17" s="7">
        <f>E4</f>
        <v>2024</v>
      </c>
      <c r="F17" s="7">
        <f>F4</f>
        <v>2025</v>
      </c>
      <c r="G17" s="7">
        <f t="shared" ref="G17:AG17" si="2">G4</f>
        <v>2026</v>
      </c>
      <c r="H17" s="7">
        <f t="shared" si="2"/>
        <v>2027</v>
      </c>
      <c r="I17" s="7">
        <f t="shared" si="2"/>
        <v>2028</v>
      </c>
      <c r="J17" s="7">
        <f t="shared" si="2"/>
        <v>2029</v>
      </c>
      <c r="K17" s="7">
        <f t="shared" si="2"/>
        <v>2030</v>
      </c>
      <c r="L17" s="7">
        <f t="shared" si="2"/>
        <v>2031</v>
      </c>
      <c r="M17" s="7">
        <f t="shared" si="2"/>
        <v>2032</v>
      </c>
      <c r="N17" s="7">
        <f t="shared" si="2"/>
        <v>2033</v>
      </c>
      <c r="O17" s="7">
        <f t="shared" si="2"/>
        <v>2034</v>
      </c>
      <c r="P17" s="7">
        <f t="shared" si="2"/>
        <v>2035</v>
      </c>
      <c r="Q17" s="7">
        <f t="shared" si="2"/>
        <v>2036</v>
      </c>
      <c r="R17" s="7">
        <f t="shared" si="2"/>
        <v>2037</v>
      </c>
      <c r="S17" s="7">
        <f t="shared" si="2"/>
        <v>2038</v>
      </c>
      <c r="T17" s="7">
        <f t="shared" si="2"/>
        <v>2039</v>
      </c>
      <c r="U17" s="7">
        <f t="shared" si="2"/>
        <v>2040</v>
      </c>
      <c r="V17" s="7">
        <f t="shared" si="2"/>
        <v>2041</v>
      </c>
      <c r="W17" s="7">
        <f t="shared" si="2"/>
        <v>2042</v>
      </c>
      <c r="X17" s="7">
        <f t="shared" si="2"/>
        <v>2043</v>
      </c>
      <c r="Y17" s="7">
        <f t="shared" si="2"/>
        <v>2044</v>
      </c>
      <c r="Z17" s="7">
        <f t="shared" si="2"/>
        <v>2045</v>
      </c>
      <c r="AA17" s="7">
        <f t="shared" si="2"/>
        <v>2046</v>
      </c>
      <c r="AB17" s="7">
        <f t="shared" si="2"/>
        <v>2047</v>
      </c>
      <c r="AC17" s="7">
        <f t="shared" si="2"/>
        <v>2048</v>
      </c>
      <c r="AD17" s="7">
        <f t="shared" si="2"/>
        <v>2049</v>
      </c>
      <c r="AE17" s="7">
        <f t="shared" si="2"/>
        <v>2050</v>
      </c>
      <c r="AF17" s="7">
        <f t="shared" si="2"/>
        <v>2051</v>
      </c>
      <c r="AG17" s="7">
        <f t="shared" si="2"/>
        <v>2052</v>
      </c>
    </row>
    <row r="18" spans="2:33" x14ac:dyDescent="0.2">
      <c r="B18" s="3" t="s">
        <v>231</v>
      </c>
      <c r="C18" s="204">
        <f>D18+NPV(Parametre!$C$9,'06 Finančná analýza - zánovné'!E18:AG18)</f>
        <v>0</v>
      </c>
      <c r="D18" s="183">
        <f>'05 Financovanie - zánovné'!D21</f>
        <v>0</v>
      </c>
      <c r="E18" s="183">
        <f>'05 Financovanie - zánovné'!E21</f>
        <v>0</v>
      </c>
      <c r="F18" s="183">
        <f>'05 Financovanie - zánovné'!F21</f>
        <v>0</v>
      </c>
      <c r="G18" s="183">
        <f>'05 Financovanie - zánovné'!G21</f>
        <v>0</v>
      </c>
      <c r="H18" s="183">
        <f>'05 Financovanie - zánovné'!H21</f>
        <v>0</v>
      </c>
      <c r="I18" s="183">
        <f>'05 Financovanie - zánovné'!I21</f>
        <v>0</v>
      </c>
      <c r="J18" s="183">
        <f>'05 Financovanie - zánovné'!J21</f>
        <v>0</v>
      </c>
      <c r="K18" s="183">
        <f>'05 Financovanie - zánovné'!K21</f>
        <v>0</v>
      </c>
      <c r="L18" s="183">
        <f>'05 Financovanie - zánovné'!L21</f>
        <v>0</v>
      </c>
      <c r="M18" s="183">
        <f>'05 Financovanie - zánovné'!M21</f>
        <v>0</v>
      </c>
      <c r="N18" s="183">
        <f>'05 Financovanie - zánovné'!N21</f>
        <v>0</v>
      </c>
      <c r="O18" s="183">
        <f>'05 Financovanie - zánovné'!O21</f>
        <v>0</v>
      </c>
      <c r="P18" s="183">
        <f>'05 Financovanie - zánovné'!P21</f>
        <v>0</v>
      </c>
      <c r="Q18" s="183">
        <f>'05 Financovanie - zánovné'!Q21</f>
        <v>0</v>
      </c>
      <c r="R18" s="183">
        <f>'05 Financovanie - zánovné'!R21</f>
        <v>0</v>
      </c>
      <c r="S18" s="183">
        <f>'05 Financovanie - zánovné'!S21</f>
        <v>0</v>
      </c>
      <c r="T18" s="183">
        <f>'05 Financovanie - zánovné'!T21</f>
        <v>0</v>
      </c>
      <c r="U18" s="183">
        <f>'05 Financovanie - zánovné'!U21</f>
        <v>0</v>
      </c>
      <c r="V18" s="183">
        <f>'05 Financovanie - zánovné'!V21</f>
        <v>0</v>
      </c>
      <c r="W18" s="183">
        <f>'05 Financovanie - zánovné'!W21</f>
        <v>0</v>
      </c>
      <c r="X18" s="183">
        <f>'05 Financovanie - zánovné'!X21</f>
        <v>0</v>
      </c>
      <c r="Y18" s="183">
        <f>'05 Financovanie - zánovné'!Y21</f>
        <v>0</v>
      </c>
      <c r="Z18" s="183">
        <f>'05 Financovanie - zánovné'!Z21</f>
        <v>0</v>
      </c>
      <c r="AA18" s="183">
        <f>'05 Financovanie - zánovné'!AA21</f>
        <v>0</v>
      </c>
      <c r="AB18" s="183">
        <f>'05 Financovanie - zánovné'!AB21</f>
        <v>0</v>
      </c>
      <c r="AC18" s="183">
        <f>'05 Financovanie - zánovné'!AC21</f>
        <v>0</v>
      </c>
      <c r="AD18" s="183">
        <f>'05 Financovanie - zánovné'!AD21</f>
        <v>0</v>
      </c>
      <c r="AE18" s="183">
        <f>'05 Financovanie - zánovné'!AE21</f>
        <v>0</v>
      </c>
      <c r="AF18" s="183">
        <f>'05 Financovanie - zánovné'!AF21</f>
        <v>0</v>
      </c>
      <c r="AG18" s="183">
        <f>'05 Financovanie - zánovné'!AG21</f>
        <v>0</v>
      </c>
    </row>
    <row r="19" spans="2:33" x14ac:dyDescent="0.2">
      <c r="B19" s="3" t="s">
        <v>59</v>
      </c>
      <c r="C19" s="204">
        <f>D19+NPV(Parametre!$C$9,'06 Finančná analýza - zánovné'!E19:AG19)</f>
        <v>19887408.376226202</v>
      </c>
      <c r="D19" s="183">
        <f>-'03 Prevádzkové výdavky-zánovné'!D32</f>
        <v>0</v>
      </c>
      <c r="E19" s="183">
        <f>-'03 Prevádzkové výdavky-zánovné'!E32</f>
        <v>0</v>
      </c>
      <c r="F19" s="183">
        <f>-'03 Prevádzkové výdavky-zánovné'!F32</f>
        <v>-1902029.6095778504</v>
      </c>
      <c r="G19" s="183">
        <f>-'03 Prevádzkové výdavky-zánovné'!G32</f>
        <v>18044521.973813839</v>
      </c>
      <c r="H19" s="183">
        <f>-'03 Prevádzkové výdavky-zánovné'!H32</f>
        <v>14644014.314874563</v>
      </c>
      <c r="I19" s="183">
        <f>-'03 Prevádzkové výdavky-zánovné'!I32</f>
        <v>24843495.57926672</v>
      </c>
      <c r="J19" s="183">
        <f>-'03 Prevádzkové výdavky-zánovné'!J32</f>
        <v>1042965.5253072092</v>
      </c>
      <c r="K19" s="183">
        <f>-'03 Prevádzkové výdavky-zánovné'!K32</f>
        <v>-2357576.093960382</v>
      </c>
      <c r="L19" s="183">
        <f>-'03 Prevádzkové výdavky-zánovné'!L32</f>
        <v>-2358129.5308808358</v>
      </c>
      <c r="M19" s="183">
        <f>-'03 Prevádzkové výdavky-zánovné'!M32</f>
        <v>-2358695.0433048764</v>
      </c>
      <c r="N19" s="183">
        <f>-'03 Prevádzkové výdavky-zánovné'!N32</f>
        <v>-2359272.8947092965</v>
      </c>
      <c r="O19" s="183">
        <f>-'03 Prevádzkové výdavky-zánovné'!O32</f>
        <v>-2359863.3543197252</v>
      </c>
      <c r="P19" s="183">
        <f>-'03 Prevádzkové výdavky-zánovné'!P32</f>
        <v>-2360466.6972360518</v>
      </c>
      <c r="Q19" s="183">
        <f>-'03 Prevádzkové výdavky-zánovné'!Q32</f>
        <v>-2361083.2045606058</v>
      </c>
      <c r="R19" s="183">
        <f>-'03 Prevádzkové výdavky-zánovné'!R32</f>
        <v>-3441713.1635291232</v>
      </c>
      <c r="S19" s="183">
        <f>-'03 Prevádzkové výdavky-zánovné'!S32</f>
        <v>-2902356.8676445577</v>
      </c>
      <c r="T19" s="183">
        <f>-'03 Prevádzkové výdavky-zánovné'!T32</f>
        <v>-2363014.6168138459</v>
      </c>
      <c r="U19" s="183">
        <f>-'03 Prevádzkové výdavky-zánovné'!U32</f>
        <v>-2363686.7174876304</v>
      </c>
      <c r="V19" s="183">
        <f>-'03 Prevádzkové výdavky-zánovné'!V32</f>
        <v>-1824373.4828030318</v>
      </c>
      <c r="W19" s="183">
        <f>-'03 Prevádzkové výdavky-zánovné'!W32</f>
        <v>-1915075.232729543</v>
      </c>
      <c r="X19" s="183">
        <f>-'03 Prevádzkové výdavky-zánovné'!X32</f>
        <v>-12565792.294218116</v>
      </c>
      <c r="Y19" s="183">
        <f>-'03 Prevádzkové výdavky-zánovné'!Y32</f>
        <v>-7736525.0013534725</v>
      </c>
      <c r="Z19" s="183">
        <f>-'03 Prevádzkové výdavky-zánovné'!Z32</f>
        <v>-2367273.6955097765</v>
      </c>
      <c r="AA19" s="183">
        <f>-'03 Prevádzkové výdavky-zánovné'!AA32</f>
        <v>3091961.2744903294</v>
      </c>
      <c r="AB19" s="183">
        <f>-'03 Prevádzkové výdavky-zánovné'!AB32</f>
        <v>2181179.5522132097</v>
      </c>
      <c r="AC19" s="183">
        <f>-'03 Prevádzkové výdavky-zánovné'!AC32</f>
        <v>4910380.7734481469</v>
      </c>
      <c r="AD19" s="183">
        <f>-'03 Prevádzkové výdavky-zánovné'!AD32</f>
        <v>-1460435.4339623228</v>
      </c>
      <c r="AE19" s="183">
        <f>-'03 Prevádzkové výdavky-zánovné'!AE32</f>
        <v>-2371269.4502958078</v>
      </c>
      <c r="AF19" s="183">
        <f>-'03 Prevádzkové výdavky-zánovné'!AF32</f>
        <v>-2372121.6641272418</v>
      </c>
      <c r="AG19" s="183">
        <f>-'03 Prevádzkové výdavky-zánovné'!AG32</f>
        <v>-2372992.4725099178</v>
      </c>
    </row>
    <row r="20" spans="2:33" x14ac:dyDescent="0.2">
      <c r="B20" s="3" t="s">
        <v>243</v>
      </c>
      <c r="C20" s="204">
        <f>D20+NPV(Parametre!$C$9,'06 Finančná analýza - zánovné'!E20:AG20)</f>
        <v>27924996.022410061</v>
      </c>
      <c r="D20" s="186">
        <f>'01 Investičné výdavky - zánovné'!D41</f>
        <v>0</v>
      </c>
      <c r="E20" s="186">
        <f>'01 Investičné výdavky - zánovné'!E41</f>
        <v>0</v>
      </c>
      <c r="F20" s="186">
        <f>'01 Investičné výdavky - zánovné'!F41</f>
        <v>61525.200000000004</v>
      </c>
      <c r="G20" s="186">
        <f>'01 Investičné výdavky - zánovné'!G41</f>
        <v>3719432.9699999997</v>
      </c>
      <c r="H20" s="186">
        <f>'01 Investičné výdavky - zánovné'!H41</f>
        <v>5436508.0707142856</v>
      </c>
      <c r="I20" s="186">
        <f>'01 Investičné výdavky - zánovné'!I41</f>
        <v>5274290.5992857143</v>
      </c>
      <c r="J20" s="186">
        <f>'01 Investičné výdavky - zánovné'!J41</f>
        <v>5112073.1278571431</v>
      </c>
      <c r="K20" s="186">
        <f>'01 Investičné výdavky - zánovné'!K41</f>
        <v>4949855.6564285718</v>
      </c>
      <c r="L20" s="186">
        <f>'01 Investičné výdavky - zánovné'!L41</f>
        <v>4787638.1850000005</v>
      </c>
      <c r="M20" s="186">
        <f>'01 Investičné výdavky - zánovné'!M41</f>
        <v>4625420.7135714293</v>
      </c>
      <c r="N20" s="186">
        <f>'01 Investičné výdavky - zánovné'!N41</f>
        <v>1524132.2721428571</v>
      </c>
      <c r="O20" s="186">
        <f>'01 Investičné výdavky - zánovné'!O41</f>
        <v>0</v>
      </c>
      <c r="P20" s="186">
        <f>'01 Investičné výdavky - zánovné'!P41</f>
        <v>0</v>
      </c>
      <c r="Q20" s="186">
        <f>'01 Investičné výdavky - zánovné'!Q41</f>
        <v>0</v>
      </c>
      <c r="R20" s="186">
        <f>'01 Investičné výdavky - zánovné'!R41</f>
        <v>0</v>
      </c>
      <c r="S20" s="186">
        <f>'01 Investičné výdavky - zánovné'!S41</f>
        <v>0</v>
      </c>
      <c r="T20" s="186">
        <f>'01 Investičné výdavky - zánovné'!T41</f>
        <v>0</v>
      </c>
      <c r="U20" s="186">
        <f>'01 Investičné výdavky - zánovné'!U41</f>
        <v>0</v>
      </c>
      <c r="V20" s="186">
        <f>'01 Investičné výdavky - zánovné'!V41</f>
        <v>0</v>
      </c>
      <c r="W20" s="186">
        <f>'01 Investičné výdavky - zánovné'!W41</f>
        <v>0</v>
      </c>
      <c r="X20" s="186">
        <f>'01 Investičné výdavky - zánovné'!X41</f>
        <v>0</v>
      </c>
      <c r="Y20" s="186">
        <f>'01 Investičné výdavky - zánovné'!Y41</f>
        <v>0</v>
      </c>
      <c r="Z20" s="186">
        <f>'01 Investičné výdavky - zánovné'!Z41</f>
        <v>0</v>
      </c>
      <c r="AA20" s="186">
        <f>'01 Investičné výdavky - zánovné'!AA41</f>
        <v>0</v>
      </c>
      <c r="AB20" s="186">
        <f>'01 Investičné výdavky - zánovné'!AB41</f>
        <v>0</v>
      </c>
      <c r="AC20" s="186">
        <f>'01 Investičné výdavky - zánovné'!AC41</f>
        <v>0</v>
      </c>
      <c r="AD20" s="186">
        <f>'01 Investičné výdavky - zánovné'!AD41</f>
        <v>0</v>
      </c>
      <c r="AE20" s="186">
        <f>'01 Investičné výdavky - zánovné'!AE41</f>
        <v>0</v>
      </c>
      <c r="AF20" s="186">
        <f>'01 Investičné výdavky - zánovné'!AF41</f>
        <v>0</v>
      </c>
      <c r="AG20" s="186">
        <f>'01 Investičné výdavky - zánovné'!AG41</f>
        <v>0</v>
      </c>
    </row>
    <row r="21" spans="2:33" x14ac:dyDescent="0.2">
      <c r="B21" s="3" t="s">
        <v>13</v>
      </c>
      <c r="C21" s="204">
        <f>D21+NPV(Parametre!$C$9,'06 Finančná analýza - zánovné'!E21:AG21)</f>
        <v>10486113.549556177</v>
      </c>
      <c r="D21" s="214">
        <f>'04 Prevádzkové príjmy - zánovné'!D23</f>
        <v>0</v>
      </c>
      <c r="E21" s="214">
        <f>'04 Prevádzkové príjmy - zánovné'!E23</f>
        <v>0</v>
      </c>
      <c r="F21" s="214">
        <f>'04 Prevádzkové príjmy - zánovné'!F23</f>
        <v>646231.39991999883</v>
      </c>
      <c r="G21" s="214">
        <f>'04 Prevádzkové príjmy - zánovné'!G23</f>
        <v>590473.2041639993</v>
      </c>
      <c r="H21" s="214">
        <f>'04 Prevádzkové príjmy - zánovné'!H23</f>
        <v>590473.2041639993</v>
      </c>
      <c r="I21" s="214">
        <f>'04 Prevádzkové príjmy - zánovné'!I23</f>
        <v>602282.66824728018</v>
      </c>
      <c r="J21" s="214">
        <f>'04 Prevádzkové príjmy - zánovné'!J23</f>
        <v>602282.66824728018</v>
      </c>
      <c r="K21" s="214">
        <f>'04 Prevádzkové príjmy - zánovné'!K23</f>
        <v>614328.32161222538</v>
      </c>
      <c r="L21" s="214">
        <f>'04 Prevádzkové príjmy - zánovné'!L23</f>
        <v>614328.32161222538</v>
      </c>
      <c r="M21" s="214">
        <f>'04 Prevádzkové príjmy - zánovné'!M23</f>
        <v>626614.88804446906</v>
      </c>
      <c r="N21" s="214">
        <f>'04 Prevádzkové príjmy - zánovné'!N23</f>
        <v>626614.88804446906</v>
      </c>
      <c r="O21" s="214">
        <f>'04 Prevádzkové príjmy - zánovné'!O23</f>
        <v>639147.18580535799</v>
      </c>
      <c r="P21" s="214">
        <f>'04 Prevádzkové príjmy - zánovné'!P23</f>
        <v>639147.18580535799</v>
      </c>
      <c r="Q21" s="214">
        <f>'04 Prevádzkové príjmy - zánovné'!Q23</f>
        <v>651930.12952146586</v>
      </c>
      <c r="R21" s="214">
        <f>'04 Prevádzkové príjmy - zánovné'!R23</f>
        <v>651930.12952146586</v>
      </c>
      <c r="S21" s="214">
        <f>'04 Prevádzkové príjmy - zánovné'!S23</f>
        <v>664968.73211189546</v>
      </c>
      <c r="T21" s="214">
        <f>'04 Prevádzkové príjmy - zánovné'!T23</f>
        <v>664968.73211189546</v>
      </c>
      <c r="U21" s="214">
        <f>'04 Prevádzkové príjmy - zánovné'!U23</f>
        <v>678268.10675413348</v>
      </c>
      <c r="V21" s="214">
        <f>'04 Prevádzkové príjmy - zánovné'!V23</f>
        <v>678268.10675413348</v>
      </c>
      <c r="W21" s="214">
        <f>'04 Prevádzkové príjmy - zánovné'!W23</f>
        <v>691833.46888921689</v>
      </c>
      <c r="X21" s="214">
        <f>'04 Prevádzkové príjmy - zánovné'!X23</f>
        <v>691833.46888921689</v>
      </c>
      <c r="Y21" s="214">
        <f>'04 Prevádzkové príjmy - zánovné'!Y23</f>
        <v>705670.13826700114</v>
      </c>
      <c r="Z21" s="214">
        <f>'04 Prevádzkové príjmy - zánovné'!Z23</f>
        <v>705670.13826700114</v>
      </c>
      <c r="AA21" s="214">
        <f>'04 Prevádzkové príjmy - zánovné'!AA23</f>
        <v>719783.54103234038</v>
      </c>
      <c r="AB21" s="214">
        <f>'04 Prevádzkové príjmy - zánovné'!AB23</f>
        <v>719783.54103234038</v>
      </c>
      <c r="AC21" s="214">
        <f>'04 Prevádzkové príjmy - zánovné'!AC23</f>
        <v>734179.21185298823</v>
      </c>
      <c r="AD21" s="214">
        <f>'04 Prevádzkové príjmy - zánovné'!AD23</f>
        <v>734179.21185298823</v>
      </c>
      <c r="AE21" s="214">
        <f>'04 Prevádzkové príjmy - zánovné'!AE23</f>
        <v>748862.79609004688</v>
      </c>
      <c r="AF21" s="214">
        <f>'04 Prevádzkové príjmy - zánovné'!AF23</f>
        <v>748862.79609004688</v>
      </c>
      <c r="AG21" s="214">
        <f>'04 Prevádzkové príjmy - zánovné'!AG23</f>
        <v>763840.0520118475</v>
      </c>
    </row>
    <row r="22" spans="2:33" ht="12" thickBot="1" x14ac:dyDescent="0.25">
      <c r="B22" s="21" t="s">
        <v>16</v>
      </c>
      <c r="C22" s="205">
        <f>D22+NPV(Parametre!$C$9,'06 Finančná analýza - zánovné'!E22:AG22)</f>
        <v>1830353.6649768811</v>
      </c>
      <c r="D22" s="206">
        <v>0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>
        <v>0</v>
      </c>
      <c r="U22" s="206">
        <v>0</v>
      </c>
      <c r="V22" s="206">
        <v>0</v>
      </c>
      <c r="W22" s="206">
        <v>0</v>
      </c>
      <c r="X22" s="206">
        <v>0</v>
      </c>
      <c r="Y22" s="206">
        <v>0</v>
      </c>
      <c r="Z22" s="206">
        <v>0</v>
      </c>
      <c r="AA22" s="206">
        <v>0</v>
      </c>
      <c r="AB22" s="206">
        <v>0</v>
      </c>
      <c r="AC22" s="206">
        <v>0</v>
      </c>
      <c r="AD22" s="206">
        <v>0</v>
      </c>
      <c r="AE22" s="206">
        <v>0</v>
      </c>
      <c r="AF22" s="206">
        <v>0</v>
      </c>
      <c r="AG22" s="207">
        <f>AG8</f>
        <v>5708235.1148613477</v>
      </c>
    </row>
    <row r="23" spans="2:33" ht="12" thickTop="1" x14ac:dyDescent="0.2">
      <c r="B23" s="17" t="s">
        <v>38</v>
      </c>
      <c r="C23" s="215">
        <f>D23+NPV(Parametre!$C$9,'06 Finančná analýza - zánovné'!E23:AG23)</f>
        <v>60128871.613169312</v>
      </c>
      <c r="D23" s="197">
        <f>SUM(D18:D22)</f>
        <v>0</v>
      </c>
      <c r="E23" s="197">
        <f t="shared" ref="E23:AG23" si="3">SUM(E18:E22)</f>
        <v>0</v>
      </c>
      <c r="F23" s="197">
        <f t="shared" si="3"/>
        <v>-1194273.0096578517</v>
      </c>
      <c r="G23" s="197">
        <f t="shared" si="3"/>
        <v>22354428.147977836</v>
      </c>
      <c r="H23" s="197">
        <f t="shared" si="3"/>
        <v>20670995.589752845</v>
      </c>
      <c r="I23" s="197">
        <f t="shared" si="3"/>
        <v>30720068.846799713</v>
      </c>
      <c r="J23" s="197">
        <f t="shared" si="3"/>
        <v>6757321.321411632</v>
      </c>
      <c r="K23" s="197">
        <f t="shared" si="3"/>
        <v>3206607.8840804151</v>
      </c>
      <c r="L23" s="197">
        <f t="shared" si="3"/>
        <v>3043836.9757313901</v>
      </c>
      <c r="M23" s="197">
        <f t="shared" si="3"/>
        <v>2893340.5583110219</v>
      </c>
      <c r="N23" s="197">
        <f t="shared" si="3"/>
        <v>-208525.73452197039</v>
      </c>
      <c r="O23" s="197">
        <f t="shared" si="3"/>
        <v>-1720716.1685143672</v>
      </c>
      <c r="P23" s="197">
        <f t="shared" si="3"/>
        <v>-1721319.5114306938</v>
      </c>
      <c r="Q23" s="197">
        <f t="shared" si="3"/>
        <v>-1709153.0750391399</v>
      </c>
      <c r="R23" s="197">
        <f t="shared" si="3"/>
        <v>-2789783.0340076573</v>
      </c>
      <c r="S23" s="197">
        <f t="shared" si="3"/>
        <v>-2237388.1355326623</v>
      </c>
      <c r="T23" s="197">
        <f t="shared" si="3"/>
        <v>-1698045.8847019505</v>
      </c>
      <c r="U23" s="197">
        <f t="shared" si="3"/>
        <v>-1685418.610733497</v>
      </c>
      <c r="V23" s="197">
        <f t="shared" si="3"/>
        <v>-1146105.3760488983</v>
      </c>
      <c r="W23" s="197">
        <f t="shared" si="3"/>
        <v>-1223241.7638403261</v>
      </c>
      <c r="X23" s="197">
        <f t="shared" si="3"/>
        <v>-11873958.825328898</v>
      </c>
      <c r="Y23" s="197">
        <f t="shared" si="3"/>
        <v>-7030854.8630864713</v>
      </c>
      <c r="Z23" s="197">
        <f t="shared" si="3"/>
        <v>-1661603.5572427753</v>
      </c>
      <c r="AA23" s="197">
        <f t="shared" si="3"/>
        <v>3811744.8155226698</v>
      </c>
      <c r="AB23" s="197">
        <f t="shared" si="3"/>
        <v>2900963.0932455501</v>
      </c>
      <c r="AC23" s="197">
        <f t="shared" si="3"/>
        <v>5644559.9853011351</v>
      </c>
      <c r="AD23" s="197">
        <f t="shared" si="3"/>
        <v>-726256.22210933454</v>
      </c>
      <c r="AE23" s="197">
        <f t="shared" si="3"/>
        <v>-1622406.6542057609</v>
      </c>
      <c r="AF23" s="197">
        <f t="shared" si="3"/>
        <v>-1623258.8680371949</v>
      </c>
      <c r="AG23" s="197">
        <f t="shared" si="3"/>
        <v>4099082.6943632774</v>
      </c>
    </row>
    <row r="25" spans="2:33" x14ac:dyDescent="0.2">
      <c r="B25" s="20" t="s">
        <v>19</v>
      </c>
      <c r="C25" s="219">
        <f>D23+NPV(0.04,E23:AG23)</f>
        <v>60128871.613169312</v>
      </c>
      <c r="D25" s="19" t="s">
        <v>0</v>
      </c>
    </row>
    <row r="26" spans="2:33" x14ac:dyDescent="0.2">
      <c r="B26" s="20" t="s">
        <v>20</v>
      </c>
      <c r="C26" s="171">
        <f>IRR(D23:AG23,1)</f>
        <v>18.665442901746932</v>
      </c>
    </row>
    <row r="27" spans="2:33" x14ac:dyDescent="0.2">
      <c r="D27" s="19"/>
    </row>
    <row r="29" spans="2:33" x14ac:dyDescent="0.2">
      <c r="B29" s="10" t="s">
        <v>233</v>
      </c>
      <c r="C29" s="10"/>
      <c r="D29" s="3" t="s">
        <v>10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2:33" x14ac:dyDescent="0.2">
      <c r="B30" s="4"/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</row>
    <row r="31" spans="2:33" x14ac:dyDescent="0.2">
      <c r="B31" s="6" t="s">
        <v>37</v>
      </c>
      <c r="C31" s="124" t="s">
        <v>9</v>
      </c>
      <c r="D31" s="7">
        <f>D4</f>
        <v>2023</v>
      </c>
      <c r="E31" s="7">
        <f t="shared" ref="E31:AG31" si="4">E4</f>
        <v>2024</v>
      </c>
      <c r="F31" s="7">
        <f t="shared" si="4"/>
        <v>2025</v>
      </c>
      <c r="G31" s="7">
        <f t="shared" si="4"/>
        <v>2026</v>
      </c>
      <c r="H31" s="7">
        <f t="shared" si="4"/>
        <v>2027</v>
      </c>
      <c r="I31" s="7">
        <f t="shared" si="4"/>
        <v>2028</v>
      </c>
      <c r="J31" s="7">
        <f t="shared" si="4"/>
        <v>2029</v>
      </c>
      <c r="K31" s="7">
        <f t="shared" si="4"/>
        <v>2030</v>
      </c>
      <c r="L31" s="7">
        <f t="shared" si="4"/>
        <v>2031</v>
      </c>
      <c r="M31" s="7">
        <f t="shared" si="4"/>
        <v>2032</v>
      </c>
      <c r="N31" s="7">
        <f t="shared" si="4"/>
        <v>2033</v>
      </c>
      <c r="O31" s="7">
        <f t="shared" si="4"/>
        <v>2034</v>
      </c>
      <c r="P31" s="7">
        <f t="shared" si="4"/>
        <v>2035</v>
      </c>
      <c r="Q31" s="7">
        <f t="shared" si="4"/>
        <v>2036</v>
      </c>
      <c r="R31" s="7">
        <f t="shared" si="4"/>
        <v>2037</v>
      </c>
      <c r="S31" s="7">
        <f t="shared" si="4"/>
        <v>2038</v>
      </c>
      <c r="T31" s="7">
        <f t="shared" si="4"/>
        <v>2039</v>
      </c>
      <c r="U31" s="7">
        <f t="shared" si="4"/>
        <v>2040</v>
      </c>
      <c r="V31" s="7">
        <f t="shared" si="4"/>
        <v>2041</v>
      </c>
      <c r="W31" s="7">
        <f t="shared" si="4"/>
        <v>2042</v>
      </c>
      <c r="X31" s="7">
        <f t="shared" si="4"/>
        <v>2043</v>
      </c>
      <c r="Y31" s="7">
        <f t="shared" si="4"/>
        <v>2044</v>
      </c>
      <c r="Z31" s="7">
        <f t="shared" si="4"/>
        <v>2045</v>
      </c>
      <c r="AA31" s="7">
        <f t="shared" si="4"/>
        <v>2046</v>
      </c>
      <c r="AB31" s="7">
        <f t="shared" si="4"/>
        <v>2047</v>
      </c>
      <c r="AC31" s="7">
        <f t="shared" si="4"/>
        <v>2048</v>
      </c>
      <c r="AD31" s="7">
        <f t="shared" si="4"/>
        <v>2049</v>
      </c>
      <c r="AE31" s="7">
        <f t="shared" si="4"/>
        <v>2050</v>
      </c>
      <c r="AF31" s="7">
        <f t="shared" si="4"/>
        <v>2051</v>
      </c>
      <c r="AG31" s="7">
        <f t="shared" si="4"/>
        <v>2052</v>
      </c>
    </row>
    <row r="32" spans="2:33" x14ac:dyDescent="0.2">
      <c r="B32" s="3" t="s">
        <v>242</v>
      </c>
      <c r="C32" s="183">
        <f>SUM(D32:AG32)</f>
        <v>31284000</v>
      </c>
      <c r="D32" s="183">
        <f>'05 Financovanie - zánovné'!D18</f>
        <v>0</v>
      </c>
      <c r="E32" s="183">
        <f>'05 Financovanie - zánovné'!E18</f>
        <v>0</v>
      </c>
      <c r="F32" s="183">
        <f>'05 Financovanie - zánovné'!F18</f>
        <v>20856000</v>
      </c>
      <c r="G32" s="183">
        <f>'05 Financovanie - zánovné'!G18</f>
        <v>10428000</v>
      </c>
      <c r="H32" s="183">
        <f>'05 Financovanie - zánovné'!H18</f>
        <v>0</v>
      </c>
      <c r="I32" s="183">
        <f>'05 Financovanie - zánovné'!I18</f>
        <v>0</v>
      </c>
      <c r="J32" s="183">
        <f>'05 Financovanie - zánovné'!J18</f>
        <v>0</v>
      </c>
      <c r="K32" s="183">
        <f>'05 Financovanie - zánovné'!K18</f>
        <v>0</v>
      </c>
      <c r="L32" s="183">
        <f>'05 Financovanie - zánovné'!L18</f>
        <v>0</v>
      </c>
      <c r="M32" s="183">
        <f>'05 Financovanie - zánovné'!M18</f>
        <v>0</v>
      </c>
      <c r="N32" s="183">
        <f>'05 Financovanie - zánovné'!N18</f>
        <v>0</v>
      </c>
      <c r="O32" s="183">
        <f>'05 Financovanie - zánovné'!O18</f>
        <v>0</v>
      </c>
      <c r="P32" s="183">
        <f>'05 Financovanie - zánovné'!P18</f>
        <v>0</v>
      </c>
      <c r="Q32" s="183">
        <f>'05 Financovanie - zánovné'!Q18</f>
        <v>0</v>
      </c>
      <c r="R32" s="183">
        <f>'05 Financovanie - zánovné'!R18</f>
        <v>0</v>
      </c>
      <c r="S32" s="183">
        <f>'05 Financovanie - zánovné'!S18</f>
        <v>0</v>
      </c>
      <c r="T32" s="183">
        <f>'05 Financovanie - zánovné'!T18</f>
        <v>0</v>
      </c>
      <c r="U32" s="183">
        <f>'05 Financovanie - zánovné'!U18</f>
        <v>0</v>
      </c>
      <c r="V32" s="183">
        <f>'05 Financovanie - zánovné'!V18</f>
        <v>0</v>
      </c>
      <c r="W32" s="183">
        <f>'05 Financovanie - zánovné'!W18</f>
        <v>0</v>
      </c>
      <c r="X32" s="183">
        <f>'05 Financovanie - zánovné'!X18</f>
        <v>0</v>
      </c>
      <c r="Y32" s="183">
        <f>'05 Financovanie - zánovné'!Y18</f>
        <v>0</v>
      </c>
      <c r="Z32" s="183">
        <f>'05 Financovanie - zánovné'!Z18</f>
        <v>0</v>
      </c>
      <c r="AA32" s="183">
        <f>'05 Financovanie - zánovné'!AA18</f>
        <v>0</v>
      </c>
      <c r="AB32" s="183">
        <f>'05 Financovanie - zánovné'!AB18</f>
        <v>0</v>
      </c>
      <c r="AC32" s="183">
        <f>'05 Financovanie - zánovné'!AC18</f>
        <v>0</v>
      </c>
      <c r="AD32" s="183">
        <f>'05 Financovanie - zánovné'!AD18</f>
        <v>0</v>
      </c>
      <c r="AE32" s="183">
        <f>'05 Financovanie - zánovné'!AE18</f>
        <v>0</v>
      </c>
      <c r="AF32" s="183">
        <f>'05 Financovanie - zánovné'!AF18</f>
        <v>0</v>
      </c>
      <c r="AG32" s="183">
        <f>'05 Financovanie - zánovné'!AG18</f>
        <v>0</v>
      </c>
    </row>
    <row r="33" spans="2:33" x14ac:dyDescent="0.2">
      <c r="B33" s="3" t="s">
        <v>220</v>
      </c>
      <c r="C33" s="183">
        <f t="shared" ref="C33:C41" si="5">SUM(D33:AG33)</f>
        <v>18746756.236716688</v>
      </c>
      <c r="D33" s="183">
        <f>D7</f>
        <v>0</v>
      </c>
      <c r="E33" s="183">
        <f t="shared" ref="E33:AG33" si="6">E7</f>
        <v>0</v>
      </c>
      <c r="F33" s="183">
        <f t="shared" si="6"/>
        <v>646231.39991999883</v>
      </c>
      <c r="G33" s="183">
        <f t="shared" si="6"/>
        <v>590473.2041639993</v>
      </c>
      <c r="H33" s="183">
        <f t="shared" si="6"/>
        <v>590473.2041639993</v>
      </c>
      <c r="I33" s="183">
        <f t="shared" si="6"/>
        <v>602282.66824728018</v>
      </c>
      <c r="J33" s="183">
        <f t="shared" si="6"/>
        <v>602282.66824728018</v>
      </c>
      <c r="K33" s="183">
        <f t="shared" si="6"/>
        <v>614328.32161222538</v>
      </c>
      <c r="L33" s="183">
        <f t="shared" si="6"/>
        <v>614328.32161222538</v>
      </c>
      <c r="M33" s="183">
        <f t="shared" si="6"/>
        <v>626614.88804446906</v>
      </c>
      <c r="N33" s="183">
        <f t="shared" si="6"/>
        <v>626614.88804446906</v>
      </c>
      <c r="O33" s="183">
        <f t="shared" si="6"/>
        <v>639147.18580535799</v>
      </c>
      <c r="P33" s="183">
        <f t="shared" si="6"/>
        <v>639147.18580535799</v>
      </c>
      <c r="Q33" s="183">
        <f t="shared" si="6"/>
        <v>651930.12952146586</v>
      </c>
      <c r="R33" s="183">
        <f t="shared" si="6"/>
        <v>651930.12952146586</v>
      </c>
      <c r="S33" s="183">
        <f t="shared" si="6"/>
        <v>664968.73211189546</v>
      </c>
      <c r="T33" s="183">
        <f t="shared" si="6"/>
        <v>664968.73211189546</v>
      </c>
      <c r="U33" s="183">
        <f t="shared" si="6"/>
        <v>678268.10675413348</v>
      </c>
      <c r="V33" s="183">
        <f t="shared" si="6"/>
        <v>678268.10675413348</v>
      </c>
      <c r="W33" s="183">
        <f t="shared" si="6"/>
        <v>691833.46888921689</v>
      </c>
      <c r="X33" s="183">
        <f t="shared" si="6"/>
        <v>691833.46888921689</v>
      </c>
      <c r="Y33" s="183">
        <f t="shared" si="6"/>
        <v>705670.13826700114</v>
      </c>
      <c r="Z33" s="183">
        <f t="shared" si="6"/>
        <v>705670.13826700114</v>
      </c>
      <c r="AA33" s="183">
        <f t="shared" si="6"/>
        <v>719783.54103234038</v>
      </c>
      <c r="AB33" s="183">
        <f t="shared" si="6"/>
        <v>719783.54103234038</v>
      </c>
      <c r="AC33" s="183">
        <f t="shared" si="6"/>
        <v>734179.21185298823</v>
      </c>
      <c r="AD33" s="183">
        <f t="shared" si="6"/>
        <v>734179.21185298823</v>
      </c>
      <c r="AE33" s="183">
        <f t="shared" si="6"/>
        <v>748862.79609004688</v>
      </c>
      <c r="AF33" s="183">
        <f t="shared" si="6"/>
        <v>748862.79609004688</v>
      </c>
      <c r="AG33" s="183">
        <f t="shared" si="6"/>
        <v>763840.0520118475</v>
      </c>
    </row>
    <row r="34" spans="2:33" x14ac:dyDescent="0.2">
      <c r="B34" s="4" t="s">
        <v>11</v>
      </c>
      <c r="C34" s="188">
        <f t="shared" si="5"/>
        <v>50030756.236716673</v>
      </c>
      <c r="D34" s="188">
        <f t="shared" ref="D34:AG34" si="7">SUM(D32:D33)</f>
        <v>0</v>
      </c>
      <c r="E34" s="188">
        <f t="shared" si="7"/>
        <v>0</v>
      </c>
      <c r="F34" s="188">
        <f t="shared" si="7"/>
        <v>21502231.399919998</v>
      </c>
      <c r="G34" s="188">
        <f t="shared" si="7"/>
        <v>11018473.204163998</v>
      </c>
      <c r="H34" s="188">
        <f t="shared" si="7"/>
        <v>590473.2041639993</v>
      </c>
      <c r="I34" s="188">
        <f t="shared" si="7"/>
        <v>602282.66824728018</v>
      </c>
      <c r="J34" s="188">
        <f t="shared" si="7"/>
        <v>602282.66824728018</v>
      </c>
      <c r="K34" s="188">
        <f t="shared" si="7"/>
        <v>614328.32161222538</v>
      </c>
      <c r="L34" s="188">
        <f t="shared" si="7"/>
        <v>614328.32161222538</v>
      </c>
      <c r="M34" s="188">
        <f t="shared" si="7"/>
        <v>626614.88804446906</v>
      </c>
      <c r="N34" s="188">
        <f t="shared" si="7"/>
        <v>626614.88804446906</v>
      </c>
      <c r="O34" s="188">
        <f t="shared" si="7"/>
        <v>639147.18580535799</v>
      </c>
      <c r="P34" s="188">
        <f t="shared" si="7"/>
        <v>639147.18580535799</v>
      </c>
      <c r="Q34" s="188">
        <f t="shared" si="7"/>
        <v>651930.12952146586</v>
      </c>
      <c r="R34" s="188">
        <f t="shared" si="7"/>
        <v>651930.12952146586</v>
      </c>
      <c r="S34" s="188">
        <f t="shared" si="7"/>
        <v>664968.73211189546</v>
      </c>
      <c r="T34" s="188">
        <f t="shared" si="7"/>
        <v>664968.73211189546</v>
      </c>
      <c r="U34" s="188">
        <f t="shared" si="7"/>
        <v>678268.10675413348</v>
      </c>
      <c r="V34" s="188">
        <f t="shared" si="7"/>
        <v>678268.10675413348</v>
      </c>
      <c r="W34" s="188">
        <f t="shared" si="7"/>
        <v>691833.46888921689</v>
      </c>
      <c r="X34" s="188">
        <f t="shared" si="7"/>
        <v>691833.46888921689</v>
      </c>
      <c r="Y34" s="188">
        <f t="shared" si="7"/>
        <v>705670.13826700114</v>
      </c>
      <c r="Z34" s="188">
        <f t="shared" si="7"/>
        <v>705670.13826700114</v>
      </c>
      <c r="AA34" s="188">
        <f t="shared" si="7"/>
        <v>719783.54103234038</v>
      </c>
      <c r="AB34" s="188">
        <f t="shared" si="7"/>
        <v>719783.54103234038</v>
      </c>
      <c r="AC34" s="188">
        <f t="shared" si="7"/>
        <v>734179.21185298823</v>
      </c>
      <c r="AD34" s="188">
        <f t="shared" si="7"/>
        <v>734179.21185298823</v>
      </c>
      <c r="AE34" s="188">
        <f t="shared" si="7"/>
        <v>748862.79609004688</v>
      </c>
      <c r="AF34" s="188">
        <f t="shared" si="7"/>
        <v>748862.79609004688</v>
      </c>
      <c r="AG34" s="188">
        <f t="shared" si="7"/>
        <v>763840.0520118475</v>
      </c>
    </row>
    <row r="35" spans="2:33" x14ac:dyDescent="0.2">
      <c r="B35" s="3" t="s">
        <v>60</v>
      </c>
      <c r="C35" s="183">
        <f t="shared" si="5"/>
        <v>31284000</v>
      </c>
      <c r="D35" s="183">
        <f>D5</f>
        <v>0</v>
      </c>
      <c r="E35" s="183">
        <f t="shared" ref="E35:T36" si="8">E5</f>
        <v>0</v>
      </c>
      <c r="F35" s="183">
        <f t="shared" si="8"/>
        <v>20856000</v>
      </c>
      <c r="G35" s="183">
        <f t="shared" si="8"/>
        <v>10428000</v>
      </c>
      <c r="H35" s="183">
        <f t="shared" si="8"/>
        <v>0</v>
      </c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</row>
    <row r="36" spans="2:33" x14ac:dyDescent="0.2">
      <c r="B36" s="3" t="s">
        <v>59</v>
      </c>
      <c r="C36" s="183">
        <f t="shared" si="5"/>
        <v>-4284772.4718800066</v>
      </c>
      <c r="D36" s="183">
        <f>D6</f>
        <v>0</v>
      </c>
      <c r="E36" s="183">
        <f t="shared" si="8"/>
        <v>0</v>
      </c>
      <c r="F36" s="183">
        <f t="shared" si="8"/>
        <v>1902029.6095778504</v>
      </c>
      <c r="G36" s="183">
        <f t="shared" si="8"/>
        <v>-18044521.973813839</v>
      </c>
      <c r="H36" s="183">
        <f t="shared" si="8"/>
        <v>-14644014.314874563</v>
      </c>
      <c r="I36" s="183">
        <f t="shared" si="8"/>
        <v>-24843495.57926672</v>
      </c>
      <c r="J36" s="183">
        <f t="shared" si="8"/>
        <v>-1042965.5253072092</v>
      </c>
      <c r="K36" s="183">
        <f t="shared" si="8"/>
        <v>2357576.093960382</v>
      </c>
      <c r="L36" s="183">
        <f t="shared" si="8"/>
        <v>2358129.5308808358</v>
      </c>
      <c r="M36" s="183">
        <f t="shared" si="8"/>
        <v>2358695.0433048764</v>
      </c>
      <c r="N36" s="183">
        <f t="shared" si="8"/>
        <v>2359272.8947092965</v>
      </c>
      <c r="O36" s="183">
        <f t="shared" si="8"/>
        <v>2359863.3543197252</v>
      </c>
      <c r="P36" s="183">
        <f t="shared" si="8"/>
        <v>2360466.6972360518</v>
      </c>
      <c r="Q36" s="183">
        <f t="shared" si="8"/>
        <v>2361083.2045606058</v>
      </c>
      <c r="R36" s="183">
        <f t="shared" si="8"/>
        <v>3441713.1635291232</v>
      </c>
      <c r="S36" s="183">
        <f t="shared" si="8"/>
        <v>2902356.8676445577</v>
      </c>
      <c r="T36" s="183">
        <f t="shared" si="8"/>
        <v>2363014.6168138459</v>
      </c>
      <c r="U36" s="183">
        <f t="shared" ref="U36:AG36" si="9">U6</f>
        <v>2363686.7174876304</v>
      </c>
      <c r="V36" s="183">
        <f t="shared" si="9"/>
        <v>1824373.4828030318</v>
      </c>
      <c r="W36" s="183">
        <f t="shared" si="9"/>
        <v>1915075.232729543</v>
      </c>
      <c r="X36" s="183">
        <f t="shared" si="9"/>
        <v>12565792.294218116</v>
      </c>
      <c r="Y36" s="183">
        <f t="shared" si="9"/>
        <v>7736525.0013534725</v>
      </c>
      <c r="Z36" s="183">
        <f t="shared" si="9"/>
        <v>2367273.6955097765</v>
      </c>
      <c r="AA36" s="183">
        <f t="shared" si="9"/>
        <v>-3091961.2744903294</v>
      </c>
      <c r="AB36" s="183">
        <f t="shared" si="9"/>
        <v>-2181179.5522132097</v>
      </c>
      <c r="AC36" s="183">
        <f t="shared" si="9"/>
        <v>-4910380.7734481469</v>
      </c>
      <c r="AD36" s="183">
        <f t="shared" si="9"/>
        <v>1460435.4339623228</v>
      </c>
      <c r="AE36" s="183">
        <f t="shared" si="9"/>
        <v>2371269.4502958078</v>
      </c>
      <c r="AF36" s="183">
        <f t="shared" si="9"/>
        <v>2372121.6641272418</v>
      </c>
      <c r="AG36" s="183">
        <f t="shared" si="9"/>
        <v>2372992.4725099178</v>
      </c>
    </row>
    <row r="37" spans="2:33" x14ac:dyDescent="0.2">
      <c r="B37" s="3" t="s">
        <v>232</v>
      </c>
      <c r="C37" s="183">
        <f t="shared" si="5"/>
        <v>35490876.795000002</v>
      </c>
      <c r="D37" s="183">
        <f>D20</f>
        <v>0</v>
      </c>
      <c r="E37" s="183">
        <f t="shared" ref="E37:AG37" si="10">E20</f>
        <v>0</v>
      </c>
      <c r="F37" s="183">
        <f t="shared" si="10"/>
        <v>61525.200000000004</v>
      </c>
      <c r="G37" s="183">
        <f t="shared" si="10"/>
        <v>3719432.9699999997</v>
      </c>
      <c r="H37" s="183">
        <f t="shared" si="10"/>
        <v>5436508.0707142856</v>
      </c>
      <c r="I37" s="183">
        <f t="shared" si="10"/>
        <v>5274290.5992857143</v>
      </c>
      <c r="J37" s="183">
        <f t="shared" si="10"/>
        <v>5112073.1278571431</v>
      </c>
      <c r="K37" s="183">
        <f t="shared" si="10"/>
        <v>4949855.6564285718</v>
      </c>
      <c r="L37" s="183">
        <f t="shared" si="10"/>
        <v>4787638.1850000005</v>
      </c>
      <c r="M37" s="183">
        <f t="shared" si="10"/>
        <v>4625420.7135714293</v>
      </c>
      <c r="N37" s="183">
        <f t="shared" si="10"/>
        <v>1524132.2721428571</v>
      </c>
      <c r="O37" s="183">
        <f t="shared" si="10"/>
        <v>0</v>
      </c>
      <c r="P37" s="183">
        <f t="shared" si="10"/>
        <v>0</v>
      </c>
      <c r="Q37" s="183">
        <f t="shared" si="10"/>
        <v>0</v>
      </c>
      <c r="R37" s="183">
        <f t="shared" si="10"/>
        <v>0</v>
      </c>
      <c r="S37" s="183">
        <f t="shared" si="10"/>
        <v>0</v>
      </c>
      <c r="T37" s="183">
        <f t="shared" si="10"/>
        <v>0</v>
      </c>
      <c r="U37" s="183">
        <f t="shared" si="10"/>
        <v>0</v>
      </c>
      <c r="V37" s="183">
        <f t="shared" si="10"/>
        <v>0</v>
      </c>
      <c r="W37" s="183">
        <f t="shared" si="10"/>
        <v>0</v>
      </c>
      <c r="X37" s="183">
        <f t="shared" si="10"/>
        <v>0</v>
      </c>
      <c r="Y37" s="183">
        <f t="shared" si="10"/>
        <v>0</v>
      </c>
      <c r="Z37" s="183">
        <f t="shared" si="10"/>
        <v>0</v>
      </c>
      <c r="AA37" s="183">
        <f t="shared" si="10"/>
        <v>0</v>
      </c>
      <c r="AB37" s="183">
        <f t="shared" si="10"/>
        <v>0</v>
      </c>
      <c r="AC37" s="183">
        <f t="shared" si="10"/>
        <v>0</v>
      </c>
      <c r="AD37" s="183">
        <f t="shared" si="10"/>
        <v>0</v>
      </c>
      <c r="AE37" s="183">
        <f t="shared" si="10"/>
        <v>0</v>
      </c>
      <c r="AF37" s="183">
        <f t="shared" si="10"/>
        <v>0</v>
      </c>
      <c r="AG37" s="183">
        <f t="shared" si="10"/>
        <v>0</v>
      </c>
    </row>
    <row r="38" spans="2:33" x14ac:dyDescent="0.2">
      <c r="B38" s="4" t="s">
        <v>23</v>
      </c>
      <c r="C38" s="188">
        <f t="shared" si="5"/>
        <v>62490104.323119998</v>
      </c>
      <c r="D38" s="188">
        <f>SUM(D35:D37)</f>
        <v>0</v>
      </c>
      <c r="E38" s="188">
        <f t="shared" ref="E38:AG38" si="11">SUM(E35:E37)</f>
        <v>0</v>
      </c>
      <c r="F38" s="188">
        <f t="shared" si="11"/>
        <v>22819554.809577849</v>
      </c>
      <c r="G38" s="188">
        <f t="shared" si="11"/>
        <v>-3897089.0038138395</v>
      </c>
      <c r="H38" s="188">
        <f t="shared" si="11"/>
        <v>-9207506.2441602778</v>
      </c>
      <c r="I38" s="188">
        <f t="shared" si="11"/>
        <v>-19569204.979981005</v>
      </c>
      <c r="J38" s="188">
        <f t="shared" si="11"/>
        <v>4069107.6025499338</v>
      </c>
      <c r="K38" s="188">
        <f t="shared" si="11"/>
        <v>7307431.7503889538</v>
      </c>
      <c r="L38" s="188">
        <f t="shared" si="11"/>
        <v>7145767.7158808364</v>
      </c>
      <c r="M38" s="188">
        <f t="shared" si="11"/>
        <v>6984115.7568763057</v>
      </c>
      <c r="N38" s="188">
        <f t="shared" si="11"/>
        <v>3883405.1668521538</v>
      </c>
      <c r="O38" s="188">
        <f t="shared" si="11"/>
        <v>2359863.3543197252</v>
      </c>
      <c r="P38" s="188">
        <f t="shared" si="11"/>
        <v>2360466.6972360518</v>
      </c>
      <c r="Q38" s="188">
        <f t="shared" si="11"/>
        <v>2361083.2045606058</v>
      </c>
      <c r="R38" s="188">
        <f t="shared" si="11"/>
        <v>3441713.1635291232</v>
      </c>
      <c r="S38" s="188">
        <f t="shared" si="11"/>
        <v>2902356.8676445577</v>
      </c>
      <c r="T38" s="188">
        <f t="shared" si="11"/>
        <v>2363014.6168138459</v>
      </c>
      <c r="U38" s="188">
        <f t="shared" si="11"/>
        <v>2363686.7174876304</v>
      </c>
      <c r="V38" s="188">
        <f t="shared" si="11"/>
        <v>1824373.4828030318</v>
      </c>
      <c r="W38" s="188">
        <f t="shared" si="11"/>
        <v>1915075.232729543</v>
      </c>
      <c r="X38" s="188">
        <f t="shared" si="11"/>
        <v>12565792.294218116</v>
      </c>
      <c r="Y38" s="188">
        <f t="shared" si="11"/>
        <v>7736525.0013534725</v>
      </c>
      <c r="Z38" s="188">
        <f t="shared" si="11"/>
        <v>2367273.6955097765</v>
      </c>
      <c r="AA38" s="188">
        <f t="shared" si="11"/>
        <v>-3091961.2744903294</v>
      </c>
      <c r="AB38" s="188">
        <f t="shared" si="11"/>
        <v>-2181179.5522132097</v>
      </c>
      <c r="AC38" s="188">
        <f t="shared" si="11"/>
        <v>-4910380.7734481469</v>
      </c>
      <c r="AD38" s="188">
        <f t="shared" si="11"/>
        <v>1460435.4339623228</v>
      </c>
      <c r="AE38" s="188">
        <f t="shared" si="11"/>
        <v>2371269.4502958078</v>
      </c>
      <c r="AF38" s="188">
        <f t="shared" si="11"/>
        <v>2372121.6641272418</v>
      </c>
      <c r="AG38" s="188">
        <f t="shared" si="11"/>
        <v>2372992.4725099178</v>
      </c>
    </row>
    <row r="39" spans="2:33" x14ac:dyDescent="0.2">
      <c r="B39" s="127" t="s">
        <v>46</v>
      </c>
      <c r="C39" s="216">
        <f t="shared" si="5"/>
        <v>-12459348.086403295</v>
      </c>
      <c r="D39" s="216">
        <f>D34-D38</f>
        <v>0</v>
      </c>
      <c r="E39" s="216">
        <f t="shared" ref="E39:AG39" si="12">E34-E38</f>
        <v>0</v>
      </c>
      <c r="F39" s="216">
        <f t="shared" si="12"/>
        <v>-1317323.4096578509</v>
      </c>
      <c r="G39" s="216">
        <f t="shared" si="12"/>
        <v>14915562.207977839</v>
      </c>
      <c r="H39" s="216">
        <f t="shared" si="12"/>
        <v>9797979.448324278</v>
      </c>
      <c r="I39" s="216">
        <f t="shared" si="12"/>
        <v>20171487.648228284</v>
      </c>
      <c r="J39" s="216">
        <f t="shared" si="12"/>
        <v>-3466824.9343026537</v>
      </c>
      <c r="K39" s="216">
        <f t="shared" si="12"/>
        <v>-6693103.428776728</v>
      </c>
      <c r="L39" s="216">
        <f t="shared" si="12"/>
        <v>-6531439.3942686114</v>
      </c>
      <c r="M39" s="216">
        <f t="shared" si="12"/>
        <v>-6357500.8688318366</v>
      </c>
      <c r="N39" s="216">
        <f t="shared" si="12"/>
        <v>-3256790.2788076848</v>
      </c>
      <c r="O39" s="216">
        <f t="shared" si="12"/>
        <v>-1720716.1685143672</v>
      </c>
      <c r="P39" s="216">
        <f t="shared" si="12"/>
        <v>-1721319.5114306938</v>
      </c>
      <c r="Q39" s="216">
        <f t="shared" si="12"/>
        <v>-1709153.0750391399</v>
      </c>
      <c r="R39" s="216">
        <f t="shared" si="12"/>
        <v>-2789783.0340076573</v>
      </c>
      <c r="S39" s="216">
        <f t="shared" si="12"/>
        <v>-2237388.1355326623</v>
      </c>
      <c r="T39" s="216">
        <f t="shared" si="12"/>
        <v>-1698045.8847019505</v>
      </c>
      <c r="U39" s="216">
        <f t="shared" si="12"/>
        <v>-1685418.610733497</v>
      </c>
      <c r="V39" s="216">
        <f t="shared" si="12"/>
        <v>-1146105.3760488983</v>
      </c>
      <c r="W39" s="216">
        <f t="shared" si="12"/>
        <v>-1223241.7638403261</v>
      </c>
      <c r="X39" s="216">
        <f t="shared" si="12"/>
        <v>-11873958.825328898</v>
      </c>
      <c r="Y39" s="216">
        <f t="shared" si="12"/>
        <v>-7030854.8630864713</v>
      </c>
      <c r="Z39" s="216">
        <f t="shared" si="12"/>
        <v>-1661603.5572427753</v>
      </c>
      <c r="AA39" s="216">
        <f t="shared" si="12"/>
        <v>3811744.8155226698</v>
      </c>
      <c r="AB39" s="216">
        <f t="shared" si="12"/>
        <v>2900963.0932455501</v>
      </c>
      <c r="AC39" s="216">
        <f t="shared" si="12"/>
        <v>5644559.9853011351</v>
      </c>
      <c r="AD39" s="216">
        <f t="shared" si="12"/>
        <v>-726256.22210933454</v>
      </c>
      <c r="AE39" s="216">
        <f t="shared" si="12"/>
        <v>-1622406.6542057609</v>
      </c>
      <c r="AF39" s="216">
        <f t="shared" si="12"/>
        <v>-1623258.8680371949</v>
      </c>
      <c r="AG39" s="216">
        <f t="shared" si="12"/>
        <v>-1609152.4204980703</v>
      </c>
    </row>
    <row r="40" spans="2:33" x14ac:dyDescent="0.2">
      <c r="B40" s="3" t="s">
        <v>24</v>
      </c>
      <c r="C40" s="188"/>
      <c r="D40" s="183">
        <f>D39</f>
        <v>0</v>
      </c>
      <c r="E40" s="183">
        <f>D40+E39</f>
        <v>0</v>
      </c>
      <c r="F40" s="183">
        <f t="shared" ref="F40:AG40" si="13">E40+F39</f>
        <v>-1317323.4096578509</v>
      </c>
      <c r="G40" s="183">
        <f t="shared" si="13"/>
        <v>13598238.798319988</v>
      </c>
      <c r="H40" s="183">
        <f t="shared" si="13"/>
        <v>23396218.246644266</v>
      </c>
      <c r="I40" s="183">
        <f t="shared" si="13"/>
        <v>43567705.894872546</v>
      </c>
      <c r="J40" s="183">
        <f t="shared" si="13"/>
        <v>40100880.960569896</v>
      </c>
      <c r="K40" s="183">
        <f t="shared" si="13"/>
        <v>33407777.53179317</v>
      </c>
      <c r="L40" s="183">
        <f t="shared" si="13"/>
        <v>26876338.13752456</v>
      </c>
      <c r="M40" s="183">
        <f t="shared" si="13"/>
        <v>20518837.268692724</v>
      </c>
      <c r="N40" s="183">
        <f t="shared" si="13"/>
        <v>17262046.98988504</v>
      </c>
      <c r="O40" s="183">
        <f t="shared" si="13"/>
        <v>15541330.821370672</v>
      </c>
      <c r="P40" s="183">
        <f t="shared" si="13"/>
        <v>13820011.309939979</v>
      </c>
      <c r="Q40" s="183">
        <f t="shared" si="13"/>
        <v>12110858.23490084</v>
      </c>
      <c r="R40" s="183">
        <f t="shared" si="13"/>
        <v>9321075.2008931823</v>
      </c>
      <c r="S40" s="183">
        <f t="shared" si="13"/>
        <v>7083687.06536052</v>
      </c>
      <c r="T40" s="183">
        <f t="shared" si="13"/>
        <v>5385641.1806585696</v>
      </c>
      <c r="U40" s="183">
        <f t="shared" si="13"/>
        <v>3700222.5699250726</v>
      </c>
      <c r="V40" s="183">
        <f t="shared" si="13"/>
        <v>2554117.1938761743</v>
      </c>
      <c r="W40" s="183">
        <f t="shared" si="13"/>
        <v>1330875.4300358482</v>
      </c>
      <c r="X40" s="183">
        <f t="shared" si="13"/>
        <v>-10543083.39529305</v>
      </c>
      <c r="Y40" s="183">
        <f t="shared" si="13"/>
        <v>-17573938.258379519</v>
      </c>
      <c r="Z40" s="183">
        <f t="shared" si="13"/>
        <v>-19235541.815622292</v>
      </c>
      <c r="AA40" s="183">
        <f t="shared" si="13"/>
        <v>-15423797.000099622</v>
      </c>
      <c r="AB40" s="183">
        <f t="shared" si="13"/>
        <v>-12522833.906854071</v>
      </c>
      <c r="AC40" s="183">
        <f t="shared" si="13"/>
        <v>-6878273.9215529356</v>
      </c>
      <c r="AD40" s="183">
        <f t="shared" si="13"/>
        <v>-7604530.1436622702</v>
      </c>
      <c r="AE40" s="183">
        <f t="shared" si="13"/>
        <v>-9226936.797868032</v>
      </c>
      <c r="AF40" s="183">
        <f t="shared" si="13"/>
        <v>-10850195.665905226</v>
      </c>
      <c r="AG40" s="183">
        <f t="shared" si="13"/>
        <v>-12459348.086403295</v>
      </c>
    </row>
    <row r="41" spans="2:33" x14ac:dyDescent="0.2">
      <c r="B41" s="3" t="s">
        <v>244</v>
      </c>
      <c r="C41" s="188">
        <f t="shared" si="5"/>
        <v>123635802.40129817</v>
      </c>
      <c r="D41" s="186">
        <f>IF(D40&lt;0,-D40,0)</f>
        <v>0</v>
      </c>
      <c r="E41" s="186">
        <f t="shared" ref="E41:AG41" si="14">IF(E40&lt;0,-E40,0)</f>
        <v>0</v>
      </c>
      <c r="F41" s="186">
        <f t="shared" si="14"/>
        <v>1317323.4096578509</v>
      </c>
      <c r="G41" s="186">
        <f t="shared" si="14"/>
        <v>0</v>
      </c>
      <c r="H41" s="186">
        <f t="shared" si="14"/>
        <v>0</v>
      </c>
      <c r="I41" s="186">
        <f t="shared" si="14"/>
        <v>0</v>
      </c>
      <c r="J41" s="186">
        <f t="shared" si="14"/>
        <v>0</v>
      </c>
      <c r="K41" s="186">
        <f t="shared" si="14"/>
        <v>0</v>
      </c>
      <c r="L41" s="186">
        <f t="shared" si="14"/>
        <v>0</v>
      </c>
      <c r="M41" s="186">
        <f t="shared" si="14"/>
        <v>0</v>
      </c>
      <c r="N41" s="186">
        <f t="shared" si="14"/>
        <v>0</v>
      </c>
      <c r="O41" s="186">
        <f t="shared" si="14"/>
        <v>0</v>
      </c>
      <c r="P41" s="186">
        <f t="shared" si="14"/>
        <v>0</v>
      </c>
      <c r="Q41" s="186">
        <f t="shared" si="14"/>
        <v>0</v>
      </c>
      <c r="R41" s="186">
        <f t="shared" si="14"/>
        <v>0</v>
      </c>
      <c r="S41" s="186">
        <f t="shared" si="14"/>
        <v>0</v>
      </c>
      <c r="T41" s="186">
        <f t="shared" si="14"/>
        <v>0</v>
      </c>
      <c r="U41" s="186">
        <f t="shared" si="14"/>
        <v>0</v>
      </c>
      <c r="V41" s="186">
        <f t="shared" si="14"/>
        <v>0</v>
      </c>
      <c r="W41" s="186">
        <f t="shared" si="14"/>
        <v>0</v>
      </c>
      <c r="X41" s="186">
        <f t="shared" si="14"/>
        <v>10543083.39529305</v>
      </c>
      <c r="Y41" s="186">
        <f t="shared" si="14"/>
        <v>17573938.258379519</v>
      </c>
      <c r="Z41" s="186">
        <f t="shared" si="14"/>
        <v>19235541.815622292</v>
      </c>
      <c r="AA41" s="186">
        <f t="shared" si="14"/>
        <v>15423797.000099622</v>
      </c>
      <c r="AB41" s="186">
        <f t="shared" si="14"/>
        <v>12522833.906854071</v>
      </c>
      <c r="AC41" s="186">
        <f t="shared" si="14"/>
        <v>6878273.9215529356</v>
      </c>
      <c r="AD41" s="186">
        <f t="shared" si="14"/>
        <v>7604530.1436622702</v>
      </c>
      <c r="AE41" s="186">
        <f t="shared" si="14"/>
        <v>9226936.797868032</v>
      </c>
      <c r="AF41" s="186">
        <f t="shared" si="14"/>
        <v>10850195.665905226</v>
      </c>
      <c r="AG41" s="186">
        <f t="shared" si="14"/>
        <v>12459348.086403295</v>
      </c>
    </row>
    <row r="42" spans="2:33" x14ac:dyDescent="0.2">
      <c r="B42" s="22" t="s">
        <v>245</v>
      </c>
      <c r="C42" s="217"/>
      <c r="D42" s="217">
        <f>D40+D41</f>
        <v>0</v>
      </c>
      <c r="E42" s="217">
        <f t="shared" ref="E42:AG42" si="15">E40+E41</f>
        <v>0</v>
      </c>
      <c r="F42" s="217">
        <f t="shared" si="15"/>
        <v>0</v>
      </c>
      <c r="G42" s="217">
        <f t="shared" si="15"/>
        <v>13598238.798319988</v>
      </c>
      <c r="H42" s="217">
        <f t="shared" si="15"/>
        <v>23396218.246644266</v>
      </c>
      <c r="I42" s="217">
        <f t="shared" si="15"/>
        <v>43567705.894872546</v>
      </c>
      <c r="J42" s="217">
        <f t="shared" si="15"/>
        <v>40100880.960569896</v>
      </c>
      <c r="K42" s="217">
        <f t="shared" si="15"/>
        <v>33407777.53179317</v>
      </c>
      <c r="L42" s="217">
        <f t="shared" si="15"/>
        <v>26876338.13752456</v>
      </c>
      <c r="M42" s="217">
        <f t="shared" si="15"/>
        <v>20518837.268692724</v>
      </c>
      <c r="N42" s="217">
        <f t="shared" si="15"/>
        <v>17262046.98988504</v>
      </c>
      <c r="O42" s="217">
        <f t="shared" si="15"/>
        <v>15541330.821370672</v>
      </c>
      <c r="P42" s="217">
        <f t="shared" si="15"/>
        <v>13820011.309939979</v>
      </c>
      <c r="Q42" s="217">
        <f t="shared" si="15"/>
        <v>12110858.23490084</v>
      </c>
      <c r="R42" s="217">
        <f t="shared" si="15"/>
        <v>9321075.2008931823</v>
      </c>
      <c r="S42" s="217">
        <f t="shared" si="15"/>
        <v>7083687.06536052</v>
      </c>
      <c r="T42" s="217">
        <f t="shared" si="15"/>
        <v>5385641.1806585696</v>
      </c>
      <c r="U42" s="217">
        <f t="shared" si="15"/>
        <v>3700222.5699250726</v>
      </c>
      <c r="V42" s="217">
        <f t="shared" si="15"/>
        <v>2554117.1938761743</v>
      </c>
      <c r="W42" s="217">
        <f t="shared" si="15"/>
        <v>1330875.4300358482</v>
      </c>
      <c r="X42" s="217">
        <f t="shared" si="15"/>
        <v>0</v>
      </c>
      <c r="Y42" s="217">
        <f t="shared" si="15"/>
        <v>0</v>
      </c>
      <c r="Z42" s="217">
        <f t="shared" si="15"/>
        <v>0</v>
      </c>
      <c r="AA42" s="217">
        <f t="shared" si="15"/>
        <v>0</v>
      </c>
      <c r="AB42" s="217">
        <f t="shared" si="15"/>
        <v>0</v>
      </c>
      <c r="AC42" s="217">
        <f t="shared" si="15"/>
        <v>0</v>
      </c>
      <c r="AD42" s="217">
        <f t="shared" si="15"/>
        <v>0</v>
      </c>
      <c r="AE42" s="217">
        <f t="shared" si="15"/>
        <v>0</v>
      </c>
      <c r="AF42" s="217">
        <f t="shared" si="15"/>
        <v>0</v>
      </c>
      <c r="AG42" s="217">
        <f t="shared" si="15"/>
        <v>0</v>
      </c>
    </row>
    <row r="45" spans="2:33" x14ac:dyDescent="0.2">
      <c r="B45" s="10" t="s">
        <v>248</v>
      </c>
      <c r="C45" s="10"/>
      <c r="D45" s="3" t="s">
        <v>10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2:33" x14ac:dyDescent="0.2">
      <c r="B46" s="4"/>
      <c r="C46" s="4"/>
      <c r="D46" s="5">
        <v>1</v>
      </c>
      <c r="E46" s="5">
        <v>2</v>
      </c>
      <c r="F46" s="5">
        <v>3</v>
      </c>
      <c r="G46" s="5">
        <v>4</v>
      </c>
      <c r="H46" s="5">
        <v>5</v>
      </c>
      <c r="I46" s="5">
        <v>6</v>
      </c>
      <c r="J46" s="5">
        <v>7</v>
      </c>
      <c r="K46" s="5">
        <v>8</v>
      </c>
      <c r="L46" s="5">
        <v>9</v>
      </c>
      <c r="M46" s="5">
        <v>10</v>
      </c>
      <c r="N46" s="5">
        <v>11</v>
      </c>
      <c r="O46" s="5">
        <v>12</v>
      </c>
      <c r="P46" s="5">
        <v>13</v>
      </c>
      <c r="Q46" s="5">
        <v>14</v>
      </c>
      <c r="R46" s="5">
        <v>15</v>
      </c>
      <c r="S46" s="5">
        <v>16</v>
      </c>
      <c r="T46" s="5">
        <v>17</v>
      </c>
      <c r="U46" s="5">
        <v>18</v>
      </c>
      <c r="V46" s="5">
        <v>19</v>
      </c>
      <c r="W46" s="5">
        <v>20</v>
      </c>
      <c r="X46" s="5">
        <v>21</v>
      </c>
      <c r="Y46" s="5">
        <v>22</v>
      </c>
      <c r="Z46" s="5">
        <v>23</v>
      </c>
      <c r="AA46" s="5">
        <v>24</v>
      </c>
      <c r="AB46" s="5">
        <v>25</v>
      </c>
      <c r="AC46" s="5">
        <v>26</v>
      </c>
      <c r="AD46" s="5">
        <v>27</v>
      </c>
      <c r="AE46" s="5">
        <v>28</v>
      </c>
      <c r="AF46" s="5">
        <v>29</v>
      </c>
      <c r="AG46" s="5">
        <v>30</v>
      </c>
    </row>
    <row r="47" spans="2:33" x14ac:dyDescent="0.2">
      <c r="B47" s="6" t="s">
        <v>37</v>
      </c>
      <c r="C47" s="124" t="s">
        <v>9</v>
      </c>
      <c r="D47" s="7">
        <f>D4</f>
        <v>2023</v>
      </c>
      <c r="E47" s="7">
        <f t="shared" ref="E47:AG47" si="16">E4</f>
        <v>2024</v>
      </c>
      <c r="F47" s="7">
        <f t="shared" si="16"/>
        <v>2025</v>
      </c>
      <c r="G47" s="7">
        <f t="shared" si="16"/>
        <v>2026</v>
      </c>
      <c r="H47" s="7">
        <f t="shared" si="16"/>
        <v>2027</v>
      </c>
      <c r="I47" s="7">
        <f t="shared" si="16"/>
        <v>2028</v>
      </c>
      <c r="J47" s="7">
        <f t="shared" si="16"/>
        <v>2029</v>
      </c>
      <c r="K47" s="7">
        <f t="shared" si="16"/>
        <v>2030</v>
      </c>
      <c r="L47" s="7">
        <f t="shared" si="16"/>
        <v>2031</v>
      </c>
      <c r="M47" s="7">
        <f t="shared" si="16"/>
        <v>2032</v>
      </c>
      <c r="N47" s="7">
        <f t="shared" si="16"/>
        <v>2033</v>
      </c>
      <c r="O47" s="7">
        <f t="shared" si="16"/>
        <v>2034</v>
      </c>
      <c r="P47" s="7">
        <f t="shared" si="16"/>
        <v>2035</v>
      </c>
      <c r="Q47" s="7">
        <f t="shared" si="16"/>
        <v>2036</v>
      </c>
      <c r="R47" s="7">
        <f t="shared" si="16"/>
        <v>2037</v>
      </c>
      <c r="S47" s="7">
        <f t="shared" si="16"/>
        <v>2038</v>
      </c>
      <c r="T47" s="7">
        <f t="shared" si="16"/>
        <v>2039</v>
      </c>
      <c r="U47" s="7">
        <f t="shared" si="16"/>
        <v>2040</v>
      </c>
      <c r="V47" s="7">
        <f t="shared" si="16"/>
        <v>2041</v>
      </c>
      <c r="W47" s="7">
        <f t="shared" si="16"/>
        <v>2042</v>
      </c>
      <c r="X47" s="7">
        <f t="shared" si="16"/>
        <v>2043</v>
      </c>
      <c r="Y47" s="7">
        <f t="shared" si="16"/>
        <v>2044</v>
      </c>
      <c r="Z47" s="7">
        <f t="shared" si="16"/>
        <v>2045</v>
      </c>
      <c r="AA47" s="7">
        <f t="shared" si="16"/>
        <v>2046</v>
      </c>
      <c r="AB47" s="7">
        <f t="shared" si="16"/>
        <v>2047</v>
      </c>
      <c r="AC47" s="7">
        <f t="shared" si="16"/>
        <v>2048</v>
      </c>
      <c r="AD47" s="7">
        <f t="shared" si="16"/>
        <v>2049</v>
      </c>
      <c r="AE47" s="7">
        <f t="shared" si="16"/>
        <v>2050</v>
      </c>
      <c r="AF47" s="7">
        <f t="shared" si="16"/>
        <v>2051</v>
      </c>
      <c r="AG47" s="7">
        <f t="shared" si="16"/>
        <v>2052</v>
      </c>
    </row>
    <row r="48" spans="2:33" x14ac:dyDescent="0.2">
      <c r="B48" s="3" t="s">
        <v>242</v>
      </c>
      <c r="C48" s="183">
        <f>SUM(D48:AG48)</f>
        <v>31284000</v>
      </c>
      <c r="D48" s="183">
        <f>'05 Financovanie - zánovné'!D18</f>
        <v>0</v>
      </c>
      <c r="E48" s="183">
        <f>'05 Financovanie - zánovné'!E18</f>
        <v>0</v>
      </c>
      <c r="F48" s="183">
        <f>'05 Financovanie - zánovné'!F18</f>
        <v>20856000</v>
      </c>
      <c r="G48" s="183">
        <f>'05 Financovanie - zánovné'!G18</f>
        <v>10428000</v>
      </c>
      <c r="H48" s="183">
        <f>'05 Financovanie - zánovné'!H18</f>
        <v>0</v>
      </c>
      <c r="I48" s="183">
        <f>'05 Financovanie - zánovné'!I18</f>
        <v>0</v>
      </c>
      <c r="J48" s="183">
        <f>'05 Financovanie - zánovné'!J18</f>
        <v>0</v>
      </c>
      <c r="K48" s="183">
        <f>'05 Financovanie - zánovné'!K18</f>
        <v>0</v>
      </c>
      <c r="L48" s="183">
        <f>'05 Financovanie - zánovné'!L18</f>
        <v>0</v>
      </c>
      <c r="M48" s="183">
        <f>'05 Financovanie - zánovné'!M18</f>
        <v>0</v>
      </c>
      <c r="N48" s="183">
        <f>'05 Financovanie - zánovné'!N18</f>
        <v>0</v>
      </c>
      <c r="O48" s="183">
        <f>'05 Financovanie - zánovné'!O18</f>
        <v>0</v>
      </c>
      <c r="P48" s="183">
        <f>'05 Financovanie - zánovné'!P18</f>
        <v>0</v>
      </c>
      <c r="Q48" s="183">
        <f>'05 Financovanie - zánovné'!Q18</f>
        <v>0</v>
      </c>
      <c r="R48" s="183">
        <f>'05 Financovanie - zánovné'!R18</f>
        <v>0</v>
      </c>
      <c r="S48" s="183">
        <f>'05 Financovanie - zánovné'!S18</f>
        <v>0</v>
      </c>
      <c r="T48" s="183">
        <f>'05 Financovanie - zánovné'!T18</f>
        <v>0</v>
      </c>
      <c r="U48" s="183">
        <f>'05 Financovanie - zánovné'!U18</f>
        <v>0</v>
      </c>
      <c r="V48" s="183">
        <f>'05 Financovanie - zánovné'!V18</f>
        <v>0</v>
      </c>
      <c r="W48" s="183">
        <f>'05 Financovanie - zánovné'!W18</f>
        <v>0</v>
      </c>
      <c r="X48" s="183">
        <f>'05 Financovanie - zánovné'!X18</f>
        <v>0</v>
      </c>
      <c r="Y48" s="183">
        <f>'05 Financovanie - zánovné'!Y18</f>
        <v>0</v>
      </c>
      <c r="Z48" s="183">
        <f>'05 Financovanie - zánovné'!Z18</f>
        <v>0</v>
      </c>
      <c r="AA48" s="183">
        <f>'05 Financovanie - zánovné'!AA18</f>
        <v>0</v>
      </c>
      <c r="AB48" s="183">
        <f>'05 Financovanie - zánovné'!AB18</f>
        <v>0</v>
      </c>
      <c r="AC48" s="183">
        <f>'05 Financovanie - zánovné'!AC18</f>
        <v>0</v>
      </c>
      <c r="AD48" s="183">
        <f>'05 Financovanie - zánovné'!AD18</f>
        <v>0</v>
      </c>
      <c r="AE48" s="183">
        <f>'05 Financovanie - zánovné'!AE18</f>
        <v>0</v>
      </c>
      <c r="AF48" s="183">
        <f>'05 Financovanie - zánovné'!AF18</f>
        <v>0</v>
      </c>
      <c r="AG48" s="183">
        <f>'05 Financovanie - zánovné'!AG18</f>
        <v>0</v>
      </c>
    </row>
    <row r="49" spans="2:33" x14ac:dyDescent="0.2">
      <c r="B49" s="128" t="s">
        <v>247</v>
      </c>
      <c r="C49" s="218">
        <f t="shared" ref="C49:C55" si="17">SUM(D49:AG49)</f>
        <v>152467702.31627694</v>
      </c>
      <c r="D49" s="218">
        <f>'04 Prevádzkové príjmy - zánovné'!D15</f>
        <v>3827958.8400000003</v>
      </c>
      <c r="E49" s="218">
        <f>'04 Prevádzkové príjmy - zánovné'!E15</f>
        <v>3904518.0168000003</v>
      </c>
      <c r="F49" s="218">
        <f>'04 Prevádzkové príjmy - zánovné'!F15</f>
        <v>4550749.4167199992</v>
      </c>
      <c r="G49" s="218">
        <f>'04 Prevádzkové príjmy - zánovné'!G15</f>
        <v>4573081.5812999997</v>
      </c>
      <c r="H49" s="218">
        <f>'04 Prevádzkové príjmy - zánovné'!H15</f>
        <v>4573081.5812999997</v>
      </c>
      <c r="I49" s="218">
        <f>'04 Prevádzkové príjmy - zánovné'!I15</f>
        <v>4664543.2129260004</v>
      </c>
      <c r="J49" s="218">
        <f>'04 Prevádzkové príjmy - zánovné'!J15</f>
        <v>4664543.2129260004</v>
      </c>
      <c r="K49" s="218">
        <f>'04 Prevádzkové príjmy - zánovné'!K15</f>
        <v>4757834.0771845197</v>
      </c>
      <c r="L49" s="218">
        <f>'04 Prevádzkové príjmy - zánovné'!L15</f>
        <v>4757834.0771845197</v>
      </c>
      <c r="M49" s="218">
        <f>'04 Prevádzkové príjmy - zánovné'!M15</f>
        <v>4852990.7587282099</v>
      </c>
      <c r="N49" s="218">
        <f>'04 Prevádzkové príjmy - zánovné'!N15</f>
        <v>4852990.7587282099</v>
      </c>
      <c r="O49" s="218">
        <f>'04 Prevádzkové príjmy - zánovné'!O15</f>
        <v>4950050.5739027746</v>
      </c>
      <c r="P49" s="218">
        <f>'04 Prevádzkové príjmy - zánovné'!P15</f>
        <v>4950050.5739027746</v>
      </c>
      <c r="Q49" s="218">
        <f>'04 Prevádzkové príjmy - zánovné'!Q15</f>
        <v>5049051.5853808299</v>
      </c>
      <c r="R49" s="218">
        <f>'04 Prevádzkové príjmy - zánovné'!R15</f>
        <v>5049051.5853808299</v>
      </c>
      <c r="S49" s="218">
        <f>'04 Prevádzkové príjmy - zánovné'!S15</f>
        <v>5150032.6170884473</v>
      </c>
      <c r="T49" s="218">
        <f>'04 Prevádzkové príjmy - zánovné'!T15</f>
        <v>5150032.6170884473</v>
      </c>
      <c r="U49" s="218">
        <f>'04 Prevádzkové príjmy - zánovné'!U15</f>
        <v>5253033.2694302164</v>
      </c>
      <c r="V49" s="218">
        <f>'04 Prevádzkové príjmy - zánovné'!V15</f>
        <v>5253033.2694302164</v>
      </c>
      <c r="W49" s="218">
        <f>'04 Prevádzkové príjmy - zánovné'!W15</f>
        <v>5358093.934818821</v>
      </c>
      <c r="X49" s="218">
        <f>'04 Prevádzkové príjmy - zánovné'!X15</f>
        <v>5358093.934818821</v>
      </c>
      <c r="Y49" s="218">
        <f>'04 Prevádzkové príjmy - zánovné'!Y15</f>
        <v>5465255.8135151975</v>
      </c>
      <c r="Z49" s="218">
        <f>'04 Prevádzkové príjmy - zánovné'!Z15</f>
        <v>5465255.8135151975</v>
      </c>
      <c r="AA49" s="218">
        <f>'04 Prevádzkové príjmy - zánovné'!AA15</f>
        <v>5574560.9297855012</v>
      </c>
      <c r="AB49" s="218">
        <f>'04 Prevádzkové príjmy - zánovné'!AB15</f>
        <v>5574560.9297855012</v>
      </c>
      <c r="AC49" s="218">
        <f>'04 Prevádzkové príjmy - zánovné'!AC15</f>
        <v>5686052.1483812118</v>
      </c>
      <c r="AD49" s="218">
        <f>'04 Prevádzkové príjmy - zánovné'!AD15</f>
        <v>5686052.1483812118</v>
      </c>
      <c r="AE49" s="218">
        <f>'04 Prevádzkové príjmy - zánovné'!AE15</f>
        <v>5799773.1913488349</v>
      </c>
      <c r="AF49" s="218">
        <f>'04 Prevádzkové príjmy - zánovné'!AF15</f>
        <v>5799773.1913488349</v>
      </c>
      <c r="AG49" s="218">
        <f>'04 Prevádzkové príjmy - zánovné'!AG15</f>
        <v>5915768.6551758125</v>
      </c>
    </row>
    <row r="50" spans="2:33" x14ac:dyDescent="0.2">
      <c r="B50" s="4" t="s">
        <v>11</v>
      </c>
      <c r="C50" s="188">
        <f t="shared" si="17"/>
        <v>183751702.31627682</v>
      </c>
      <c r="D50" s="188">
        <f>SUM(D48:D49)</f>
        <v>3827958.8400000003</v>
      </c>
      <c r="E50" s="188">
        <f t="shared" ref="E50:AG50" si="18">SUM(E48:E49)</f>
        <v>3904518.0168000003</v>
      </c>
      <c r="F50" s="188">
        <f t="shared" si="18"/>
        <v>25406749.416719999</v>
      </c>
      <c r="G50" s="188">
        <f t="shared" si="18"/>
        <v>15001081.5813</v>
      </c>
      <c r="H50" s="188">
        <f t="shared" si="18"/>
        <v>4573081.5812999997</v>
      </c>
      <c r="I50" s="188">
        <f t="shared" si="18"/>
        <v>4664543.2129260004</v>
      </c>
      <c r="J50" s="188">
        <f t="shared" si="18"/>
        <v>4664543.2129260004</v>
      </c>
      <c r="K50" s="188">
        <f t="shared" si="18"/>
        <v>4757834.0771845197</v>
      </c>
      <c r="L50" s="188">
        <f t="shared" si="18"/>
        <v>4757834.0771845197</v>
      </c>
      <c r="M50" s="188">
        <f t="shared" si="18"/>
        <v>4852990.7587282099</v>
      </c>
      <c r="N50" s="188">
        <f t="shared" si="18"/>
        <v>4852990.7587282099</v>
      </c>
      <c r="O50" s="188">
        <f t="shared" si="18"/>
        <v>4950050.5739027746</v>
      </c>
      <c r="P50" s="188">
        <f t="shared" si="18"/>
        <v>4950050.5739027746</v>
      </c>
      <c r="Q50" s="188">
        <f t="shared" si="18"/>
        <v>5049051.5853808299</v>
      </c>
      <c r="R50" s="188">
        <f t="shared" si="18"/>
        <v>5049051.5853808299</v>
      </c>
      <c r="S50" s="188">
        <f t="shared" si="18"/>
        <v>5150032.6170884473</v>
      </c>
      <c r="T50" s="188">
        <f t="shared" si="18"/>
        <v>5150032.6170884473</v>
      </c>
      <c r="U50" s="188">
        <f t="shared" si="18"/>
        <v>5253033.2694302164</v>
      </c>
      <c r="V50" s="188">
        <f t="shared" si="18"/>
        <v>5253033.2694302164</v>
      </c>
      <c r="W50" s="188">
        <f t="shared" si="18"/>
        <v>5358093.934818821</v>
      </c>
      <c r="X50" s="188">
        <f t="shared" si="18"/>
        <v>5358093.934818821</v>
      </c>
      <c r="Y50" s="188">
        <f t="shared" si="18"/>
        <v>5465255.8135151975</v>
      </c>
      <c r="Z50" s="188">
        <f t="shared" si="18"/>
        <v>5465255.8135151975</v>
      </c>
      <c r="AA50" s="188">
        <f t="shared" si="18"/>
        <v>5574560.9297855012</v>
      </c>
      <c r="AB50" s="188">
        <f t="shared" si="18"/>
        <v>5574560.9297855012</v>
      </c>
      <c r="AC50" s="188">
        <f t="shared" si="18"/>
        <v>5686052.1483812118</v>
      </c>
      <c r="AD50" s="188">
        <f t="shared" si="18"/>
        <v>5686052.1483812118</v>
      </c>
      <c r="AE50" s="188">
        <f t="shared" si="18"/>
        <v>5799773.1913488349</v>
      </c>
      <c r="AF50" s="188">
        <f t="shared" si="18"/>
        <v>5799773.1913488349</v>
      </c>
      <c r="AG50" s="188">
        <f t="shared" si="18"/>
        <v>5915768.6551758125</v>
      </c>
    </row>
    <row r="51" spans="2:33" x14ac:dyDescent="0.2">
      <c r="B51" s="3" t="s">
        <v>60</v>
      </c>
      <c r="C51" s="183">
        <f t="shared" si="17"/>
        <v>31284000</v>
      </c>
      <c r="D51" s="183">
        <f>D5</f>
        <v>0</v>
      </c>
      <c r="E51" s="183">
        <f t="shared" ref="E51:H51" si="19">E5</f>
        <v>0</v>
      </c>
      <c r="F51" s="183">
        <f t="shared" si="19"/>
        <v>20856000</v>
      </c>
      <c r="G51" s="183">
        <f t="shared" si="19"/>
        <v>10428000</v>
      </c>
      <c r="H51" s="183">
        <f t="shared" si="19"/>
        <v>0</v>
      </c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</row>
    <row r="52" spans="2:33" x14ac:dyDescent="0.2">
      <c r="B52" s="128" t="s">
        <v>246</v>
      </c>
      <c r="C52" s="218">
        <f t="shared" si="17"/>
        <v>274441772.41404486</v>
      </c>
      <c r="D52" s="218">
        <f>'03 Prevádzkové výdavky-zánovné'!D21</f>
        <v>4599498.7706820788</v>
      </c>
      <c r="E52" s="218">
        <f>'03 Prevádzkové výdavky-zánovné'!E21</f>
        <v>4807184.9321360365</v>
      </c>
      <c r="F52" s="218">
        <f>'03 Prevádzkové výdavky-zánovné'!F21</f>
        <v>6882661.6793149905</v>
      </c>
      <c r="G52" s="218">
        <f>'03 Prevádzkové výdavky-zánovné'!G21</f>
        <v>7427047.6810656935</v>
      </c>
      <c r="H52" s="218">
        <f>'03 Prevádzkové výdavky-zánovné'!H21</f>
        <v>7520477.1027379576</v>
      </c>
      <c r="I52" s="218">
        <f>'03 Prevádzkové výdavky-zánovné'!I21</f>
        <v>7615945.0716675967</v>
      </c>
      <c r="J52" s="218">
        <f>'03 Prevádzkové výdavky-zánovné'!J21</f>
        <v>7713496.0671508135</v>
      </c>
      <c r="K52" s="218">
        <f>'03 Prevádzkové výdavky-zánovné'!K21</f>
        <v>7813175.5389826708</v>
      </c>
      <c r="L52" s="218">
        <f>'03 Prevádzkové výdavky-zánovné'!L21</f>
        <v>7915029.9286325164</v>
      </c>
      <c r="M52" s="218">
        <f>'03 Prevádzkové výdavky-zánovné'!M21</f>
        <v>8019106.6908814441</v>
      </c>
      <c r="N52" s="218">
        <f>'03 Prevádzkové výdavky-zánovné'!N21</f>
        <v>8125454.3159318473</v>
      </c>
      <c r="O52" s="218">
        <f>'03 Prevádzkové výdavky-zánovné'!O21</f>
        <v>8234122.3519994076</v>
      </c>
      <c r="P52" s="218">
        <f>'03 Prevádzkové výdavky-zánovné'!P21</f>
        <v>8345161.4283979991</v>
      </c>
      <c r="Q52" s="218">
        <f>'03 Prevádzkové výdavky-zánovné'!Q21</f>
        <v>8458623.2791282982</v>
      </c>
      <c r="R52" s="218">
        <f>'03 Prevádzkové výdavky-zánovné'!R21</f>
        <v>9654560.7669810727</v>
      </c>
      <c r="S52" s="218">
        <f>'03 Prevádzkové výdavky-zánovné'!S21</f>
        <v>9233027.9081663713</v>
      </c>
      <c r="T52" s="218">
        <f>'03 Prevádzkové výdavky-zánovné'!T21</f>
        <v>8814079.8974801265</v>
      </c>
      <c r="U52" s="218">
        <f>'03 Prevádzkové výdavky-zánovné'!U21</f>
        <v>8937773.134019848</v>
      </c>
      <c r="V52" s="218">
        <f>'03 Prevádzkové výdavky-zánovné'!V21</f>
        <v>9064165.247461414</v>
      </c>
      <c r="W52" s="218">
        <f>'03 Prevádzkové výdavky-zánovné'!W21</f>
        <v>9193315.1249092035</v>
      </c>
      <c r="X52" s="218">
        <f>'03 Prevádzkové výdavky-zánovné'!X21</f>
        <v>20245282.938332081</v>
      </c>
      <c r="Y52" s="218">
        <f>'03 Prevádzkové výdavky-zánovné'!Y21</f>
        <v>14920130.17259798</v>
      </c>
      <c r="Z52" s="218">
        <f>'03 Prevádzkové výdavky-zánovné'!Z21</f>
        <v>9597919.6541202292</v>
      </c>
      <c r="AA52" s="218">
        <f>'03 Prevádzkové výdavky-zánovné'!AA21</f>
        <v>9738715.5801288635</v>
      </c>
      <c r="AB52" s="218">
        <f>'03 Prevádzkové výdavky-zánovné'!AB21</f>
        <v>9882583.5485806242</v>
      </c>
      <c r="AC52" s="218">
        <f>'03 Prevádzkové výdavky-zánovné'!AC21</f>
        <v>10029590.588721607</v>
      </c>
      <c r="AD52" s="218">
        <f>'03 Prevádzkové výdavky-zánovné'!AD21</f>
        <v>10179805.192316696</v>
      </c>
      <c r="AE52" s="218">
        <f>'03 Prevádzkové výdavky-zánovné'!AE21</f>
        <v>10333297.345560446</v>
      </c>
      <c r="AF52" s="218">
        <f>'03 Prevádzkové výdavky-zánovné'!AF21</f>
        <v>10490138.56168421</v>
      </c>
      <c r="AG52" s="218">
        <f>'03 Prevádzkové výdavky-zánovné'!AG21</f>
        <v>10650401.91427473</v>
      </c>
    </row>
    <row r="53" spans="2:33" x14ac:dyDescent="0.2">
      <c r="B53" s="3" t="s">
        <v>232</v>
      </c>
      <c r="C53" s="183">
        <f t="shared" si="17"/>
        <v>35490876.795000002</v>
      </c>
      <c r="D53" s="183">
        <f>D20</f>
        <v>0</v>
      </c>
      <c r="E53" s="183">
        <f t="shared" ref="E53:AG53" si="20">E20</f>
        <v>0</v>
      </c>
      <c r="F53" s="183">
        <f t="shared" si="20"/>
        <v>61525.200000000004</v>
      </c>
      <c r="G53" s="183">
        <f t="shared" si="20"/>
        <v>3719432.9699999997</v>
      </c>
      <c r="H53" s="183">
        <f t="shared" si="20"/>
        <v>5436508.0707142856</v>
      </c>
      <c r="I53" s="183">
        <f t="shared" si="20"/>
        <v>5274290.5992857143</v>
      </c>
      <c r="J53" s="183">
        <f t="shared" si="20"/>
        <v>5112073.1278571431</v>
      </c>
      <c r="K53" s="183">
        <f t="shared" si="20"/>
        <v>4949855.6564285718</v>
      </c>
      <c r="L53" s="183">
        <f t="shared" si="20"/>
        <v>4787638.1850000005</v>
      </c>
      <c r="M53" s="183">
        <f t="shared" si="20"/>
        <v>4625420.7135714293</v>
      </c>
      <c r="N53" s="183">
        <f t="shared" si="20"/>
        <v>1524132.2721428571</v>
      </c>
      <c r="O53" s="183">
        <f t="shared" si="20"/>
        <v>0</v>
      </c>
      <c r="P53" s="183">
        <f t="shared" si="20"/>
        <v>0</v>
      </c>
      <c r="Q53" s="183">
        <f t="shared" si="20"/>
        <v>0</v>
      </c>
      <c r="R53" s="183">
        <f t="shared" si="20"/>
        <v>0</v>
      </c>
      <c r="S53" s="183">
        <f t="shared" si="20"/>
        <v>0</v>
      </c>
      <c r="T53" s="183">
        <f t="shared" si="20"/>
        <v>0</v>
      </c>
      <c r="U53" s="183">
        <f t="shared" si="20"/>
        <v>0</v>
      </c>
      <c r="V53" s="183">
        <f t="shared" si="20"/>
        <v>0</v>
      </c>
      <c r="W53" s="183">
        <f t="shared" si="20"/>
        <v>0</v>
      </c>
      <c r="X53" s="183">
        <f t="shared" si="20"/>
        <v>0</v>
      </c>
      <c r="Y53" s="183">
        <f t="shared" si="20"/>
        <v>0</v>
      </c>
      <c r="Z53" s="183">
        <f t="shared" si="20"/>
        <v>0</v>
      </c>
      <c r="AA53" s="183">
        <f t="shared" si="20"/>
        <v>0</v>
      </c>
      <c r="AB53" s="183">
        <f t="shared" si="20"/>
        <v>0</v>
      </c>
      <c r="AC53" s="183">
        <f t="shared" si="20"/>
        <v>0</v>
      </c>
      <c r="AD53" s="183">
        <f t="shared" si="20"/>
        <v>0</v>
      </c>
      <c r="AE53" s="183">
        <f t="shared" si="20"/>
        <v>0</v>
      </c>
      <c r="AF53" s="183">
        <f t="shared" si="20"/>
        <v>0</v>
      </c>
      <c r="AG53" s="183">
        <f t="shared" si="20"/>
        <v>0</v>
      </c>
    </row>
    <row r="54" spans="2:33" x14ac:dyDescent="0.2">
      <c r="B54" s="4" t="s">
        <v>23</v>
      </c>
      <c r="C54" s="188">
        <f t="shared" si="17"/>
        <v>341216649.20904487</v>
      </c>
      <c r="D54" s="188">
        <f>SUM(D51:D53)</f>
        <v>4599498.7706820788</v>
      </c>
      <c r="E54" s="188">
        <f t="shared" ref="E54:AG54" si="21">SUM(E51:E53)</f>
        <v>4807184.9321360365</v>
      </c>
      <c r="F54" s="188">
        <f t="shared" si="21"/>
        <v>27800186.879314989</v>
      </c>
      <c r="G54" s="188">
        <f t="shared" si="21"/>
        <v>21574480.651065692</v>
      </c>
      <c r="H54" s="188">
        <f t="shared" si="21"/>
        <v>12956985.173452243</v>
      </c>
      <c r="I54" s="188">
        <f t="shared" si="21"/>
        <v>12890235.670953311</v>
      </c>
      <c r="J54" s="188">
        <f t="shared" si="21"/>
        <v>12825569.195007958</v>
      </c>
      <c r="K54" s="188">
        <f t="shared" si="21"/>
        <v>12763031.195411243</v>
      </c>
      <c r="L54" s="188">
        <f t="shared" si="21"/>
        <v>12702668.113632517</v>
      </c>
      <c r="M54" s="188">
        <f t="shared" si="21"/>
        <v>12644527.404452873</v>
      </c>
      <c r="N54" s="188">
        <f t="shared" si="21"/>
        <v>9649586.5880747046</v>
      </c>
      <c r="O54" s="188">
        <f t="shared" si="21"/>
        <v>8234122.3519994076</v>
      </c>
      <c r="P54" s="188">
        <f t="shared" si="21"/>
        <v>8345161.4283979991</v>
      </c>
      <c r="Q54" s="188">
        <f t="shared" si="21"/>
        <v>8458623.2791282982</v>
      </c>
      <c r="R54" s="188">
        <f t="shared" si="21"/>
        <v>9654560.7669810727</v>
      </c>
      <c r="S54" s="188">
        <f t="shared" si="21"/>
        <v>9233027.9081663713</v>
      </c>
      <c r="T54" s="188">
        <f t="shared" si="21"/>
        <v>8814079.8974801265</v>
      </c>
      <c r="U54" s="188">
        <f t="shared" si="21"/>
        <v>8937773.134019848</v>
      </c>
      <c r="V54" s="188">
        <f t="shared" si="21"/>
        <v>9064165.247461414</v>
      </c>
      <c r="W54" s="188">
        <f t="shared" si="21"/>
        <v>9193315.1249092035</v>
      </c>
      <c r="X54" s="188">
        <f t="shared" si="21"/>
        <v>20245282.938332081</v>
      </c>
      <c r="Y54" s="188">
        <f t="shared" si="21"/>
        <v>14920130.17259798</v>
      </c>
      <c r="Z54" s="188">
        <f t="shared" si="21"/>
        <v>9597919.6541202292</v>
      </c>
      <c r="AA54" s="188">
        <f t="shared" si="21"/>
        <v>9738715.5801288635</v>
      </c>
      <c r="AB54" s="188">
        <f t="shared" si="21"/>
        <v>9882583.5485806242</v>
      </c>
      <c r="AC54" s="188">
        <f t="shared" si="21"/>
        <v>10029590.588721607</v>
      </c>
      <c r="AD54" s="188">
        <f t="shared" si="21"/>
        <v>10179805.192316696</v>
      </c>
      <c r="AE54" s="188">
        <f t="shared" si="21"/>
        <v>10333297.345560446</v>
      </c>
      <c r="AF54" s="188">
        <f t="shared" si="21"/>
        <v>10490138.56168421</v>
      </c>
      <c r="AG54" s="188">
        <f t="shared" si="21"/>
        <v>10650401.91427473</v>
      </c>
    </row>
    <row r="55" spans="2:33" x14ac:dyDescent="0.2">
      <c r="B55" s="127" t="s">
        <v>46</v>
      </c>
      <c r="C55" s="216">
        <f t="shared" si="17"/>
        <v>-157464946.89276791</v>
      </c>
      <c r="D55" s="216">
        <f>D50-D54</f>
        <v>-771539.93068207847</v>
      </c>
      <c r="E55" s="216">
        <f t="shared" ref="E55:AG55" si="22">E50-E54</f>
        <v>-902666.91533603612</v>
      </c>
      <c r="F55" s="216">
        <f t="shared" si="22"/>
        <v>-2393437.4625949897</v>
      </c>
      <c r="G55" s="216">
        <f t="shared" si="22"/>
        <v>-6573399.0697656926</v>
      </c>
      <c r="H55" s="216">
        <f t="shared" si="22"/>
        <v>-8383903.5921522435</v>
      </c>
      <c r="I55" s="216">
        <f t="shared" si="22"/>
        <v>-8225692.4580273107</v>
      </c>
      <c r="J55" s="216">
        <f t="shared" si="22"/>
        <v>-8161025.9820819572</v>
      </c>
      <c r="K55" s="216">
        <f t="shared" si="22"/>
        <v>-8005197.1182267228</v>
      </c>
      <c r="L55" s="216">
        <f t="shared" si="22"/>
        <v>-7944834.0364479972</v>
      </c>
      <c r="M55" s="216">
        <f t="shared" si="22"/>
        <v>-7791536.6457246635</v>
      </c>
      <c r="N55" s="216">
        <f t="shared" si="22"/>
        <v>-4796595.8293464947</v>
      </c>
      <c r="O55" s="216">
        <f t="shared" si="22"/>
        <v>-3284071.778096633</v>
      </c>
      <c r="P55" s="216">
        <f t="shared" si="22"/>
        <v>-3395110.8544952245</v>
      </c>
      <c r="Q55" s="216">
        <f t="shared" si="22"/>
        <v>-3409571.6937474683</v>
      </c>
      <c r="R55" s="216">
        <f t="shared" si="22"/>
        <v>-4605509.1816002429</v>
      </c>
      <c r="S55" s="216">
        <f t="shared" si="22"/>
        <v>-4082995.291077924</v>
      </c>
      <c r="T55" s="216">
        <f t="shared" si="22"/>
        <v>-3664047.2803916791</v>
      </c>
      <c r="U55" s="216">
        <f t="shared" si="22"/>
        <v>-3684739.8645896316</v>
      </c>
      <c r="V55" s="216">
        <f t="shared" si="22"/>
        <v>-3811131.9780311976</v>
      </c>
      <c r="W55" s="216">
        <f t="shared" si="22"/>
        <v>-3835221.1900903825</v>
      </c>
      <c r="X55" s="216">
        <f t="shared" si="22"/>
        <v>-14887189.00351326</v>
      </c>
      <c r="Y55" s="216">
        <f t="shared" si="22"/>
        <v>-9454874.3590827826</v>
      </c>
      <c r="Z55" s="216">
        <f t="shared" si="22"/>
        <v>-4132663.8406050317</v>
      </c>
      <c r="AA55" s="216">
        <f t="shared" si="22"/>
        <v>-4164154.6503433622</v>
      </c>
      <c r="AB55" s="216">
        <f t="shared" si="22"/>
        <v>-4308022.618795123</v>
      </c>
      <c r="AC55" s="216">
        <f t="shared" si="22"/>
        <v>-4343538.4403403951</v>
      </c>
      <c r="AD55" s="216">
        <f t="shared" si="22"/>
        <v>-4493753.0439354843</v>
      </c>
      <c r="AE55" s="216">
        <f t="shared" si="22"/>
        <v>-4533524.1542116115</v>
      </c>
      <c r="AF55" s="216">
        <f t="shared" si="22"/>
        <v>-4690365.370335375</v>
      </c>
      <c r="AG55" s="216">
        <f t="shared" si="22"/>
        <v>-4734633.2590989172</v>
      </c>
    </row>
    <row r="56" spans="2:33" x14ac:dyDescent="0.2">
      <c r="B56" s="3" t="s">
        <v>24</v>
      </c>
      <c r="C56" s="188"/>
      <c r="D56" s="183">
        <f>D55</f>
        <v>-771539.93068207847</v>
      </c>
      <c r="E56" s="183">
        <f>D56+E55</f>
        <v>-1674206.8460181146</v>
      </c>
      <c r="F56" s="183">
        <f t="shared" ref="F56:AG56" si="23">E56+F55</f>
        <v>-4067644.3086131043</v>
      </c>
      <c r="G56" s="183">
        <f t="shared" si="23"/>
        <v>-10641043.378378797</v>
      </c>
      <c r="H56" s="183">
        <f t="shared" si="23"/>
        <v>-19024946.970531039</v>
      </c>
      <c r="I56" s="183">
        <f t="shared" si="23"/>
        <v>-27250639.42855835</v>
      </c>
      <c r="J56" s="183">
        <f t="shared" si="23"/>
        <v>-35411665.410640307</v>
      </c>
      <c r="K56" s="183">
        <f t="shared" si="23"/>
        <v>-43416862.528867029</v>
      </c>
      <c r="L56" s="183">
        <f t="shared" si="23"/>
        <v>-51361696.565315023</v>
      </c>
      <c r="M56" s="183">
        <f t="shared" si="23"/>
        <v>-59153233.211039685</v>
      </c>
      <c r="N56" s="183">
        <f t="shared" si="23"/>
        <v>-63949829.040386178</v>
      </c>
      <c r="O56" s="183">
        <f t="shared" si="23"/>
        <v>-67233900.818482816</v>
      </c>
      <c r="P56" s="183">
        <f t="shared" si="23"/>
        <v>-70629011.672978044</v>
      </c>
      <c r="Q56" s="183">
        <f t="shared" si="23"/>
        <v>-74038583.366725504</v>
      </c>
      <c r="R56" s="183">
        <f t="shared" si="23"/>
        <v>-78644092.548325747</v>
      </c>
      <c r="S56" s="183">
        <f t="shared" si="23"/>
        <v>-82727087.839403674</v>
      </c>
      <c r="T56" s="183">
        <f t="shared" si="23"/>
        <v>-86391135.119795352</v>
      </c>
      <c r="U56" s="183">
        <f t="shared" si="23"/>
        <v>-90075874.984384984</v>
      </c>
      <c r="V56" s="183">
        <f t="shared" si="23"/>
        <v>-93887006.962416187</v>
      </c>
      <c r="W56" s="183">
        <f t="shared" si="23"/>
        <v>-97722228.152506575</v>
      </c>
      <c r="X56" s="183">
        <f t="shared" si="23"/>
        <v>-112609417.15601984</v>
      </c>
      <c r="Y56" s="183">
        <f t="shared" si="23"/>
        <v>-122064291.51510262</v>
      </c>
      <c r="Z56" s="183">
        <f t="shared" si="23"/>
        <v>-126196955.35570766</v>
      </c>
      <c r="AA56" s="183">
        <f t="shared" si="23"/>
        <v>-130361110.00605102</v>
      </c>
      <c r="AB56" s="183">
        <f t="shared" si="23"/>
        <v>-134669132.62484613</v>
      </c>
      <c r="AC56" s="183">
        <f t="shared" si="23"/>
        <v>-139012671.06518653</v>
      </c>
      <c r="AD56" s="183">
        <f t="shared" si="23"/>
        <v>-143506424.10912201</v>
      </c>
      <c r="AE56" s="183">
        <f t="shared" si="23"/>
        <v>-148039948.26333362</v>
      </c>
      <c r="AF56" s="183">
        <f t="shared" si="23"/>
        <v>-152730313.63366899</v>
      </c>
      <c r="AG56" s="183">
        <f t="shared" si="23"/>
        <v>-157464946.89276791</v>
      </c>
    </row>
    <row r="57" spans="2:33" x14ac:dyDescent="0.2">
      <c r="B57" s="3" t="s">
        <v>244</v>
      </c>
      <c r="C57" s="188">
        <f t="shared" ref="C57" si="24">SUM(D57:AG57)</f>
        <v>2424727439.7058549</v>
      </c>
      <c r="D57" s="186">
        <f>IF(D56&lt;0,-D56,0)</f>
        <v>771539.93068207847</v>
      </c>
      <c r="E57" s="186">
        <f t="shared" ref="E57:AG57" si="25">IF(E56&lt;0,-E56,0)</f>
        <v>1674206.8460181146</v>
      </c>
      <c r="F57" s="186">
        <f t="shared" si="25"/>
        <v>4067644.3086131043</v>
      </c>
      <c r="G57" s="186">
        <f t="shared" si="25"/>
        <v>10641043.378378797</v>
      </c>
      <c r="H57" s="186">
        <f t="shared" si="25"/>
        <v>19024946.970531039</v>
      </c>
      <c r="I57" s="186">
        <f t="shared" si="25"/>
        <v>27250639.42855835</v>
      </c>
      <c r="J57" s="186">
        <f t="shared" si="25"/>
        <v>35411665.410640307</v>
      </c>
      <c r="K57" s="186">
        <f t="shared" si="25"/>
        <v>43416862.528867029</v>
      </c>
      <c r="L57" s="186">
        <f t="shared" si="25"/>
        <v>51361696.565315023</v>
      </c>
      <c r="M57" s="186">
        <f t="shared" si="25"/>
        <v>59153233.211039685</v>
      </c>
      <c r="N57" s="186">
        <f t="shared" si="25"/>
        <v>63949829.040386178</v>
      </c>
      <c r="O57" s="186">
        <f t="shared" si="25"/>
        <v>67233900.818482816</v>
      </c>
      <c r="P57" s="186">
        <f t="shared" si="25"/>
        <v>70629011.672978044</v>
      </c>
      <c r="Q57" s="186">
        <f t="shared" si="25"/>
        <v>74038583.366725504</v>
      </c>
      <c r="R57" s="186">
        <f t="shared" si="25"/>
        <v>78644092.548325747</v>
      </c>
      <c r="S57" s="186">
        <f t="shared" si="25"/>
        <v>82727087.839403674</v>
      </c>
      <c r="T57" s="186">
        <f t="shared" si="25"/>
        <v>86391135.119795352</v>
      </c>
      <c r="U57" s="186">
        <f t="shared" si="25"/>
        <v>90075874.984384984</v>
      </c>
      <c r="V57" s="186">
        <f t="shared" si="25"/>
        <v>93887006.962416187</v>
      </c>
      <c r="W57" s="186">
        <f t="shared" si="25"/>
        <v>97722228.152506575</v>
      </c>
      <c r="X57" s="186">
        <f t="shared" si="25"/>
        <v>112609417.15601984</v>
      </c>
      <c r="Y57" s="186">
        <f t="shared" si="25"/>
        <v>122064291.51510262</v>
      </c>
      <c r="Z57" s="186">
        <f t="shared" si="25"/>
        <v>126196955.35570766</v>
      </c>
      <c r="AA57" s="186">
        <f t="shared" si="25"/>
        <v>130361110.00605102</v>
      </c>
      <c r="AB57" s="186">
        <f t="shared" si="25"/>
        <v>134669132.62484613</v>
      </c>
      <c r="AC57" s="186">
        <f t="shared" si="25"/>
        <v>139012671.06518653</v>
      </c>
      <c r="AD57" s="186">
        <f t="shared" si="25"/>
        <v>143506424.10912201</v>
      </c>
      <c r="AE57" s="186">
        <f t="shared" si="25"/>
        <v>148039948.26333362</v>
      </c>
      <c r="AF57" s="186">
        <f t="shared" si="25"/>
        <v>152730313.63366899</v>
      </c>
      <c r="AG57" s="186">
        <f t="shared" si="25"/>
        <v>157464946.89276791</v>
      </c>
    </row>
    <row r="58" spans="2:33" x14ac:dyDescent="0.2">
      <c r="B58" s="22" t="s">
        <v>245</v>
      </c>
      <c r="C58" s="217"/>
      <c r="D58" s="217">
        <f>D56+D57</f>
        <v>0</v>
      </c>
      <c r="E58" s="217">
        <f t="shared" ref="E58:AG58" si="26">E56+E57</f>
        <v>0</v>
      </c>
      <c r="F58" s="217">
        <f t="shared" si="26"/>
        <v>0</v>
      </c>
      <c r="G58" s="217">
        <f t="shared" si="26"/>
        <v>0</v>
      </c>
      <c r="H58" s="217">
        <f t="shared" si="26"/>
        <v>0</v>
      </c>
      <c r="I58" s="217">
        <f t="shared" si="26"/>
        <v>0</v>
      </c>
      <c r="J58" s="217">
        <f t="shared" si="26"/>
        <v>0</v>
      </c>
      <c r="K58" s="217">
        <f t="shared" si="26"/>
        <v>0</v>
      </c>
      <c r="L58" s="217">
        <f t="shared" si="26"/>
        <v>0</v>
      </c>
      <c r="M58" s="217">
        <f t="shared" si="26"/>
        <v>0</v>
      </c>
      <c r="N58" s="217">
        <f t="shared" si="26"/>
        <v>0</v>
      </c>
      <c r="O58" s="217">
        <f t="shared" si="26"/>
        <v>0</v>
      </c>
      <c r="P58" s="217">
        <f t="shared" si="26"/>
        <v>0</v>
      </c>
      <c r="Q58" s="217">
        <f t="shared" si="26"/>
        <v>0</v>
      </c>
      <c r="R58" s="217">
        <f t="shared" si="26"/>
        <v>0</v>
      </c>
      <c r="S58" s="217">
        <f t="shared" si="26"/>
        <v>0</v>
      </c>
      <c r="T58" s="217">
        <f t="shared" si="26"/>
        <v>0</v>
      </c>
      <c r="U58" s="217">
        <f t="shared" si="26"/>
        <v>0</v>
      </c>
      <c r="V58" s="217">
        <f t="shared" si="26"/>
        <v>0</v>
      </c>
      <c r="W58" s="217">
        <f t="shared" si="26"/>
        <v>0</v>
      </c>
      <c r="X58" s="217">
        <f t="shared" si="26"/>
        <v>0</v>
      </c>
      <c r="Y58" s="217">
        <f t="shared" si="26"/>
        <v>0</v>
      </c>
      <c r="Z58" s="217">
        <f t="shared" si="26"/>
        <v>0</v>
      </c>
      <c r="AA58" s="217">
        <f t="shared" si="26"/>
        <v>0</v>
      </c>
      <c r="AB58" s="217">
        <f t="shared" si="26"/>
        <v>0</v>
      </c>
      <c r="AC58" s="217">
        <f t="shared" si="26"/>
        <v>0</v>
      </c>
      <c r="AD58" s="217">
        <f t="shared" si="26"/>
        <v>0</v>
      </c>
      <c r="AE58" s="217">
        <f t="shared" si="26"/>
        <v>0</v>
      </c>
      <c r="AF58" s="217">
        <f t="shared" si="26"/>
        <v>0</v>
      </c>
      <c r="AG58" s="217">
        <f t="shared" si="26"/>
        <v>0</v>
      </c>
    </row>
    <row r="60" spans="2:33" x14ac:dyDescent="0.2">
      <c r="B60" s="1" t="s">
        <v>273</v>
      </c>
    </row>
  </sheetData>
  <sheetProtection algorithmName="SHA-512" hashValue="h9nDt3/M3w4L8y+jnxnSeBMuZCgUtuV2YVv+GEkRVqDac/un7JhKH/lrJT2bs3yfIqkysPTbLkDAgtPbTGSqHw==" saltValue="8bhFiqZLS6ewX5d/AdSo5Q==" spinCount="100000" sheet="1" formatCells="0" formatColumns="0" formatRows="0" insertColumns="0" insertRows="0" insertHyperlinks="0" deleteColumns="0" deleteRows="0" sort="0" autoFilter="0" pivotTables="0"/>
  <conditionalFormatting sqref="D40:AG40">
    <cfRule type="cellIs" dxfId="5" priority="4" stopIfTrue="1" operator="lessThan">
      <formula>0</formula>
    </cfRule>
  </conditionalFormatting>
  <conditionalFormatting sqref="D42:AG42">
    <cfRule type="cellIs" dxfId="4" priority="3" stopIfTrue="1" operator="lessThan">
      <formula>0</formula>
    </cfRule>
  </conditionalFormatting>
  <conditionalFormatting sqref="D56:AG56">
    <cfRule type="cellIs" dxfId="3" priority="2" stopIfTrue="1" operator="lessThan">
      <formula>0</formula>
    </cfRule>
  </conditionalFormatting>
  <conditionalFormatting sqref="D58:AG58">
    <cfRule type="cellIs" dxfId="2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  <ignoredErrors>
    <ignoredError sqref="C12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1781-4118-A54D-9A42-4D5C931F80F4}">
  <sheetPr>
    <tabColor rgb="FFFFFF00"/>
  </sheetPr>
  <dimension ref="B1:AT58"/>
  <sheetViews>
    <sheetView topLeftCell="D1" workbookViewId="0">
      <pane ySplit="6" topLeftCell="A11" activePane="bottomLeft" state="frozen"/>
      <selection pane="bottomLeft" activeCell="L29" sqref="L29"/>
    </sheetView>
  </sheetViews>
  <sheetFormatPr defaultColWidth="10.7109375" defaultRowHeight="15.75" outlineLevelRow="1" x14ac:dyDescent="0.25"/>
  <cols>
    <col min="1" max="1" width="3.140625" style="335" customWidth="1"/>
    <col min="2" max="2" width="47" style="335" customWidth="1"/>
    <col min="3" max="3" width="35" style="335" customWidth="1"/>
    <col min="4" max="4" width="47.42578125" style="335" customWidth="1"/>
    <col min="5" max="5" width="44.28515625" style="335" bestFit="1" customWidth="1"/>
    <col min="6" max="6" width="38.42578125" style="335" bestFit="1" customWidth="1"/>
    <col min="7" max="11" width="10.7109375" style="335"/>
    <col min="12" max="12" width="12.28515625" style="335" bestFit="1" customWidth="1"/>
    <col min="13" max="16384" width="10.7109375" style="335"/>
  </cols>
  <sheetData>
    <row r="1" spans="2:46" x14ac:dyDescent="0.25">
      <c r="B1" s="557" t="s">
        <v>454</v>
      </c>
      <c r="C1" s="557"/>
      <c r="D1" s="557"/>
      <c r="E1" s="557"/>
      <c r="F1" s="557"/>
      <c r="G1" s="334">
        <v>1</v>
      </c>
      <c r="H1" s="334">
        <v>2</v>
      </c>
      <c r="I1" s="334">
        <v>3</v>
      </c>
      <c r="J1" s="334">
        <v>4</v>
      </c>
      <c r="K1" s="334">
        <v>5</v>
      </c>
      <c r="L1" s="334">
        <v>6</v>
      </c>
      <c r="M1" s="334">
        <v>7</v>
      </c>
      <c r="N1" s="334">
        <v>8</v>
      </c>
      <c r="O1" s="334">
        <v>9</v>
      </c>
      <c r="P1" s="334">
        <v>10</v>
      </c>
      <c r="Q1" s="334">
        <v>11</v>
      </c>
      <c r="R1" s="334">
        <v>12</v>
      </c>
      <c r="S1" s="334">
        <v>13</v>
      </c>
      <c r="T1" s="334">
        <v>14</v>
      </c>
      <c r="U1" s="334">
        <v>15</v>
      </c>
      <c r="V1" s="334">
        <v>16</v>
      </c>
      <c r="W1" s="334">
        <v>17</v>
      </c>
      <c r="X1" s="334">
        <v>18</v>
      </c>
      <c r="Y1" s="334">
        <v>19</v>
      </c>
      <c r="Z1" s="334">
        <v>20</v>
      </c>
      <c r="AA1" s="334">
        <v>21</v>
      </c>
      <c r="AB1" s="334">
        <v>22</v>
      </c>
      <c r="AC1" s="334">
        <v>23</v>
      </c>
      <c r="AD1" s="334">
        <v>24</v>
      </c>
      <c r="AE1" s="334">
        <v>25</v>
      </c>
      <c r="AF1" s="334">
        <v>26</v>
      </c>
      <c r="AG1" s="334">
        <v>27</v>
      </c>
      <c r="AH1" s="334">
        <v>28</v>
      </c>
      <c r="AI1" s="334">
        <v>29</v>
      </c>
      <c r="AJ1" s="334">
        <v>30</v>
      </c>
      <c r="AK1" s="334">
        <v>31</v>
      </c>
      <c r="AL1" s="334">
        <v>32</v>
      </c>
      <c r="AM1" s="334">
        <v>33</v>
      </c>
      <c r="AN1" s="334">
        <v>34</v>
      </c>
      <c r="AO1" s="334">
        <v>35</v>
      </c>
      <c r="AP1" s="334">
        <v>36</v>
      </c>
      <c r="AQ1" s="334">
        <v>37</v>
      </c>
      <c r="AR1" s="334">
        <v>38</v>
      </c>
      <c r="AS1" s="334">
        <v>39</v>
      </c>
      <c r="AT1" s="334">
        <v>40</v>
      </c>
    </row>
    <row r="2" spans="2:46" ht="16.5" thickBot="1" x14ac:dyDescent="0.3">
      <c r="B2" s="336"/>
      <c r="C2" s="336"/>
      <c r="D2" s="336"/>
      <c r="E2" s="336"/>
      <c r="F2" s="336"/>
      <c r="G2" s="337">
        <v>2023</v>
      </c>
      <c r="H2" s="337">
        <f>G2+$G$1</f>
        <v>2024</v>
      </c>
      <c r="I2" s="337">
        <f t="shared" ref="I2:AT2" si="0">H2+$G$1</f>
        <v>2025</v>
      </c>
      <c r="J2" s="337">
        <f t="shared" si="0"/>
        <v>2026</v>
      </c>
      <c r="K2" s="337">
        <f t="shared" si="0"/>
        <v>2027</v>
      </c>
      <c r="L2" s="337">
        <f t="shared" si="0"/>
        <v>2028</v>
      </c>
      <c r="M2" s="337">
        <f t="shared" si="0"/>
        <v>2029</v>
      </c>
      <c r="N2" s="337">
        <f t="shared" si="0"/>
        <v>2030</v>
      </c>
      <c r="O2" s="337">
        <f t="shared" si="0"/>
        <v>2031</v>
      </c>
      <c r="P2" s="337">
        <f t="shared" si="0"/>
        <v>2032</v>
      </c>
      <c r="Q2" s="337">
        <f t="shared" si="0"/>
        <v>2033</v>
      </c>
      <c r="R2" s="337">
        <f t="shared" si="0"/>
        <v>2034</v>
      </c>
      <c r="S2" s="337">
        <f t="shared" si="0"/>
        <v>2035</v>
      </c>
      <c r="T2" s="337">
        <f t="shared" si="0"/>
        <v>2036</v>
      </c>
      <c r="U2" s="337">
        <f t="shared" si="0"/>
        <v>2037</v>
      </c>
      <c r="V2" s="337">
        <f t="shared" si="0"/>
        <v>2038</v>
      </c>
      <c r="W2" s="337">
        <f t="shared" si="0"/>
        <v>2039</v>
      </c>
      <c r="X2" s="337">
        <f t="shared" si="0"/>
        <v>2040</v>
      </c>
      <c r="Y2" s="337">
        <f t="shared" si="0"/>
        <v>2041</v>
      </c>
      <c r="Z2" s="337">
        <f t="shared" si="0"/>
        <v>2042</v>
      </c>
      <c r="AA2" s="337">
        <f t="shared" si="0"/>
        <v>2043</v>
      </c>
      <c r="AB2" s="337">
        <f t="shared" si="0"/>
        <v>2044</v>
      </c>
      <c r="AC2" s="337">
        <f t="shared" si="0"/>
        <v>2045</v>
      </c>
      <c r="AD2" s="337">
        <f t="shared" si="0"/>
        <v>2046</v>
      </c>
      <c r="AE2" s="337">
        <f t="shared" si="0"/>
        <v>2047</v>
      </c>
      <c r="AF2" s="337">
        <f t="shared" si="0"/>
        <v>2048</v>
      </c>
      <c r="AG2" s="337">
        <f t="shared" si="0"/>
        <v>2049</v>
      </c>
      <c r="AH2" s="337">
        <f t="shared" si="0"/>
        <v>2050</v>
      </c>
      <c r="AI2" s="337">
        <f t="shared" si="0"/>
        <v>2051</v>
      </c>
      <c r="AJ2" s="337">
        <f t="shared" si="0"/>
        <v>2052</v>
      </c>
      <c r="AK2" s="337">
        <f t="shared" si="0"/>
        <v>2053</v>
      </c>
      <c r="AL2" s="337">
        <f t="shared" si="0"/>
        <v>2054</v>
      </c>
      <c r="AM2" s="337">
        <f t="shared" si="0"/>
        <v>2055</v>
      </c>
      <c r="AN2" s="337">
        <f t="shared" si="0"/>
        <v>2056</v>
      </c>
      <c r="AO2" s="337">
        <f t="shared" si="0"/>
        <v>2057</v>
      </c>
      <c r="AP2" s="337">
        <f t="shared" si="0"/>
        <v>2058</v>
      </c>
      <c r="AQ2" s="337">
        <f t="shared" si="0"/>
        <v>2059</v>
      </c>
      <c r="AR2" s="337">
        <f t="shared" si="0"/>
        <v>2060</v>
      </c>
      <c r="AS2" s="337">
        <f t="shared" si="0"/>
        <v>2061</v>
      </c>
      <c r="AT2" s="337">
        <f t="shared" si="0"/>
        <v>2062</v>
      </c>
    </row>
    <row r="3" spans="2:46" ht="28.5" x14ac:dyDescent="0.25">
      <c r="B3" s="338" t="s">
        <v>455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1"/>
    </row>
    <row r="4" spans="2:46" x14ac:dyDescent="0.25">
      <c r="B4" s="342" t="s">
        <v>456</v>
      </c>
      <c r="C4" s="558" t="s">
        <v>457</v>
      </c>
      <c r="D4" s="559"/>
      <c r="E4" s="559"/>
      <c r="F4" s="560"/>
      <c r="G4" s="343">
        <f t="shared" ref="G4:AT4" si="1">G14</f>
        <v>0</v>
      </c>
      <c r="H4" s="343">
        <f t="shared" si="1"/>
        <v>0</v>
      </c>
      <c r="I4" s="343">
        <f t="shared" si="1"/>
        <v>1578.1604724829822</v>
      </c>
      <c r="J4" s="343">
        <f t="shared" si="1"/>
        <v>2369.3757780886394</v>
      </c>
      <c r="K4" s="343">
        <f t="shared" si="1"/>
        <v>2370.8877415167235</v>
      </c>
      <c r="L4" s="343">
        <f t="shared" si="1"/>
        <v>2371.7783292684735</v>
      </c>
      <c r="M4" s="343">
        <f t="shared" si="1"/>
        <v>2372.1814600466423</v>
      </c>
      <c r="N4" s="343">
        <f t="shared" si="1"/>
        <v>2372.0827132314262</v>
      </c>
      <c r="O4" s="343">
        <f t="shared" si="1"/>
        <v>2372.3875378674693</v>
      </c>
      <c r="P4" s="343">
        <f t="shared" si="1"/>
        <v>2372.2175392627405</v>
      </c>
      <c r="Q4" s="343">
        <f t="shared" si="1"/>
        <v>2371.7314928490337</v>
      </c>
      <c r="R4" s="343">
        <f t="shared" si="1"/>
        <v>2370.9905238367519</v>
      </c>
      <c r="S4" s="343">
        <f t="shared" si="1"/>
        <v>2370.0342127280901</v>
      </c>
      <c r="T4" s="343">
        <f t="shared" si="1"/>
        <v>2367.5104755442735</v>
      </c>
      <c r="U4" s="343">
        <f t="shared" si="1"/>
        <v>2363.4232833121455</v>
      </c>
      <c r="V4" s="343">
        <f t="shared" si="1"/>
        <v>2357.7797082018492</v>
      </c>
      <c r="W4" s="343">
        <f t="shared" si="1"/>
        <v>2350.5899035632501</v>
      </c>
      <c r="X4" s="343">
        <f t="shared" si="1"/>
        <v>2341.8670737791826</v>
      </c>
      <c r="Y4" s="343">
        <f t="shared" si="1"/>
        <v>2331.0294652227822</v>
      </c>
      <c r="Z4" s="343">
        <f t="shared" si="1"/>
        <v>2318.1047984375591</v>
      </c>
      <c r="AA4" s="343">
        <f t="shared" si="1"/>
        <v>2303.1264316803054</v>
      </c>
      <c r="AB4" s="343">
        <f t="shared" si="1"/>
        <v>2286.1332176626247</v>
      </c>
      <c r="AC4" s="343">
        <f t="shared" si="1"/>
        <v>2267.1693356360015</v>
      </c>
      <c r="AD4" s="343">
        <f t="shared" si="1"/>
        <v>2245.3768446655513</v>
      </c>
      <c r="AE4" s="343">
        <f t="shared" si="1"/>
        <v>2220.8366107781403</v>
      </c>
      <c r="AF4" s="343">
        <f t="shared" si="1"/>
        <v>2193.6396857465752</v>
      </c>
      <c r="AG4" s="343">
        <f t="shared" si="1"/>
        <v>2163.8867429293255</v>
      </c>
      <c r="AH4" s="344">
        <f t="shared" si="1"/>
        <v>2131.6874544306074</v>
      </c>
      <c r="AI4" s="344">
        <f t="shared" si="1"/>
        <v>2095.9591869020487</v>
      </c>
      <c r="AJ4" s="344">
        <f t="shared" si="1"/>
        <v>2056.888808694478</v>
      </c>
      <c r="AK4" s="344">
        <f t="shared" si="1"/>
        <v>2014.6792595742886</v>
      </c>
      <c r="AL4" s="344">
        <f t="shared" si="1"/>
        <v>1969.5477852658864</v>
      </c>
      <c r="AM4" s="344">
        <f t="shared" si="1"/>
        <v>1921.7240637701157</v>
      </c>
      <c r="AN4" s="344">
        <f t="shared" si="1"/>
        <v>1870.0177751120664</v>
      </c>
      <c r="AO4" s="344">
        <f t="shared" si="1"/>
        <v>1814.7946127748235</v>
      </c>
      <c r="AP4" s="344">
        <f t="shared" si="1"/>
        <v>1756.4390820779208</v>
      </c>
      <c r="AQ4" s="344">
        <f t="shared" si="1"/>
        <v>1695.3500066738957</v>
      </c>
      <c r="AR4" s="344">
        <f t="shared" si="1"/>
        <v>1631.9359562520358</v>
      </c>
      <c r="AS4" s="344">
        <f t="shared" si="1"/>
        <v>1566.6682793259429</v>
      </c>
      <c r="AT4" s="345">
        <f t="shared" si="1"/>
        <v>1499.954308081135</v>
      </c>
    </row>
    <row r="5" spans="2:46" ht="7.15" customHeight="1" x14ac:dyDescent="0.25">
      <c r="B5" s="346"/>
      <c r="C5" s="347"/>
      <c r="D5" s="348"/>
      <c r="E5" s="347"/>
      <c r="F5" s="349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50"/>
      <c r="AI5" s="350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2"/>
    </row>
    <row r="6" spans="2:46" ht="16.5" thickBot="1" x14ac:dyDescent="0.3">
      <c r="B6" s="353" t="s">
        <v>458</v>
      </c>
      <c r="C6" s="561" t="s">
        <v>457</v>
      </c>
      <c r="D6" s="562"/>
      <c r="E6" s="562"/>
      <c r="F6" s="563"/>
      <c r="G6" s="354">
        <f t="shared" ref="G6:AT6" si="2">G33</f>
        <v>34609.343092822819</v>
      </c>
      <c r="H6" s="354">
        <f t="shared" si="2"/>
        <v>34636.579964293007</v>
      </c>
      <c r="I6" s="354">
        <f t="shared" si="2"/>
        <v>34655.479781713257</v>
      </c>
      <c r="J6" s="354">
        <f t="shared" si="2"/>
        <v>34686.506870598125</v>
      </c>
      <c r="K6" s="354">
        <f t="shared" si="2"/>
        <v>34709.183881430305</v>
      </c>
      <c r="L6" s="354">
        <f t="shared" si="2"/>
        <v>34723.188669717441</v>
      </c>
      <c r="M6" s="354">
        <f t="shared" si="2"/>
        <v>34730.470630073942</v>
      </c>
      <c r="N6" s="354">
        <f t="shared" si="2"/>
        <v>34730.591745849924</v>
      </c>
      <c r="O6" s="354">
        <f t="shared" si="2"/>
        <v>34737.776975699715</v>
      </c>
      <c r="P6" s="354">
        <f t="shared" si="2"/>
        <v>34738.311501641707</v>
      </c>
      <c r="Q6" s="354">
        <f t="shared" si="2"/>
        <v>34734.455421666949</v>
      </c>
      <c r="R6" s="354">
        <f t="shared" si="2"/>
        <v>34726.848117775611</v>
      </c>
      <c r="S6" s="354">
        <f t="shared" si="2"/>
        <v>34716.081465554831</v>
      </c>
      <c r="T6" s="354">
        <f t="shared" si="2"/>
        <v>34682.351858434042</v>
      </c>
      <c r="U6" s="354">
        <f t="shared" si="2"/>
        <v>34625.711039120681</v>
      </c>
      <c r="V6" s="354">
        <f t="shared" si="2"/>
        <v>34546.256204779616</v>
      </c>
      <c r="W6" s="354">
        <f t="shared" si="2"/>
        <v>34444.129735754934</v>
      </c>
      <c r="X6" s="354">
        <f t="shared" si="2"/>
        <v>34319.518774921824</v>
      </c>
      <c r="Y6" s="354">
        <f t="shared" si="2"/>
        <v>34163.890745283999</v>
      </c>
      <c r="Z6" s="354">
        <f t="shared" si="2"/>
        <v>33977.643247695487</v>
      </c>
      <c r="AA6" s="354">
        <f t="shared" si="2"/>
        <v>33761.256670486553</v>
      </c>
      <c r="AB6" s="354">
        <f t="shared" si="2"/>
        <v>33515.292128095774</v>
      </c>
      <c r="AC6" s="354">
        <f t="shared" si="2"/>
        <v>33240.389037066408</v>
      </c>
      <c r="AD6" s="354">
        <f t="shared" si="2"/>
        <v>32923.9592620654</v>
      </c>
      <c r="AE6" s="354">
        <f t="shared" si="2"/>
        <v>32567.176961973917</v>
      </c>
      <c r="AF6" s="354">
        <f t="shared" si="2"/>
        <v>32171.366112236898</v>
      </c>
      <c r="AG6" s="354">
        <f t="shared" si="2"/>
        <v>31737.992300741036</v>
      </c>
      <c r="AH6" s="354">
        <f t="shared" si="2"/>
        <v>31268.653658380736</v>
      </c>
      <c r="AI6" s="354">
        <f t="shared" si="2"/>
        <v>30747.457939885975</v>
      </c>
      <c r="AJ6" s="355">
        <f t="shared" si="2"/>
        <v>30177.132108018515</v>
      </c>
      <c r="AK6" s="354">
        <f t="shared" si="2"/>
        <v>29560.639952949419</v>
      </c>
      <c r="AL6" s="355">
        <f t="shared" si="2"/>
        <v>28901.156297700581</v>
      </c>
      <c r="AM6" s="355">
        <f t="shared" si="2"/>
        <v>28202.039600892218</v>
      </c>
      <c r="AN6" s="355">
        <f t="shared" si="2"/>
        <v>27445.808603665897</v>
      </c>
      <c r="AO6" s="355">
        <f t="shared" si="2"/>
        <v>26637.814857821122</v>
      </c>
      <c r="AP6" s="355">
        <f t="shared" si="2"/>
        <v>25783.688069547006</v>
      </c>
      <c r="AQ6" s="355">
        <f t="shared" si="2"/>
        <v>24889.270262662139</v>
      </c>
      <c r="AR6" s="355">
        <f t="shared" si="2"/>
        <v>23960.548747915895</v>
      </c>
      <c r="AS6" s="355">
        <f t="shared" si="2"/>
        <v>23004.434908356598</v>
      </c>
      <c r="AT6" s="356">
        <f t="shared" si="2"/>
        <v>22026.902642513935</v>
      </c>
    </row>
    <row r="7" spans="2:46" s="336" customFormat="1" ht="15" customHeight="1" outlineLevel="1" x14ac:dyDescent="0.25">
      <c r="B7" s="564" t="s">
        <v>459</v>
      </c>
      <c r="C7" s="564"/>
      <c r="D7" s="357" t="str">
        <f>B36</f>
        <v>Humenné  &lt;=&gt;  Žilina &lt;=&gt;  Praha</v>
      </c>
      <c r="E7" s="565" t="s">
        <v>460</v>
      </c>
      <c r="F7" s="565"/>
      <c r="G7" s="400">
        <v>1.0008655353589482</v>
      </c>
      <c r="H7" s="400">
        <v>1.0006206755360705</v>
      </c>
      <c r="I7" s="400">
        <v>1.0004134849547293</v>
      </c>
      <c r="J7" s="400">
        <v>1.0009621620031963</v>
      </c>
      <c r="K7" s="400">
        <v>1.000767850633445</v>
      </c>
      <c r="L7" s="400">
        <v>1.0005390790227957</v>
      </c>
      <c r="M7" s="400">
        <v>1.000369106251521</v>
      </c>
      <c r="N7" s="400">
        <v>1.0001707443601806</v>
      </c>
      <c r="O7" s="400">
        <v>1.0004545840727908</v>
      </c>
      <c r="P7" s="400">
        <v>1.0002751574180817</v>
      </c>
      <c r="Q7" s="400">
        <v>1.0001587575612709</v>
      </c>
      <c r="R7" s="400">
        <v>1.0000463908667117</v>
      </c>
      <c r="S7" s="400">
        <v>0.99995341158466289</v>
      </c>
      <c r="T7" s="400">
        <v>0.99929161517029941</v>
      </c>
      <c r="U7" s="400">
        <v>0.99862981875593582</v>
      </c>
      <c r="V7" s="400">
        <v>0.99796802234157267</v>
      </c>
      <c r="W7" s="400">
        <v>0.99730622592720908</v>
      </c>
      <c r="X7" s="400">
        <v>0.9966444295128456</v>
      </c>
      <c r="Y7" s="400">
        <v>0.99572720353560207</v>
      </c>
      <c r="Z7" s="400">
        <v>0.9948099775583582</v>
      </c>
      <c r="AA7" s="400">
        <v>0.99389275158111456</v>
      </c>
      <c r="AB7" s="400">
        <v>0.9929755256038707</v>
      </c>
      <c r="AC7" s="400">
        <v>0.99205829962662706</v>
      </c>
      <c r="AD7" s="400">
        <v>0.99074076014344448</v>
      </c>
      <c r="AE7" s="400">
        <v>0.989423220660262</v>
      </c>
      <c r="AF7" s="400">
        <v>0.98810568117707953</v>
      </c>
      <c r="AG7" s="400">
        <v>0.98678814169389684</v>
      </c>
      <c r="AH7" s="400">
        <v>0.98547060221071436</v>
      </c>
      <c r="AI7" s="400">
        <v>0.9835896331782642</v>
      </c>
      <c r="AJ7" s="400">
        <v>0.9817086641458137</v>
      </c>
      <c r="AK7" s="400">
        <v>0.97982769511336354</v>
      </c>
      <c r="AL7" s="400">
        <v>0.97794672608091304</v>
      </c>
      <c r="AM7" s="400">
        <v>0.97606575704846288</v>
      </c>
      <c r="AN7" s="400">
        <v>0.9734401544504202</v>
      </c>
      <c r="AO7" s="400">
        <v>0.97081455185237775</v>
      </c>
      <c r="AP7" s="400">
        <v>0.96818894925433507</v>
      </c>
      <c r="AQ7" s="400">
        <v>0.9655633466562924</v>
      </c>
      <c r="AR7" s="400">
        <v>0.96293774405824972</v>
      </c>
      <c r="AS7" s="400">
        <v>0.96034745562297263</v>
      </c>
      <c r="AT7" s="400">
        <v>0.95775716718769555</v>
      </c>
    </row>
    <row r="8" spans="2:46" s="336" customFormat="1" ht="15" customHeight="1" outlineLevel="1" x14ac:dyDescent="0.25">
      <c r="B8" s="564"/>
      <c r="C8" s="564"/>
      <c r="D8" s="357" t="str">
        <f t="shared" ref="D8:D9" si="3">B37</f>
        <v xml:space="preserve">Prešov &lt;=&gt;  Košice &lt;=&gt;  Zvolen &lt;=&gt; Bratislava &lt;=&gt;  Praha </v>
      </c>
      <c r="E8" s="565"/>
      <c r="F8" s="565"/>
      <c r="G8" s="400">
        <v>1.0006867180645598</v>
      </c>
      <c r="H8" s="400">
        <v>1.0004070628723658</v>
      </c>
      <c r="I8" s="400">
        <v>1.000151756582109</v>
      </c>
      <c r="J8" s="400">
        <v>1.0003062858438223</v>
      </c>
      <c r="K8" s="400">
        <v>1.0000268809180859</v>
      </c>
      <c r="L8" s="400">
        <v>0.99978810663577045</v>
      </c>
      <c r="M8" s="400">
        <v>0.99958421674676501</v>
      </c>
      <c r="N8" s="400">
        <v>0.99939449075806364</v>
      </c>
      <c r="O8" s="400">
        <v>0.9994670942529954</v>
      </c>
      <c r="P8" s="400">
        <v>0.99930672530208986</v>
      </c>
      <c r="Q8" s="400">
        <v>0.99920123382117587</v>
      </c>
      <c r="R8" s="400">
        <v>0.9991177894827743</v>
      </c>
      <c r="S8" s="400">
        <v>0.9990388147300705</v>
      </c>
      <c r="T8" s="400">
        <v>0.99837762362082616</v>
      </c>
      <c r="U8" s="400">
        <v>0.99771643251158182</v>
      </c>
      <c r="V8" s="400">
        <v>0.9970552414023377</v>
      </c>
      <c r="W8" s="400">
        <v>0.99639405029309336</v>
      </c>
      <c r="X8" s="400">
        <v>0.99573285918384891</v>
      </c>
      <c r="Y8" s="400">
        <v>0.99481647213768365</v>
      </c>
      <c r="Z8" s="400">
        <v>0.99390008509151795</v>
      </c>
      <c r="AA8" s="400">
        <v>0.99298369804535247</v>
      </c>
      <c r="AB8" s="400">
        <v>0.99206731099918688</v>
      </c>
      <c r="AC8" s="400">
        <v>0.9911509239530214</v>
      </c>
      <c r="AD8" s="400">
        <v>0.98983458954344838</v>
      </c>
      <c r="AE8" s="400">
        <v>0.98851825513387548</v>
      </c>
      <c r="AF8" s="400">
        <v>0.98720192072430268</v>
      </c>
      <c r="AG8" s="400">
        <v>0.98588558631472967</v>
      </c>
      <c r="AH8" s="400">
        <v>0.98456925190515665</v>
      </c>
      <c r="AI8" s="400">
        <v>0.98269000328121814</v>
      </c>
      <c r="AJ8" s="400">
        <v>0.98081075465727974</v>
      </c>
      <c r="AK8" s="400">
        <v>0.97893150603334123</v>
      </c>
      <c r="AL8" s="400">
        <v>0.97705225740940271</v>
      </c>
      <c r="AM8" s="400">
        <v>0.9751730087854642</v>
      </c>
      <c r="AN8" s="400">
        <v>0.97254980766718024</v>
      </c>
      <c r="AO8" s="400">
        <v>0.96992660654889618</v>
      </c>
      <c r="AP8" s="400">
        <v>0.96730340543061244</v>
      </c>
      <c r="AQ8" s="400">
        <v>0.96468020431232837</v>
      </c>
      <c r="AR8" s="400">
        <v>0.96205700319404441</v>
      </c>
      <c r="AS8" s="400">
        <v>0.95946908393879904</v>
      </c>
      <c r="AT8" s="400">
        <v>0.95688116468355366</v>
      </c>
    </row>
    <row r="9" spans="2:46" s="336" customFormat="1" ht="15" customHeight="1" outlineLevel="1" x14ac:dyDescent="0.25">
      <c r="B9" s="564"/>
      <c r="C9" s="564"/>
      <c r="D9" s="357" t="str">
        <f t="shared" si="3"/>
        <v xml:space="preserve">Humenné &lt;=&gt;   Košice &lt;=&gt;   Žilina &lt;=&gt;  Bratislava </v>
      </c>
      <c r="E9" s="565"/>
      <c r="F9" s="565"/>
      <c r="G9" s="400">
        <v>1.0013059854002668</v>
      </c>
      <c r="H9" s="400">
        <v>1.0010170800268974</v>
      </c>
      <c r="I9" s="400">
        <v>1.0007458569888212</v>
      </c>
      <c r="J9" s="400">
        <v>1.0009431692654858</v>
      </c>
      <c r="K9" s="400">
        <v>1.0006638517807558</v>
      </c>
      <c r="L9" s="400">
        <v>1.000390867533671</v>
      </c>
      <c r="M9" s="400">
        <v>1.0001762878625273</v>
      </c>
      <c r="N9" s="400">
        <v>0.99995937003931534</v>
      </c>
      <c r="O9" s="400">
        <v>1.0001108360598401</v>
      </c>
      <c r="P9" s="400">
        <v>0.99990181950119672</v>
      </c>
      <c r="Q9" s="400">
        <v>0.99976181254122432</v>
      </c>
      <c r="R9" s="400">
        <v>0.99965315266225829</v>
      </c>
      <c r="S9" s="400">
        <v>0.99956155546620451</v>
      </c>
      <c r="T9" s="400">
        <v>0.99890001839289744</v>
      </c>
      <c r="U9" s="400">
        <v>0.99823848131959025</v>
      </c>
      <c r="V9" s="400">
        <v>0.9975769442462834</v>
      </c>
      <c r="W9" s="400">
        <v>0.99691540717297633</v>
      </c>
      <c r="X9" s="400">
        <v>0.99625387009966937</v>
      </c>
      <c r="Y9" s="400">
        <v>0.9953370035597825</v>
      </c>
      <c r="Z9" s="400">
        <v>0.99442013701989562</v>
      </c>
      <c r="AA9" s="400">
        <v>0.99350327048000864</v>
      </c>
      <c r="AB9" s="400">
        <v>0.99258640394012165</v>
      </c>
      <c r="AC9" s="400">
        <v>0.99166953740023478</v>
      </c>
      <c r="AD9" s="400">
        <v>0.99035251422701409</v>
      </c>
      <c r="AE9" s="400">
        <v>0.98903549105379351</v>
      </c>
      <c r="AF9" s="400">
        <v>0.98771846788057294</v>
      </c>
      <c r="AG9" s="400">
        <v>0.98640144470735214</v>
      </c>
      <c r="AH9" s="400">
        <v>0.98508442153413134</v>
      </c>
      <c r="AI9" s="400">
        <v>0.98320418960524558</v>
      </c>
      <c r="AJ9" s="400">
        <v>0.98132395767635983</v>
      </c>
      <c r="AK9" s="400">
        <v>0.97944372574747407</v>
      </c>
      <c r="AL9" s="400">
        <v>0.9775634938185882</v>
      </c>
      <c r="AM9" s="400">
        <v>0.97568326188970245</v>
      </c>
      <c r="AN9" s="400">
        <v>0.97305868819803754</v>
      </c>
      <c r="AO9" s="400">
        <v>0.97043411450637274</v>
      </c>
      <c r="AP9" s="400">
        <v>0.96780954081470794</v>
      </c>
      <c r="AQ9" s="400">
        <v>0.96518496712304314</v>
      </c>
      <c r="AR9" s="400">
        <v>0.96256039343137811</v>
      </c>
      <c r="AS9" s="400">
        <v>0.95997112006376328</v>
      </c>
      <c r="AT9" s="400">
        <v>0.95738184669614856</v>
      </c>
    </row>
    <row r="11" spans="2:46" s="336" customFormat="1" ht="40.5" customHeight="1" x14ac:dyDescent="0.25"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</row>
    <row r="12" spans="2:46" s="336" customFormat="1" ht="18.75" customHeight="1" x14ac:dyDescent="0.25">
      <c r="B12" s="359"/>
      <c r="C12" s="360"/>
      <c r="D12" s="361"/>
      <c r="E12" s="361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</row>
    <row r="13" spans="2:46" s="336" customFormat="1" ht="15" x14ac:dyDescent="0.25">
      <c r="C13" s="362" t="str">
        <f>C32</f>
        <v>dĺžka cesty - železničná doprava  [km]</v>
      </c>
      <c r="D13" s="363" t="str">
        <f>D32</f>
        <v>vnímaná úspora času železničná doprava [hod.]</v>
      </c>
      <c r="E13" s="364"/>
      <c r="F13" s="365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</row>
    <row r="14" spans="2:46" s="336" customFormat="1" x14ac:dyDescent="0.25">
      <c r="B14" s="366" t="s">
        <v>461</v>
      </c>
      <c r="C14" s="367"/>
      <c r="D14" s="367"/>
      <c r="E14" s="368"/>
      <c r="G14" s="369">
        <f t="shared" ref="G14:AT14" si="4">SUM(G17:G19)</f>
        <v>0</v>
      </c>
      <c r="H14" s="369">
        <f t="shared" si="4"/>
        <v>0</v>
      </c>
      <c r="I14" s="369">
        <f t="shared" si="4"/>
        <v>1578.1604724829822</v>
      </c>
      <c r="J14" s="369">
        <f t="shared" si="4"/>
        <v>2369.3757780886394</v>
      </c>
      <c r="K14" s="369">
        <f t="shared" si="4"/>
        <v>2370.8877415167235</v>
      </c>
      <c r="L14" s="369">
        <f t="shared" si="4"/>
        <v>2371.7783292684735</v>
      </c>
      <c r="M14" s="369">
        <f t="shared" si="4"/>
        <v>2372.1814600466423</v>
      </c>
      <c r="N14" s="369">
        <f t="shared" si="4"/>
        <v>2372.0827132314262</v>
      </c>
      <c r="O14" s="369">
        <f t="shared" si="4"/>
        <v>2372.3875378674693</v>
      </c>
      <c r="P14" s="369">
        <f t="shared" si="4"/>
        <v>2372.2175392627405</v>
      </c>
      <c r="Q14" s="369">
        <f t="shared" si="4"/>
        <v>2371.7314928490337</v>
      </c>
      <c r="R14" s="369">
        <f t="shared" si="4"/>
        <v>2370.9905238367519</v>
      </c>
      <c r="S14" s="369">
        <f t="shared" si="4"/>
        <v>2370.0342127280901</v>
      </c>
      <c r="T14" s="369">
        <f t="shared" si="4"/>
        <v>2367.5104755442735</v>
      </c>
      <c r="U14" s="369">
        <f t="shared" si="4"/>
        <v>2363.4232833121455</v>
      </c>
      <c r="V14" s="369">
        <f t="shared" si="4"/>
        <v>2357.7797082018492</v>
      </c>
      <c r="W14" s="369">
        <f t="shared" si="4"/>
        <v>2350.5899035632501</v>
      </c>
      <c r="X14" s="369">
        <f t="shared" si="4"/>
        <v>2341.8670737791826</v>
      </c>
      <c r="Y14" s="369">
        <f t="shared" si="4"/>
        <v>2331.0294652227822</v>
      </c>
      <c r="Z14" s="369">
        <f t="shared" si="4"/>
        <v>2318.1047984375591</v>
      </c>
      <c r="AA14" s="369">
        <f t="shared" si="4"/>
        <v>2303.1264316803054</v>
      </c>
      <c r="AB14" s="369">
        <f t="shared" si="4"/>
        <v>2286.1332176626247</v>
      </c>
      <c r="AC14" s="369">
        <f t="shared" si="4"/>
        <v>2267.1693356360015</v>
      </c>
      <c r="AD14" s="369">
        <f t="shared" si="4"/>
        <v>2245.3768446655513</v>
      </c>
      <c r="AE14" s="369">
        <f t="shared" si="4"/>
        <v>2220.8366107781403</v>
      </c>
      <c r="AF14" s="369">
        <f t="shared" si="4"/>
        <v>2193.6396857465752</v>
      </c>
      <c r="AG14" s="369">
        <f t="shared" si="4"/>
        <v>2163.8867429293255</v>
      </c>
      <c r="AH14" s="369">
        <f t="shared" si="4"/>
        <v>2131.6874544306074</v>
      </c>
      <c r="AI14" s="369">
        <f t="shared" si="4"/>
        <v>2095.9591869020487</v>
      </c>
      <c r="AJ14" s="369">
        <f t="shared" si="4"/>
        <v>2056.888808694478</v>
      </c>
      <c r="AK14" s="369">
        <f t="shared" si="4"/>
        <v>2014.6792595742886</v>
      </c>
      <c r="AL14" s="369">
        <f t="shared" si="4"/>
        <v>1969.5477852658864</v>
      </c>
      <c r="AM14" s="369">
        <f t="shared" si="4"/>
        <v>1921.7240637701157</v>
      </c>
      <c r="AN14" s="369">
        <f t="shared" si="4"/>
        <v>1870.0177751120664</v>
      </c>
      <c r="AO14" s="369">
        <f t="shared" si="4"/>
        <v>1814.7946127748235</v>
      </c>
      <c r="AP14" s="369">
        <f t="shared" si="4"/>
        <v>1756.4390820779208</v>
      </c>
      <c r="AQ14" s="369">
        <f t="shared" si="4"/>
        <v>1695.3500066738957</v>
      </c>
      <c r="AR14" s="369">
        <f t="shared" si="4"/>
        <v>1631.9359562520358</v>
      </c>
      <c r="AS14" s="369">
        <f t="shared" si="4"/>
        <v>1566.6682793259429</v>
      </c>
      <c r="AT14" s="369">
        <f t="shared" si="4"/>
        <v>1499.954308081135</v>
      </c>
    </row>
    <row r="15" spans="2:46" s="336" customFormat="1" ht="15" x14ac:dyDescent="0.25"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</row>
    <row r="16" spans="2:46" s="336" customFormat="1" ht="15" x14ac:dyDescent="0.25">
      <c r="B16" s="370" t="s">
        <v>462</v>
      </c>
      <c r="D16" s="371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</row>
    <row r="17" spans="2:46" s="336" customFormat="1" ht="15" x14ac:dyDescent="0.25">
      <c r="B17" s="372" t="str">
        <f>B36</f>
        <v>Humenné  &lt;=&gt;  Žilina &lt;=&gt;  Praha</v>
      </c>
      <c r="C17" s="373">
        <f>C36</f>
        <v>802</v>
      </c>
      <c r="D17" s="374">
        <f>D36</f>
        <v>1.0166666666666666E-2</v>
      </c>
      <c r="E17" s="361"/>
      <c r="G17" s="375">
        <f>$D17*G26*G36</f>
        <v>0</v>
      </c>
      <c r="H17" s="375">
        <f t="shared" ref="H17:AS19" si="5">$D17*H26*H36</f>
        <v>0</v>
      </c>
      <c r="I17" s="375">
        <f t="shared" si="5"/>
        <v>287.76106332731388</v>
      </c>
      <c r="J17" s="375">
        <f t="shared" si="5"/>
        <v>432.0569041326703</v>
      </c>
      <c r="K17" s="375">
        <f t="shared" si="5"/>
        <v>432.38865930019278</v>
      </c>
      <c r="L17" s="375">
        <f t="shared" si="5"/>
        <v>432.62175095611633</v>
      </c>
      <c r="M17" s="375">
        <f t="shared" si="5"/>
        <v>432.78143434893815</v>
      </c>
      <c r="N17" s="375">
        <f t="shared" si="5"/>
        <v>432.85532933804416</v>
      </c>
      <c r="O17" s="375">
        <f t="shared" si="5"/>
        <v>433.05209847658381</v>
      </c>
      <c r="P17" s="375">
        <f t="shared" si="5"/>
        <v>433.17125597389548</v>
      </c>
      <c r="Q17" s="375">
        <f t="shared" si="5"/>
        <v>433.24002518610655</v>
      </c>
      <c r="R17" s="375">
        <f t="shared" si="5"/>
        <v>433.26012356636915</v>
      </c>
      <c r="S17" s="375">
        <f t="shared" si="5"/>
        <v>433.23993866378339</v>
      </c>
      <c r="T17" s="375">
        <f t="shared" si="5"/>
        <v>432.93303806361359</v>
      </c>
      <c r="U17" s="375">
        <f t="shared" si="5"/>
        <v>432.33984133492311</v>
      </c>
      <c r="V17" s="375">
        <f t="shared" si="5"/>
        <v>431.4613364364825</v>
      </c>
      <c r="W17" s="375">
        <f t="shared" si="5"/>
        <v>430.29907707497819</v>
      </c>
      <c r="X17" s="375">
        <f t="shared" si="5"/>
        <v>428.85517819129564</v>
      </c>
      <c r="Y17" s="375">
        <f t="shared" si="5"/>
        <v>427.02276730218119</v>
      </c>
      <c r="Z17" s="375">
        <f t="shared" si="5"/>
        <v>424.80650955679084</v>
      </c>
      <c r="AA17" s="375">
        <f t="shared" si="5"/>
        <v>422.21211067296792</v>
      </c>
      <c r="AB17" s="375">
        <f t="shared" si="5"/>
        <v>419.24629251180988</v>
      </c>
      <c r="AC17" s="375">
        <f t="shared" si="5"/>
        <v>415.91676407403367</v>
      </c>
      <c r="AD17" s="375">
        <f t="shared" si="5"/>
        <v>412.06569099510972</v>
      </c>
      <c r="AE17" s="375">
        <f t="shared" si="5"/>
        <v>407.70736310797781</v>
      </c>
      <c r="AF17" s="375">
        <f t="shared" si="5"/>
        <v>402.85796174471932</v>
      </c>
      <c r="AG17" s="375">
        <f t="shared" si="5"/>
        <v>397.53545943666251</v>
      </c>
      <c r="AH17" s="375">
        <f t="shared" si="5"/>
        <v>391.75950861116087</v>
      </c>
      <c r="AI17" s="375">
        <f t="shared" si="5"/>
        <v>385.33059136894877</v>
      </c>
      <c r="AJ17" s="375">
        <f t="shared" si="5"/>
        <v>378.28238010732713</v>
      </c>
      <c r="AK17" s="375">
        <f t="shared" si="5"/>
        <v>370.6515526025596</v>
      </c>
      <c r="AL17" s="375">
        <f t="shared" si="5"/>
        <v>362.47747238448045</v>
      </c>
      <c r="AM17" s="375">
        <f t="shared" si="5"/>
        <v>353.80184849597117</v>
      </c>
      <c r="AN17" s="375">
        <f t="shared" si="5"/>
        <v>344.40492604476236</v>
      </c>
      <c r="AO17" s="375">
        <f t="shared" si="5"/>
        <v>334.35331393389725</v>
      </c>
      <c r="AP17" s="375">
        <f t="shared" si="5"/>
        <v>323.71718369736482</v>
      </c>
      <c r="AQ17" s="375">
        <f t="shared" si="5"/>
        <v>312.56944726097737</v>
      </c>
      <c r="AR17" s="375">
        <f t="shared" si="5"/>
        <v>300.98491840701962</v>
      </c>
      <c r="AS17" s="375">
        <f t="shared" si="5"/>
        <v>289.0501005730693</v>
      </c>
      <c r="AT17" s="375">
        <f>$D17*AT26*AT36</f>
        <v>276.83980550018134</v>
      </c>
    </row>
    <row r="18" spans="2:46" s="336" customFormat="1" ht="15" x14ac:dyDescent="0.25">
      <c r="B18" s="372" t="str">
        <f>B37</f>
        <v xml:space="preserve">Prešov &lt;=&gt;  Košice &lt;=&gt;  Zvolen &lt;=&gt; Bratislava &lt;=&gt;  Praha </v>
      </c>
      <c r="C18" s="373">
        <f t="shared" ref="C18:D19" si="6">C37</f>
        <v>870</v>
      </c>
      <c r="D18" s="374">
        <f t="shared" si="6"/>
        <v>2.1333333333333329E-2</v>
      </c>
      <c r="E18" s="361"/>
      <c r="G18" s="375">
        <f>$D18*G27*G37</f>
        <v>0</v>
      </c>
      <c r="H18" s="375">
        <f t="shared" si="5"/>
        <v>0</v>
      </c>
      <c r="I18" s="375">
        <f t="shared" si="5"/>
        <v>110.78675553307747</v>
      </c>
      <c r="J18" s="375">
        <f t="shared" si="5"/>
        <v>166.23103192197038</v>
      </c>
      <c r="K18" s="375">
        <f t="shared" si="5"/>
        <v>166.23550036472281</v>
      </c>
      <c r="L18" s="375">
        <f t="shared" si="5"/>
        <v>166.20027616529615</v>
      </c>
      <c r="M18" s="375">
        <f t="shared" si="5"/>
        <v>166.13117287378358</v>
      </c>
      <c r="N18" s="375">
        <f t="shared" si="5"/>
        <v>166.03057891323476</v>
      </c>
      <c r="O18" s="375">
        <f t="shared" si="5"/>
        <v>165.94210026355341</v>
      </c>
      <c r="P18" s="375">
        <f t="shared" si="5"/>
        <v>165.82705680412263</v>
      </c>
      <c r="Q18" s="375">
        <f t="shared" si="5"/>
        <v>165.69459975961354</v>
      </c>
      <c r="R18" s="375">
        <f t="shared" si="5"/>
        <v>165.54842224105812</v>
      </c>
      <c r="S18" s="375">
        <f t="shared" si="5"/>
        <v>165.38929953613993</v>
      </c>
      <c r="T18" s="375">
        <f t="shared" si="5"/>
        <v>165.12097584320441</v>
      </c>
      <c r="U18" s="375">
        <f t="shared" si="5"/>
        <v>164.74391095111298</v>
      </c>
      <c r="V18" s="375">
        <f t="shared" si="5"/>
        <v>164.25877990292719</v>
      </c>
      <c r="W18" s="375">
        <f t="shared" si="5"/>
        <v>163.66647100367936</v>
      </c>
      <c r="X18" s="375">
        <f t="shared" si="5"/>
        <v>162.96808312502418</v>
      </c>
      <c r="Y18" s="375">
        <f t="shared" si="5"/>
        <v>162.12333352547731</v>
      </c>
      <c r="Z18" s="375">
        <f t="shared" si="5"/>
        <v>161.13439498629245</v>
      </c>
      <c r="AA18" s="375">
        <f t="shared" si="5"/>
        <v>160.00382741578917</v>
      </c>
      <c r="AB18" s="375">
        <f t="shared" si="5"/>
        <v>158.73456681395993</v>
      </c>
      <c r="AC18" s="375">
        <f t="shared" si="5"/>
        <v>157.32991256093899</v>
      </c>
      <c r="AD18" s="375">
        <f t="shared" si="5"/>
        <v>155.73058942266368</v>
      </c>
      <c r="AE18" s="375">
        <f t="shared" si="5"/>
        <v>153.94253052706145</v>
      </c>
      <c r="AF18" s="375">
        <f t="shared" si="5"/>
        <v>151.97236181747468</v>
      </c>
      <c r="AG18" s="375">
        <f t="shared" si="5"/>
        <v>149.82736103405526</v>
      </c>
      <c r="AH18" s="375">
        <f t="shared" si="5"/>
        <v>147.51541276822363</v>
      </c>
      <c r="AI18" s="375">
        <f t="shared" si="5"/>
        <v>144.96192145723592</v>
      </c>
      <c r="AJ18" s="375">
        <f t="shared" si="5"/>
        <v>142.18021158104088</v>
      </c>
      <c r="AK18" s="375">
        <f t="shared" si="5"/>
        <v>139.18468865116745</v>
      </c>
      <c r="AL18" s="375">
        <f t="shared" si="5"/>
        <v>135.99071424344805</v>
      </c>
      <c r="AM18" s="375">
        <f t="shared" si="5"/>
        <v>132.61447397566752</v>
      </c>
      <c r="AN18" s="375">
        <f t="shared" si="5"/>
        <v>128.97418115891972</v>
      </c>
      <c r="AO18" s="375">
        <f t="shared" si="5"/>
        <v>125.09548986389358</v>
      </c>
      <c r="AP18" s="375">
        <f t="shared" si="5"/>
        <v>121.00529334935491</v>
      </c>
      <c r="AQ18" s="375">
        <f t="shared" si="5"/>
        <v>116.73141111112892</v>
      </c>
      <c r="AR18" s="375">
        <f t="shared" si="5"/>
        <v>112.30227155218468</v>
      </c>
      <c r="AS18" s="375">
        <f t="shared" si="5"/>
        <v>107.75055761042088</v>
      </c>
      <c r="AT18" s="375">
        <f>$D18*AT27*AT37</f>
        <v>103.10447906156188</v>
      </c>
    </row>
    <row r="19" spans="2:46" s="336" customFormat="1" ht="15" x14ac:dyDescent="0.25">
      <c r="B19" s="372" t="str">
        <f>B38</f>
        <v xml:space="preserve">Humenné &lt;=&gt;   Košice &lt;=&gt;   Žilina &lt;=&gt;  Bratislava </v>
      </c>
      <c r="C19" s="373">
        <f t="shared" si="6"/>
        <v>540</v>
      </c>
      <c r="D19" s="374">
        <f t="shared" si="6"/>
        <v>2.6666666666666668E-2</v>
      </c>
      <c r="E19" s="361"/>
      <c r="G19" s="375">
        <f>$D19*G28*G38</f>
        <v>0</v>
      </c>
      <c r="H19" s="375">
        <f t="shared" si="5"/>
        <v>0</v>
      </c>
      <c r="I19" s="375">
        <f t="shared" si="5"/>
        <v>1179.6126536225909</v>
      </c>
      <c r="J19" s="375">
        <f t="shared" si="5"/>
        <v>1771.0878420339989</v>
      </c>
      <c r="K19" s="375">
        <f t="shared" si="5"/>
        <v>1772.2635818518079</v>
      </c>
      <c r="L19" s="375">
        <f t="shared" si="5"/>
        <v>1772.956302147061</v>
      </c>
      <c r="M19" s="375">
        <f t="shared" si="5"/>
        <v>1773.2688528239207</v>
      </c>
      <c r="N19" s="375">
        <f t="shared" si="5"/>
        <v>1773.1968049801471</v>
      </c>
      <c r="O19" s="375">
        <f t="shared" si="5"/>
        <v>1773.3933391273322</v>
      </c>
      <c r="P19" s="375">
        <f t="shared" si="5"/>
        <v>1773.2192264847222</v>
      </c>
      <c r="Q19" s="375">
        <f t="shared" si="5"/>
        <v>1772.7968679033136</v>
      </c>
      <c r="R19" s="375">
        <f t="shared" si="5"/>
        <v>1772.1819780293245</v>
      </c>
      <c r="S19" s="375">
        <f t="shared" si="5"/>
        <v>1771.4049745281666</v>
      </c>
      <c r="T19" s="375">
        <f t="shared" si="5"/>
        <v>1769.4564616374555</v>
      </c>
      <c r="U19" s="375">
        <f t="shared" si="5"/>
        <v>1766.3395310261094</v>
      </c>
      <c r="V19" s="375">
        <f t="shared" si="5"/>
        <v>1762.0595918624394</v>
      </c>
      <c r="W19" s="375">
        <f t="shared" si="5"/>
        <v>1756.6243554845923</v>
      </c>
      <c r="X19" s="375">
        <f t="shared" si="5"/>
        <v>1750.0438124628627</v>
      </c>
      <c r="Y19" s="375">
        <f t="shared" si="5"/>
        <v>1741.8833643951236</v>
      </c>
      <c r="Z19" s="375">
        <f t="shared" si="5"/>
        <v>1732.1638938944757</v>
      </c>
      <c r="AA19" s="375">
        <f t="shared" si="5"/>
        <v>1720.9104935915482</v>
      </c>
      <c r="AB19" s="375">
        <f t="shared" si="5"/>
        <v>1708.1523583368546</v>
      </c>
      <c r="AC19" s="375">
        <f t="shared" si="5"/>
        <v>1693.9226590010287</v>
      </c>
      <c r="AD19" s="375">
        <f t="shared" si="5"/>
        <v>1677.5805642477778</v>
      </c>
      <c r="AE19" s="375">
        <f t="shared" si="5"/>
        <v>1659.1867171431011</v>
      </c>
      <c r="AF19" s="375">
        <f t="shared" si="5"/>
        <v>1638.8093621843811</v>
      </c>
      <c r="AG19" s="375">
        <f t="shared" si="5"/>
        <v>1616.5239224586078</v>
      </c>
      <c r="AH19" s="375">
        <f t="shared" si="5"/>
        <v>1592.4125330512227</v>
      </c>
      <c r="AI19" s="375">
        <f t="shared" si="5"/>
        <v>1565.6666740758637</v>
      </c>
      <c r="AJ19" s="375">
        <f t="shared" si="5"/>
        <v>1536.4262170061099</v>
      </c>
      <c r="AK19" s="375">
        <f t="shared" si="5"/>
        <v>1504.8430183205614</v>
      </c>
      <c r="AL19" s="375">
        <f t="shared" si="5"/>
        <v>1471.0795986379578</v>
      </c>
      <c r="AM19" s="375">
        <f t="shared" si="5"/>
        <v>1435.3077412984769</v>
      </c>
      <c r="AN19" s="375">
        <f t="shared" si="5"/>
        <v>1396.6386679083841</v>
      </c>
      <c r="AO19" s="375">
        <f t="shared" si="5"/>
        <v>1355.3458089770327</v>
      </c>
      <c r="AP19" s="375">
        <f t="shared" si="5"/>
        <v>1311.716605031201</v>
      </c>
      <c r="AQ19" s="375">
        <f t="shared" si="5"/>
        <v>1266.0491483017895</v>
      </c>
      <c r="AR19" s="375">
        <f t="shared" si="5"/>
        <v>1218.6487662928316</v>
      </c>
      <c r="AS19" s="375">
        <f t="shared" si="5"/>
        <v>1169.8676211424527</v>
      </c>
      <c r="AT19" s="375">
        <f>$D19*AT28*AT38</f>
        <v>1120.0100235193918</v>
      </c>
    </row>
    <row r="20" spans="2:46" s="336" customFormat="1" ht="15" x14ac:dyDescent="0.25"/>
    <row r="21" spans="2:46" s="336" customFormat="1" ht="39" customHeight="1" x14ac:dyDescent="0.25">
      <c r="C21" s="376"/>
      <c r="D21" s="376"/>
      <c r="E21" s="376"/>
    </row>
    <row r="22" spans="2:46" s="336" customFormat="1" ht="15.75" customHeight="1" x14ac:dyDescent="0.25">
      <c r="C22" s="363"/>
      <c r="D22" s="362"/>
      <c r="E22" s="362"/>
      <c r="F22" s="365"/>
    </row>
    <row r="23" spans="2:46" s="336" customFormat="1" ht="15.75" customHeight="1" x14ac:dyDescent="0.25">
      <c r="B23" s="377" t="s">
        <v>463</v>
      </c>
      <c r="C23" s="367"/>
      <c r="D23" s="367"/>
      <c r="E23" s="367"/>
    </row>
    <row r="24" spans="2:46" s="336" customFormat="1" ht="15.75" customHeight="1" x14ac:dyDescent="0.25"/>
    <row r="25" spans="2:46" s="336" customFormat="1" ht="15.75" customHeight="1" x14ac:dyDescent="0.25">
      <c r="B25" s="370" t="s">
        <v>462</v>
      </c>
    </row>
    <row r="26" spans="2:46" s="336" customFormat="1" ht="15.75" customHeight="1" x14ac:dyDescent="0.25">
      <c r="B26" s="566" t="str">
        <f>B36</f>
        <v>Humenné  &lt;=&gt;  Žilina &lt;=&gt;  Praha</v>
      </c>
      <c r="C26" s="567"/>
      <c r="D26" s="568"/>
      <c r="E26" s="359"/>
      <c r="G26" s="401">
        <v>0</v>
      </c>
      <c r="H26" s="401">
        <v>0</v>
      </c>
      <c r="I26" s="401">
        <f>'01 Investičné výdavky - zánovné'!$F$6/'01 Investičné výdavky - zánovné'!$C$6</f>
        <v>0.66666666666666663</v>
      </c>
      <c r="J26" s="401">
        <f>('01 Investičné výdavky - zánovné'!$G$6+'01 Investičné výdavky - zánovné'!$F$6)/'01 Investičné výdavky - zánovné'!$C$6</f>
        <v>1</v>
      </c>
      <c r="K26" s="401">
        <v>1</v>
      </c>
      <c r="L26" s="401">
        <v>1</v>
      </c>
      <c r="M26" s="401">
        <v>1</v>
      </c>
      <c r="N26" s="401">
        <v>1</v>
      </c>
      <c r="O26" s="401">
        <v>1</v>
      </c>
      <c r="P26" s="401">
        <v>1</v>
      </c>
      <c r="Q26" s="401">
        <v>1</v>
      </c>
      <c r="R26" s="401">
        <v>1</v>
      </c>
      <c r="S26" s="401">
        <v>1</v>
      </c>
      <c r="T26" s="401">
        <v>1</v>
      </c>
      <c r="U26" s="401">
        <v>1</v>
      </c>
      <c r="V26" s="401">
        <v>1</v>
      </c>
      <c r="W26" s="401">
        <v>1</v>
      </c>
      <c r="X26" s="401">
        <v>1</v>
      </c>
      <c r="Y26" s="401">
        <v>1</v>
      </c>
      <c r="Z26" s="401">
        <v>1</v>
      </c>
      <c r="AA26" s="401">
        <v>1</v>
      </c>
      <c r="AB26" s="401">
        <v>1</v>
      </c>
      <c r="AC26" s="401">
        <v>1</v>
      </c>
      <c r="AD26" s="401">
        <v>1</v>
      </c>
      <c r="AE26" s="401">
        <v>1</v>
      </c>
      <c r="AF26" s="401">
        <v>1</v>
      </c>
      <c r="AG26" s="401">
        <v>1</v>
      </c>
      <c r="AH26" s="401">
        <v>1</v>
      </c>
      <c r="AI26" s="401">
        <v>1</v>
      </c>
      <c r="AJ26" s="401">
        <v>1</v>
      </c>
      <c r="AK26" s="401">
        <v>1</v>
      </c>
      <c r="AL26" s="401">
        <v>1</v>
      </c>
      <c r="AM26" s="401">
        <v>1</v>
      </c>
      <c r="AN26" s="401">
        <v>1</v>
      </c>
      <c r="AO26" s="401">
        <v>1</v>
      </c>
      <c r="AP26" s="401">
        <v>1</v>
      </c>
      <c r="AQ26" s="401">
        <v>1</v>
      </c>
      <c r="AR26" s="401">
        <v>1</v>
      </c>
      <c r="AS26" s="401">
        <v>1</v>
      </c>
      <c r="AT26" s="401">
        <v>1</v>
      </c>
    </row>
    <row r="27" spans="2:46" s="336" customFormat="1" ht="15.75" customHeight="1" x14ac:dyDescent="0.25">
      <c r="B27" s="569" t="str">
        <f>B37</f>
        <v xml:space="preserve">Prešov &lt;=&gt;  Košice &lt;=&gt;  Zvolen &lt;=&gt; Bratislava &lt;=&gt;  Praha </v>
      </c>
      <c r="C27" s="570"/>
      <c r="D27" s="571"/>
      <c r="E27" s="378"/>
      <c r="G27" s="401">
        <v>0</v>
      </c>
      <c r="H27" s="401">
        <v>0</v>
      </c>
      <c r="I27" s="401">
        <f>'01 Investičné výdavky - zánovné'!$F$6/'01 Investičné výdavky - zánovné'!$C$6</f>
        <v>0.66666666666666663</v>
      </c>
      <c r="J27" s="401">
        <f>('01 Investičné výdavky - zánovné'!$G$6+'01 Investičné výdavky - zánovné'!$F$6)/'01 Investičné výdavky - zánovné'!$C$6</f>
        <v>1</v>
      </c>
      <c r="K27" s="401">
        <v>1</v>
      </c>
      <c r="L27" s="401">
        <v>1</v>
      </c>
      <c r="M27" s="401">
        <v>1</v>
      </c>
      <c r="N27" s="401">
        <v>1</v>
      </c>
      <c r="O27" s="401">
        <v>1</v>
      </c>
      <c r="P27" s="401">
        <v>1</v>
      </c>
      <c r="Q27" s="401">
        <v>1</v>
      </c>
      <c r="R27" s="401">
        <v>1</v>
      </c>
      <c r="S27" s="401">
        <v>1</v>
      </c>
      <c r="T27" s="401">
        <v>1</v>
      </c>
      <c r="U27" s="401">
        <v>1</v>
      </c>
      <c r="V27" s="401">
        <v>1</v>
      </c>
      <c r="W27" s="401">
        <v>1</v>
      </c>
      <c r="X27" s="401">
        <v>1</v>
      </c>
      <c r="Y27" s="401">
        <v>1</v>
      </c>
      <c r="Z27" s="401">
        <v>1</v>
      </c>
      <c r="AA27" s="401">
        <v>1</v>
      </c>
      <c r="AB27" s="401">
        <v>1</v>
      </c>
      <c r="AC27" s="401">
        <v>1</v>
      </c>
      <c r="AD27" s="401">
        <v>1</v>
      </c>
      <c r="AE27" s="401">
        <v>1</v>
      </c>
      <c r="AF27" s="401">
        <v>1</v>
      </c>
      <c r="AG27" s="401">
        <v>1</v>
      </c>
      <c r="AH27" s="401">
        <v>1</v>
      </c>
      <c r="AI27" s="401">
        <v>1</v>
      </c>
      <c r="AJ27" s="401">
        <v>1</v>
      </c>
      <c r="AK27" s="401">
        <v>1</v>
      </c>
      <c r="AL27" s="401">
        <v>1</v>
      </c>
      <c r="AM27" s="401">
        <v>1</v>
      </c>
      <c r="AN27" s="401">
        <v>1</v>
      </c>
      <c r="AO27" s="401">
        <v>1</v>
      </c>
      <c r="AP27" s="401">
        <v>1</v>
      </c>
      <c r="AQ27" s="401">
        <v>1</v>
      </c>
      <c r="AR27" s="401">
        <v>1</v>
      </c>
      <c r="AS27" s="401">
        <v>1</v>
      </c>
      <c r="AT27" s="401">
        <v>1</v>
      </c>
    </row>
    <row r="28" spans="2:46" s="336" customFormat="1" ht="15.75" customHeight="1" x14ac:dyDescent="0.25">
      <c r="B28" s="569" t="str">
        <f>B38</f>
        <v xml:space="preserve">Humenné &lt;=&gt;   Košice &lt;=&gt;   Žilina &lt;=&gt;  Bratislava </v>
      </c>
      <c r="C28" s="570"/>
      <c r="D28" s="571"/>
      <c r="E28" s="378"/>
      <c r="G28" s="401">
        <v>0</v>
      </c>
      <c r="H28" s="401">
        <v>0</v>
      </c>
      <c r="I28" s="401">
        <f>'01 Investičné výdavky - zánovné'!$F$6/'01 Investičné výdavky - zánovné'!$C$6</f>
        <v>0.66666666666666663</v>
      </c>
      <c r="J28" s="401">
        <f>('01 Investičné výdavky - zánovné'!$G$6+'01 Investičné výdavky - zánovné'!$F$6)/'01 Investičné výdavky - zánovné'!$C$6</f>
        <v>1</v>
      </c>
      <c r="K28" s="401">
        <v>1</v>
      </c>
      <c r="L28" s="401">
        <v>1</v>
      </c>
      <c r="M28" s="401">
        <v>1</v>
      </c>
      <c r="N28" s="401">
        <v>1</v>
      </c>
      <c r="O28" s="401">
        <v>1</v>
      </c>
      <c r="P28" s="401">
        <v>1</v>
      </c>
      <c r="Q28" s="401">
        <v>1</v>
      </c>
      <c r="R28" s="401">
        <v>1</v>
      </c>
      <c r="S28" s="401">
        <v>1</v>
      </c>
      <c r="T28" s="401">
        <v>1</v>
      </c>
      <c r="U28" s="401">
        <v>1</v>
      </c>
      <c r="V28" s="401">
        <v>1</v>
      </c>
      <c r="W28" s="401">
        <v>1</v>
      </c>
      <c r="X28" s="401">
        <v>1</v>
      </c>
      <c r="Y28" s="401">
        <v>1</v>
      </c>
      <c r="Z28" s="401">
        <v>1</v>
      </c>
      <c r="AA28" s="401">
        <v>1</v>
      </c>
      <c r="AB28" s="401">
        <v>1</v>
      </c>
      <c r="AC28" s="401">
        <v>1</v>
      </c>
      <c r="AD28" s="401">
        <v>1</v>
      </c>
      <c r="AE28" s="401">
        <v>1</v>
      </c>
      <c r="AF28" s="401">
        <v>1</v>
      </c>
      <c r="AG28" s="401">
        <v>1</v>
      </c>
      <c r="AH28" s="401">
        <v>1</v>
      </c>
      <c r="AI28" s="401">
        <v>1</v>
      </c>
      <c r="AJ28" s="401">
        <v>1</v>
      </c>
      <c r="AK28" s="401">
        <v>1</v>
      </c>
      <c r="AL28" s="401">
        <v>1</v>
      </c>
      <c r="AM28" s="401">
        <v>1</v>
      </c>
      <c r="AN28" s="401">
        <v>1</v>
      </c>
      <c r="AO28" s="401">
        <v>1</v>
      </c>
      <c r="AP28" s="401">
        <v>1</v>
      </c>
      <c r="AQ28" s="401">
        <v>1</v>
      </c>
      <c r="AR28" s="401">
        <v>1</v>
      </c>
      <c r="AS28" s="401">
        <v>1</v>
      </c>
      <c r="AT28" s="401">
        <v>1</v>
      </c>
    </row>
    <row r="29" spans="2:46" s="336" customFormat="1" ht="15.75" customHeight="1" x14ac:dyDescent="0.25">
      <c r="B29" s="379"/>
      <c r="C29" s="379"/>
      <c r="D29" s="379"/>
      <c r="E29" s="379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</row>
    <row r="30" spans="2:46" s="336" customFormat="1" ht="39" customHeight="1" x14ac:dyDescent="0.25">
      <c r="C30" s="376"/>
      <c r="D30" s="376"/>
      <c r="E30" s="376"/>
    </row>
    <row r="31" spans="2:46" s="336" customFormat="1" ht="15" x14ac:dyDescent="0.25">
      <c r="E31" s="363"/>
      <c r="F31" s="363"/>
    </row>
    <row r="32" spans="2:46" s="336" customFormat="1" ht="15" x14ac:dyDescent="0.25">
      <c r="C32" s="362" t="s">
        <v>464</v>
      </c>
      <c r="D32" s="362" t="s">
        <v>465</v>
      </c>
      <c r="E32" s="364"/>
      <c r="F32" s="365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</row>
    <row r="33" spans="2:46" s="336" customFormat="1" x14ac:dyDescent="0.25">
      <c r="B33" s="377" t="s">
        <v>458</v>
      </c>
      <c r="C33" s="367"/>
      <c r="D33" s="367"/>
      <c r="E33" s="368"/>
      <c r="G33" s="369">
        <f t="shared" ref="G33:AT33" si="7">SUMPRODUCT(G36:G38,$C$36:$C$38)/SUM($C$36:$C$38)</f>
        <v>34609.343092822819</v>
      </c>
      <c r="H33" s="369">
        <f t="shared" si="7"/>
        <v>34636.579964293007</v>
      </c>
      <c r="I33" s="369">
        <f t="shared" si="7"/>
        <v>34655.479781713257</v>
      </c>
      <c r="J33" s="369">
        <f t="shared" si="7"/>
        <v>34686.506870598125</v>
      </c>
      <c r="K33" s="369">
        <f t="shared" si="7"/>
        <v>34709.183881430305</v>
      </c>
      <c r="L33" s="369">
        <f t="shared" si="7"/>
        <v>34723.188669717441</v>
      </c>
      <c r="M33" s="369">
        <f t="shared" si="7"/>
        <v>34730.470630073942</v>
      </c>
      <c r="N33" s="369">
        <f t="shared" si="7"/>
        <v>34730.591745849924</v>
      </c>
      <c r="O33" s="369">
        <f t="shared" si="7"/>
        <v>34737.776975699715</v>
      </c>
      <c r="P33" s="369">
        <f t="shared" si="7"/>
        <v>34738.311501641707</v>
      </c>
      <c r="Q33" s="369">
        <f t="shared" si="7"/>
        <v>34734.455421666949</v>
      </c>
      <c r="R33" s="369">
        <f t="shared" si="7"/>
        <v>34726.848117775611</v>
      </c>
      <c r="S33" s="369">
        <f t="shared" si="7"/>
        <v>34716.081465554831</v>
      </c>
      <c r="T33" s="369">
        <f t="shared" si="7"/>
        <v>34682.351858434042</v>
      </c>
      <c r="U33" s="369">
        <f t="shared" si="7"/>
        <v>34625.711039120681</v>
      </c>
      <c r="V33" s="369">
        <f t="shared" si="7"/>
        <v>34546.256204779616</v>
      </c>
      <c r="W33" s="369">
        <f t="shared" si="7"/>
        <v>34444.129735754934</v>
      </c>
      <c r="X33" s="369">
        <f t="shared" si="7"/>
        <v>34319.518774921824</v>
      </c>
      <c r="Y33" s="369">
        <f t="shared" si="7"/>
        <v>34163.890745283999</v>
      </c>
      <c r="Z33" s="369">
        <f t="shared" si="7"/>
        <v>33977.643247695487</v>
      </c>
      <c r="AA33" s="369">
        <f t="shared" si="7"/>
        <v>33761.256670486553</v>
      </c>
      <c r="AB33" s="369">
        <f t="shared" si="7"/>
        <v>33515.292128095774</v>
      </c>
      <c r="AC33" s="369">
        <f t="shared" si="7"/>
        <v>33240.389037066408</v>
      </c>
      <c r="AD33" s="369">
        <f t="shared" si="7"/>
        <v>32923.9592620654</v>
      </c>
      <c r="AE33" s="369">
        <f t="shared" si="7"/>
        <v>32567.176961973917</v>
      </c>
      <c r="AF33" s="369">
        <f t="shared" si="7"/>
        <v>32171.366112236898</v>
      </c>
      <c r="AG33" s="369">
        <f t="shared" si="7"/>
        <v>31737.992300741036</v>
      </c>
      <c r="AH33" s="369">
        <f t="shared" si="7"/>
        <v>31268.653658380736</v>
      </c>
      <c r="AI33" s="369">
        <f t="shared" si="7"/>
        <v>30747.457939885975</v>
      </c>
      <c r="AJ33" s="369">
        <f t="shared" si="7"/>
        <v>30177.132108018515</v>
      </c>
      <c r="AK33" s="369">
        <f t="shared" si="7"/>
        <v>29560.639952949419</v>
      </c>
      <c r="AL33" s="369">
        <f t="shared" si="7"/>
        <v>28901.156297700581</v>
      </c>
      <c r="AM33" s="369">
        <f t="shared" si="7"/>
        <v>28202.039600892218</v>
      </c>
      <c r="AN33" s="369">
        <f t="shared" si="7"/>
        <v>27445.808603665897</v>
      </c>
      <c r="AO33" s="369">
        <f t="shared" si="7"/>
        <v>26637.814857821122</v>
      </c>
      <c r="AP33" s="369">
        <f t="shared" si="7"/>
        <v>25783.688069547006</v>
      </c>
      <c r="AQ33" s="369">
        <f t="shared" si="7"/>
        <v>24889.270262662139</v>
      </c>
      <c r="AR33" s="369">
        <f t="shared" si="7"/>
        <v>23960.548747915895</v>
      </c>
      <c r="AS33" s="369">
        <f t="shared" si="7"/>
        <v>23004.434908356598</v>
      </c>
      <c r="AT33" s="369">
        <f t="shared" si="7"/>
        <v>22026.902642513935</v>
      </c>
    </row>
    <row r="34" spans="2:46" s="336" customFormat="1" ht="15" x14ac:dyDescent="0.25"/>
    <row r="35" spans="2:46" s="336" customFormat="1" ht="15" x14ac:dyDescent="0.25">
      <c r="B35" s="370" t="s">
        <v>462</v>
      </c>
      <c r="D35" s="371"/>
    </row>
    <row r="36" spans="2:46" s="336" customFormat="1" ht="15" x14ac:dyDescent="0.25">
      <c r="B36" s="372" t="s">
        <v>466</v>
      </c>
      <c r="C36" s="373">
        <v>802</v>
      </c>
      <c r="D36" s="374">
        <f>$D$56/60</f>
        <v>1.0166666666666666E-2</v>
      </c>
      <c r="E36" s="382"/>
      <c r="G36" s="358">
        <v>42412.677926370787</v>
      </c>
      <c r="H36" s="358">
        <f t="shared" ref="H36:AT38" si="8">G36*H7</f>
        <v>42439.002437978925</v>
      </c>
      <c r="I36" s="358">
        <f t="shared" si="8"/>
        <v>42456.550326980745</v>
      </c>
      <c r="J36" s="358">
        <f t="shared" si="8"/>
        <v>42497.400406492161</v>
      </c>
      <c r="K36" s="358">
        <f t="shared" si="8"/>
        <v>42530.032062314051</v>
      </c>
      <c r="L36" s="358">
        <f t="shared" si="8"/>
        <v>42552.959110437674</v>
      </c>
      <c r="M36" s="358">
        <f t="shared" si="8"/>
        <v>42568.665673666052</v>
      </c>
      <c r="N36" s="358">
        <f t="shared" si="8"/>
        <v>42575.934033250247</v>
      </c>
      <c r="O36" s="358">
        <f t="shared" si="8"/>
        <v>42595.288374745949</v>
      </c>
      <c r="P36" s="358">
        <f t="shared" si="8"/>
        <v>42607.008784317593</v>
      </c>
      <c r="Q36" s="358">
        <f t="shared" si="8"/>
        <v>42613.772969125239</v>
      </c>
      <c r="R36" s="358">
        <f t="shared" si="8"/>
        <v>42615.749858987132</v>
      </c>
      <c r="S36" s="358">
        <f t="shared" si="8"/>
        <v>42613.764458732796</v>
      </c>
      <c r="T36" s="358">
        <f t="shared" si="8"/>
        <v>42583.577514453798</v>
      </c>
      <c r="U36" s="358">
        <f t="shared" si="8"/>
        <v>42525.23029523834</v>
      </c>
      <c r="V36" s="358">
        <f t="shared" si="8"/>
        <v>42438.819977358937</v>
      </c>
      <c r="W36" s="358">
        <f t="shared" si="8"/>
        <v>42324.499384424089</v>
      </c>
      <c r="X36" s="358">
        <f t="shared" si="8"/>
        <v>42182.476543406134</v>
      </c>
      <c r="Y36" s="358">
        <f t="shared" si="8"/>
        <v>42002.239406771921</v>
      </c>
      <c r="Z36" s="358">
        <f t="shared" si="8"/>
        <v>41784.246841651562</v>
      </c>
      <c r="AA36" s="358">
        <f t="shared" si="8"/>
        <v>41529.060066193568</v>
      </c>
      <c r="AB36" s="358">
        <f t="shared" si="8"/>
        <v>41237.340247063272</v>
      </c>
      <c r="AC36" s="358">
        <f t="shared" si="8"/>
        <v>40909.845646626265</v>
      </c>
      <c r="AD36" s="358">
        <f t="shared" si="8"/>
        <v>40531.051573289486</v>
      </c>
      <c r="AE36" s="358">
        <f t="shared" si="8"/>
        <v>40102.363584391263</v>
      </c>
      <c r="AF36" s="358">
        <f t="shared" si="8"/>
        <v>39625.373286365837</v>
      </c>
      <c r="AG36" s="358">
        <f t="shared" si="8"/>
        <v>39101.848469179924</v>
      </c>
      <c r="AH36" s="358">
        <f t="shared" si="8"/>
        <v>38533.72215847484</v>
      </c>
      <c r="AI36" s="358">
        <f t="shared" si="8"/>
        <v>37901.369642847421</v>
      </c>
      <c r="AJ36" s="358">
        <f t="shared" si="8"/>
        <v>37208.10296137644</v>
      </c>
      <c r="AK36" s="358">
        <f t="shared" si="8"/>
        <v>36457.529764186191</v>
      </c>
      <c r="AL36" s="358">
        <f t="shared" si="8"/>
        <v>35653.521873883328</v>
      </c>
      <c r="AM36" s="358">
        <f t="shared" si="8"/>
        <v>34800.181819275858</v>
      </c>
      <c r="AN36" s="358">
        <f t="shared" si="8"/>
        <v>33875.894365058593</v>
      </c>
      <c r="AO36" s="358">
        <f t="shared" si="8"/>
        <v>32887.211206612847</v>
      </c>
      <c r="AP36" s="358">
        <f t="shared" si="8"/>
        <v>31841.034462035885</v>
      </c>
      <c r="AQ36" s="358">
        <f t="shared" si="8"/>
        <v>30744.535796161708</v>
      </c>
      <c r="AR36" s="358">
        <f t="shared" si="8"/>
        <v>29605.073941674062</v>
      </c>
      <c r="AS36" s="358">
        <f t="shared" si="8"/>
        <v>28431.157433416654</v>
      </c>
      <c r="AT36" s="358">
        <f t="shared" si="8"/>
        <v>27230.144803296527</v>
      </c>
    </row>
    <row r="37" spans="2:46" s="336" customFormat="1" ht="15" customHeight="1" x14ac:dyDescent="0.25">
      <c r="B37" s="372" t="s">
        <v>467</v>
      </c>
      <c r="C37" s="373">
        <v>870</v>
      </c>
      <c r="D37" s="374">
        <f>$E$56/60</f>
        <v>2.1333333333333329E-2</v>
      </c>
      <c r="E37" s="382"/>
      <c r="G37" s="358">
        <v>7785.3426665422749</v>
      </c>
      <c r="H37" s="358">
        <f t="shared" si="8"/>
        <v>7788.51179049047</v>
      </c>
      <c r="I37" s="358">
        <f t="shared" si="8"/>
        <v>7789.6937484195105</v>
      </c>
      <c r="J37" s="358">
        <f t="shared" si="8"/>
        <v>7792.0796213423628</v>
      </c>
      <c r="K37" s="358">
        <f t="shared" si="8"/>
        <v>7792.2890795963831</v>
      </c>
      <c r="L37" s="358">
        <f t="shared" si="8"/>
        <v>7790.6379452482579</v>
      </c>
      <c r="M37" s="358">
        <f t="shared" si="8"/>
        <v>7787.3987284586065</v>
      </c>
      <c r="N37" s="358">
        <f t="shared" si="8"/>
        <v>7782.683386557881</v>
      </c>
      <c r="O37" s="358">
        <f t="shared" si="8"/>
        <v>7778.5359498540674</v>
      </c>
      <c r="P37" s="358">
        <f t="shared" si="8"/>
        <v>7773.1432876932495</v>
      </c>
      <c r="Q37" s="358">
        <f t="shared" si="8"/>
        <v>7766.9343637318862</v>
      </c>
      <c r="R37" s="358">
        <f t="shared" si="8"/>
        <v>7760.0822925496004</v>
      </c>
      <c r="S37" s="358">
        <f t="shared" si="8"/>
        <v>7752.6234157565614</v>
      </c>
      <c r="T37" s="358">
        <f t="shared" si="8"/>
        <v>7740.045742650208</v>
      </c>
      <c r="U37" s="358">
        <f t="shared" si="8"/>
        <v>7722.3708258334227</v>
      </c>
      <c r="V37" s="358">
        <f t="shared" si="8"/>
        <v>7699.6303079497129</v>
      </c>
      <c r="W37" s="358">
        <f t="shared" si="8"/>
        <v>7671.865828297472</v>
      </c>
      <c r="X37" s="358">
        <f t="shared" si="8"/>
        <v>7639.1288964855094</v>
      </c>
      <c r="Y37" s="358">
        <f t="shared" si="8"/>
        <v>7599.5312590067506</v>
      </c>
      <c r="Z37" s="358">
        <f t="shared" si="8"/>
        <v>7553.1747649824601</v>
      </c>
      <c r="AA37" s="358">
        <f t="shared" si="8"/>
        <v>7500.179410115119</v>
      </c>
      <c r="AB37" s="358">
        <f t="shared" si="8"/>
        <v>7440.6828194043737</v>
      </c>
      <c r="AC37" s="358">
        <f t="shared" si="8"/>
        <v>7374.8396512940171</v>
      </c>
      <c r="AD37" s="358">
        <f t="shared" si="8"/>
        <v>7299.8713791873615</v>
      </c>
      <c r="AE37" s="358">
        <f t="shared" si="8"/>
        <v>7216.0561184560074</v>
      </c>
      <c r="AF37" s="358">
        <f t="shared" si="8"/>
        <v>7123.704460194127</v>
      </c>
      <c r="AG37" s="358">
        <f t="shared" si="8"/>
        <v>7023.1575484713421</v>
      </c>
      <c r="AH37" s="358">
        <f t="shared" si="8"/>
        <v>6914.7849735104837</v>
      </c>
      <c r="AI37" s="358">
        <f t="shared" si="8"/>
        <v>6795.0900683079353</v>
      </c>
      <c r="AJ37" s="358">
        <f t="shared" si="8"/>
        <v>6664.6974178612927</v>
      </c>
      <c r="AK37" s="358">
        <f t="shared" si="8"/>
        <v>6524.2822805234755</v>
      </c>
      <c r="AL37" s="358">
        <f t="shared" si="8"/>
        <v>6374.5647301616282</v>
      </c>
      <c r="AM37" s="358">
        <f t="shared" si="8"/>
        <v>6216.3034676094157</v>
      </c>
      <c r="AN37" s="358">
        <f t="shared" si="8"/>
        <v>6045.6647418243629</v>
      </c>
      <c r="AO37" s="358">
        <f t="shared" si="8"/>
        <v>5863.8510873700125</v>
      </c>
      <c r="AP37" s="358">
        <f t="shared" si="8"/>
        <v>5672.1231257510126</v>
      </c>
      <c r="AQ37" s="358">
        <f t="shared" si="8"/>
        <v>5471.7848958341692</v>
      </c>
      <c r="AR37" s="358">
        <f t="shared" si="8"/>
        <v>5264.1689790086575</v>
      </c>
      <c r="AS37" s="358">
        <f t="shared" si="8"/>
        <v>5050.8073879884796</v>
      </c>
      <c r="AT37" s="358">
        <f t="shared" si="8"/>
        <v>4833.0224560107135</v>
      </c>
    </row>
    <row r="38" spans="2:46" s="336" customFormat="1" ht="15" customHeight="1" x14ac:dyDescent="0.25">
      <c r="B38" s="372" t="s">
        <v>468</v>
      </c>
      <c r="C38" s="373">
        <v>540</v>
      </c>
      <c r="D38" s="374">
        <f>$F$56/60</f>
        <v>2.6666666666666668E-2</v>
      </c>
      <c r="E38" s="382"/>
      <c r="G38" s="358">
        <v>66236.390934227646</v>
      </c>
      <c r="H38" s="358">
        <f t="shared" si="8"/>
        <v>66303.758644500616</v>
      </c>
      <c r="I38" s="358">
        <f t="shared" si="8"/>
        <v>66353.211766270731</v>
      </c>
      <c r="J38" s="358">
        <f t="shared" si="8"/>
        <v>66415.794076274949</v>
      </c>
      <c r="K38" s="358">
        <f t="shared" si="8"/>
        <v>66459.88431944279</v>
      </c>
      <c r="L38" s="358">
        <f t="shared" si="8"/>
        <v>66485.861330514788</v>
      </c>
      <c r="M38" s="358">
        <f t="shared" si="8"/>
        <v>66497.581980897026</v>
      </c>
      <c r="N38" s="358">
        <f t="shared" si="8"/>
        <v>66494.880186755516</v>
      </c>
      <c r="O38" s="358">
        <f t="shared" si="8"/>
        <v>66502.250217274952</v>
      </c>
      <c r="P38" s="358">
        <f t="shared" si="8"/>
        <v>66495.720993177078</v>
      </c>
      <c r="Q38" s="358">
        <f t="shared" si="8"/>
        <v>66479.882546374254</v>
      </c>
      <c r="R38" s="358">
        <f t="shared" si="8"/>
        <v>66456.824176099661</v>
      </c>
      <c r="S38" s="358">
        <f t="shared" si="8"/>
        <v>66427.686544806245</v>
      </c>
      <c r="T38" s="358">
        <f t="shared" si="8"/>
        <v>66354.617311404581</v>
      </c>
      <c r="U38" s="358">
        <f t="shared" si="8"/>
        <v>66237.732413479098</v>
      </c>
      <c r="V38" s="358">
        <f t="shared" si="8"/>
        <v>66077.234694841478</v>
      </c>
      <c r="W38" s="358">
        <f t="shared" si="8"/>
        <v>65873.413330672207</v>
      </c>
      <c r="X38" s="358">
        <f t="shared" si="8"/>
        <v>65626.642967357344</v>
      </c>
      <c r="Y38" s="358">
        <f t="shared" si="8"/>
        <v>65320.626164817135</v>
      </c>
      <c r="Z38" s="358">
        <f t="shared" si="8"/>
        <v>64956.146021042834</v>
      </c>
      <c r="AA38" s="358">
        <f t="shared" si="8"/>
        <v>64534.143509683054</v>
      </c>
      <c r="AB38" s="358">
        <f t="shared" si="8"/>
        <v>64055.713437632046</v>
      </c>
      <c r="AC38" s="358">
        <f t="shared" si="8"/>
        <v>63522.099712538577</v>
      </c>
      <c r="AD38" s="358">
        <f t="shared" si="8"/>
        <v>62909.271159291668</v>
      </c>
      <c r="AE38" s="358">
        <f t="shared" si="8"/>
        <v>62219.501892866283</v>
      </c>
      <c r="AF38" s="358">
        <f t="shared" si="8"/>
        <v>61455.35108191429</v>
      </c>
      <c r="AG38" s="358">
        <f t="shared" si="8"/>
        <v>60619.647092197789</v>
      </c>
      <c r="AH38" s="358">
        <f t="shared" si="8"/>
        <v>59715.469989420846</v>
      </c>
      <c r="AI38" s="358">
        <f t="shared" si="8"/>
        <v>58712.500277844883</v>
      </c>
      <c r="AJ38" s="358">
        <f t="shared" si="8"/>
        <v>57615.983137729119</v>
      </c>
      <c r="AK38" s="358">
        <f t="shared" si="8"/>
        <v>56431.613187021052</v>
      </c>
      <c r="AL38" s="358">
        <f t="shared" si="8"/>
        <v>55165.484948923411</v>
      </c>
      <c r="AM38" s="358">
        <f t="shared" si="8"/>
        <v>53824.040298692882</v>
      </c>
      <c r="AN38" s="358">
        <f t="shared" si="8"/>
        <v>52373.950046564401</v>
      </c>
      <c r="AO38" s="358">
        <f t="shared" si="8"/>
        <v>50825.467836638723</v>
      </c>
      <c r="AP38" s="358">
        <f t="shared" si="8"/>
        <v>49189.372688670031</v>
      </c>
      <c r="AQ38" s="358">
        <f t="shared" si="8"/>
        <v>47476.8430613171</v>
      </c>
      <c r="AR38" s="358">
        <f t="shared" si="8"/>
        <v>45699.32873598118</v>
      </c>
      <c r="AS38" s="358">
        <f t="shared" si="8"/>
        <v>43870.035792841976</v>
      </c>
      <c r="AT38" s="358">
        <f t="shared" si="8"/>
        <v>42000.37588197719</v>
      </c>
    </row>
    <row r="39" spans="2:46" s="336" customFormat="1" ht="15" x14ac:dyDescent="0.25"/>
    <row r="40" spans="2:46" s="336" customFormat="1" ht="15" x14ac:dyDescent="0.25"/>
    <row r="41" spans="2:46" s="336" customFormat="1" ht="15" x14ac:dyDescent="0.25">
      <c r="L41" s="383"/>
    </row>
    <row r="42" spans="2:46" s="336" customFormat="1" thickBot="1" x14ac:dyDescent="0.3"/>
    <row r="43" spans="2:46" s="336" customFormat="1" ht="16.149999999999999" customHeight="1" x14ac:dyDescent="0.25">
      <c r="B43" s="572" t="s">
        <v>469</v>
      </c>
      <c r="C43" s="384" t="s">
        <v>470</v>
      </c>
      <c r="D43" s="555" t="s">
        <v>466</v>
      </c>
      <c r="E43" s="574" t="s">
        <v>467</v>
      </c>
      <c r="F43" s="555" t="s">
        <v>468</v>
      </c>
    </row>
    <row r="44" spans="2:46" s="336" customFormat="1" thickBot="1" x14ac:dyDescent="0.3">
      <c r="B44" s="573"/>
      <c r="C44" s="385" t="s">
        <v>471</v>
      </c>
      <c r="D44" s="556"/>
      <c r="E44" s="575"/>
      <c r="F44" s="556"/>
    </row>
    <row r="45" spans="2:46" x14ac:dyDescent="0.25">
      <c r="B45" s="386" t="s">
        <v>472</v>
      </c>
      <c r="C45" s="387">
        <v>0.15</v>
      </c>
      <c r="D45" s="387">
        <v>0</v>
      </c>
      <c r="E45" s="387">
        <v>0.15</v>
      </c>
      <c r="F45" s="387">
        <v>0.15</v>
      </c>
    </row>
    <row r="46" spans="2:46" x14ac:dyDescent="0.25">
      <c r="B46" s="388" t="s">
        <v>473</v>
      </c>
      <c r="C46" s="389">
        <v>0.22</v>
      </c>
      <c r="D46" s="387">
        <v>0.22</v>
      </c>
      <c r="E46" s="387">
        <v>0.22</v>
      </c>
      <c r="F46" s="387">
        <v>0.22</v>
      </c>
    </row>
    <row r="47" spans="2:46" x14ac:dyDescent="0.25">
      <c r="B47" s="388" t="s">
        <v>474</v>
      </c>
      <c r="C47" s="389">
        <v>7.0000000000000007E-2</v>
      </c>
      <c r="D47" s="387">
        <v>7.0000000000000007E-2</v>
      </c>
      <c r="E47" s="387">
        <v>7.0000000000000007E-2</v>
      </c>
      <c r="F47" s="387">
        <v>7.0000000000000007E-2</v>
      </c>
    </row>
    <row r="48" spans="2:46" x14ac:dyDescent="0.25">
      <c r="B48" s="388" t="s">
        <v>475</v>
      </c>
      <c r="C48" s="389">
        <v>0.1</v>
      </c>
      <c r="D48" s="387">
        <v>0.1</v>
      </c>
      <c r="E48" s="387">
        <v>0.1</v>
      </c>
      <c r="F48" s="387">
        <v>0.1</v>
      </c>
    </row>
    <row r="49" spans="2:6" x14ac:dyDescent="0.25">
      <c r="B49" s="388" t="s">
        <v>476</v>
      </c>
      <c r="C49" s="389">
        <v>0.22</v>
      </c>
      <c r="D49" s="387">
        <v>0.22</v>
      </c>
      <c r="E49" s="387">
        <v>0.22</v>
      </c>
      <c r="F49" s="387">
        <v>0.22</v>
      </c>
    </row>
    <row r="50" spans="2:6" x14ac:dyDescent="0.25">
      <c r="B50" s="388" t="s">
        <v>477</v>
      </c>
      <c r="C50" s="389">
        <v>0.15</v>
      </c>
      <c r="D50" s="387">
        <v>0</v>
      </c>
      <c r="E50" s="387">
        <v>0.15</v>
      </c>
      <c r="F50" s="387">
        <v>0.15</v>
      </c>
    </row>
    <row r="51" spans="2:6" x14ac:dyDescent="0.25">
      <c r="B51" s="388" t="s">
        <v>478</v>
      </c>
      <c r="C51" s="389">
        <v>0.13</v>
      </c>
      <c r="D51" s="387">
        <v>0</v>
      </c>
      <c r="E51" s="387">
        <v>0.13</v>
      </c>
      <c r="F51" s="387">
        <v>0.13</v>
      </c>
    </row>
    <row r="52" spans="2:6" x14ac:dyDescent="0.25">
      <c r="B52" s="388" t="s">
        <v>479</v>
      </c>
      <c r="C52" s="389">
        <v>0.26</v>
      </c>
      <c r="D52" s="387">
        <v>0</v>
      </c>
      <c r="E52" s="387">
        <v>0.26</v>
      </c>
      <c r="F52" s="387">
        <v>0.26</v>
      </c>
    </row>
    <row r="53" spans="2:6" x14ac:dyDescent="0.25">
      <c r="B53" s="388" t="s">
        <v>480</v>
      </c>
      <c r="C53" s="389">
        <v>0.08</v>
      </c>
      <c r="D53" s="387">
        <v>0</v>
      </c>
      <c r="E53" s="387">
        <v>0.08</v>
      </c>
      <c r="F53" s="387">
        <v>0.08</v>
      </c>
    </row>
    <row r="54" spans="2:6" x14ac:dyDescent="0.25">
      <c r="B54" s="388" t="s">
        <v>481</v>
      </c>
      <c r="C54" s="389">
        <v>0.16</v>
      </c>
      <c r="D54" s="387">
        <v>0</v>
      </c>
      <c r="E54" s="387">
        <v>0.16</v>
      </c>
      <c r="F54" s="387">
        <v>0.16</v>
      </c>
    </row>
    <row r="55" spans="2:6" ht="16.5" thickBot="1" x14ac:dyDescent="0.3">
      <c r="B55" s="388" t="s">
        <v>482</v>
      </c>
      <c r="C55" s="390">
        <v>0.38</v>
      </c>
      <c r="D55" s="399">
        <v>0</v>
      </c>
      <c r="E55" s="399">
        <v>0.38</v>
      </c>
      <c r="F55" s="399">
        <v>0.38</v>
      </c>
    </row>
    <row r="56" spans="2:6" ht="16.5" thickBot="1" x14ac:dyDescent="0.3">
      <c r="B56" s="391" t="s">
        <v>483</v>
      </c>
      <c r="C56" s="392">
        <f>SUM(C45:C55)</f>
        <v>1.92</v>
      </c>
      <c r="D56" s="393">
        <f>SUM(D45:D55)</f>
        <v>0.61</v>
      </c>
      <c r="E56" s="394">
        <f>SUM(E45:E55)*(2/3)</f>
        <v>1.2799999999999998</v>
      </c>
      <c r="F56" s="393">
        <f>SUM(F45:F55)*(5/6)</f>
        <v>1.6</v>
      </c>
    </row>
    <row r="57" spans="2:6" ht="16.5" thickBot="1" x14ac:dyDescent="0.3">
      <c r="B57" s="395" t="s">
        <v>484</v>
      </c>
      <c r="C57" s="392">
        <v>2.23</v>
      </c>
      <c r="D57" s="336"/>
      <c r="E57" s="336"/>
      <c r="F57" s="336"/>
    </row>
    <row r="58" spans="2:6" ht="30" x14ac:dyDescent="0.25">
      <c r="B58" s="396" t="s">
        <v>485</v>
      </c>
      <c r="C58" s="397"/>
      <c r="D58" s="397"/>
      <c r="E58" s="397"/>
      <c r="F58" s="397"/>
    </row>
  </sheetData>
  <sheetProtection algorithmName="SHA-512" hashValue="/ylxVQ1WUb1/kw4ISFjaPpGgLrs41EvS2ZhDFoHwzLdOGWa1OoFDSNPpkDD2ieusck5XX/ECdVPi/7OfY096xQ==" saltValue="4XPom/c6b0WMNMsx8UBSXQ==" spinCount="100000" sheet="1" formatCells="0" formatColumns="0" formatRows="0" insertColumns="0" insertRows="0" insertHyperlinks="0" deleteColumns="0" deleteRows="0" sort="0" autoFilter="0" pivotTables="0"/>
  <mergeCells count="12">
    <mergeCell ref="F43:F44"/>
    <mergeCell ref="B1:F1"/>
    <mergeCell ref="C4:F4"/>
    <mergeCell ref="C6:F6"/>
    <mergeCell ref="B7:C9"/>
    <mergeCell ref="E7:F9"/>
    <mergeCell ref="B26:D26"/>
    <mergeCell ref="B27:D27"/>
    <mergeCell ref="B28:D28"/>
    <mergeCell ref="B43:B44"/>
    <mergeCell ref="D43:D44"/>
    <mergeCell ref="E43:E44"/>
  </mergeCells>
  <conditionalFormatting sqref="G26:AT28">
    <cfRule type="cellIs" dxfId="1" priority="1" operator="between">
      <formula>0.01</formula>
      <formula>0.99</formula>
    </cfRule>
    <cfRule type="cellIs" dxfId="0" priority="2" operator="equal">
      <formula>1</formula>
    </cfRule>
  </conditionalFormatting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D428-C98A-4923-B017-7E3B341EA27B}">
  <sheetPr>
    <tabColor rgb="FF92D050"/>
  </sheetPr>
  <dimension ref="B2:AG19"/>
  <sheetViews>
    <sheetView zoomScaleNormal="100" workbookViewId="0">
      <selection activeCell="D5" sqref="D5:AG5"/>
    </sheetView>
  </sheetViews>
  <sheetFormatPr defaultColWidth="9.140625" defaultRowHeight="11.25" x14ac:dyDescent="0.2"/>
  <cols>
    <col min="1" max="1" width="2.7109375" style="2" customWidth="1"/>
    <col min="2" max="2" width="45.42578125" style="2" bestFit="1" customWidth="1"/>
    <col min="3" max="3" width="10.7109375" style="2" customWidth="1"/>
    <col min="4" max="33" width="8.7109375" style="2" customWidth="1"/>
    <col min="34" max="16384" width="9.140625" style="2"/>
  </cols>
  <sheetData>
    <row r="2" spans="2:33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/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</row>
    <row r="4" spans="2:33" x14ac:dyDescent="0.2">
      <c r="B4" s="6" t="s">
        <v>451</v>
      </c>
      <c r="C4" s="6" t="s">
        <v>9</v>
      </c>
      <c r="D4" s="15">
        <f>Parametre!C13</f>
        <v>2023</v>
      </c>
      <c r="E4" s="15">
        <f>$D$4+D3</f>
        <v>2024</v>
      </c>
      <c r="F4" s="15">
        <f>$D$4+E3</f>
        <v>2025</v>
      </c>
      <c r="G4" s="15">
        <f t="shared" ref="G4:AG4" si="0">$D$4+F3</f>
        <v>2026</v>
      </c>
      <c r="H4" s="15">
        <f t="shared" si="0"/>
        <v>2027</v>
      </c>
      <c r="I4" s="15">
        <f t="shared" si="0"/>
        <v>2028</v>
      </c>
      <c r="J4" s="15">
        <f t="shared" si="0"/>
        <v>2029</v>
      </c>
      <c r="K4" s="15">
        <f t="shared" si="0"/>
        <v>2030</v>
      </c>
      <c r="L4" s="15">
        <f t="shared" si="0"/>
        <v>2031</v>
      </c>
      <c r="M4" s="15">
        <f t="shared" si="0"/>
        <v>2032</v>
      </c>
      <c r="N4" s="15">
        <f t="shared" si="0"/>
        <v>2033</v>
      </c>
      <c r="O4" s="15">
        <f t="shared" si="0"/>
        <v>2034</v>
      </c>
      <c r="P4" s="15">
        <f t="shared" si="0"/>
        <v>2035</v>
      </c>
      <c r="Q4" s="15">
        <f t="shared" si="0"/>
        <v>2036</v>
      </c>
      <c r="R4" s="15">
        <f t="shared" si="0"/>
        <v>2037</v>
      </c>
      <c r="S4" s="15">
        <f t="shared" si="0"/>
        <v>2038</v>
      </c>
      <c r="T4" s="15">
        <f t="shared" si="0"/>
        <v>2039</v>
      </c>
      <c r="U4" s="15">
        <f t="shared" si="0"/>
        <v>2040</v>
      </c>
      <c r="V4" s="15">
        <f t="shared" si="0"/>
        <v>2041</v>
      </c>
      <c r="W4" s="15">
        <f t="shared" si="0"/>
        <v>2042</v>
      </c>
      <c r="X4" s="15">
        <f t="shared" si="0"/>
        <v>2043</v>
      </c>
      <c r="Y4" s="15">
        <f t="shared" si="0"/>
        <v>2044</v>
      </c>
      <c r="Z4" s="15">
        <f t="shared" si="0"/>
        <v>2045</v>
      </c>
      <c r="AA4" s="15">
        <f t="shared" si="0"/>
        <v>2046</v>
      </c>
      <c r="AB4" s="15">
        <f t="shared" si="0"/>
        <v>2047</v>
      </c>
      <c r="AC4" s="15">
        <f t="shared" si="0"/>
        <v>2048</v>
      </c>
      <c r="AD4" s="15">
        <f t="shared" si="0"/>
        <v>2049</v>
      </c>
      <c r="AE4" s="15">
        <f t="shared" si="0"/>
        <v>2050</v>
      </c>
      <c r="AF4" s="15">
        <f t="shared" si="0"/>
        <v>2051</v>
      </c>
      <c r="AG4" s="15">
        <f t="shared" si="0"/>
        <v>2052</v>
      </c>
    </row>
    <row r="5" spans="2:33" ht="12" thickBot="1" x14ac:dyDescent="0.25">
      <c r="B5" s="21" t="s">
        <v>452</v>
      </c>
      <c r="C5" s="131">
        <f t="shared" ref="C5:C8" si="1">SUM(D5:AG5)</f>
        <v>63686.836828365675</v>
      </c>
      <c r="D5" s="131">
        <f>'Úspora času cestujúci - zánovné'!G4</f>
        <v>0</v>
      </c>
      <c r="E5" s="131">
        <f>'Úspora času cestujúci - zánovné'!H4</f>
        <v>0</v>
      </c>
      <c r="F5" s="131">
        <f>'Úspora času cestujúci - zánovné'!I4</f>
        <v>1578.1604724829822</v>
      </c>
      <c r="G5" s="131">
        <f>'Úspora času cestujúci - zánovné'!J4</f>
        <v>2369.3757780886394</v>
      </c>
      <c r="H5" s="131">
        <f>'Úspora času cestujúci - zánovné'!K4</f>
        <v>2370.8877415167235</v>
      </c>
      <c r="I5" s="131">
        <f>'Úspora času cestujúci - zánovné'!L4</f>
        <v>2371.7783292684735</v>
      </c>
      <c r="J5" s="131">
        <f>'Úspora času cestujúci - zánovné'!M4</f>
        <v>2372.1814600466423</v>
      </c>
      <c r="K5" s="131">
        <f>'Úspora času cestujúci - zánovné'!N4</f>
        <v>2372.0827132314262</v>
      </c>
      <c r="L5" s="131">
        <f>'Úspora času cestujúci - zánovné'!O4</f>
        <v>2372.3875378674693</v>
      </c>
      <c r="M5" s="131">
        <f>'Úspora času cestujúci - zánovné'!P4</f>
        <v>2372.2175392627405</v>
      </c>
      <c r="N5" s="131">
        <f>'Úspora času cestujúci - zánovné'!Q4</f>
        <v>2371.7314928490337</v>
      </c>
      <c r="O5" s="131">
        <f>'Úspora času cestujúci - zánovné'!R4</f>
        <v>2370.9905238367519</v>
      </c>
      <c r="P5" s="131">
        <f>'Úspora času cestujúci - zánovné'!S4</f>
        <v>2370.0342127280901</v>
      </c>
      <c r="Q5" s="131">
        <f>'Úspora času cestujúci - zánovné'!T4</f>
        <v>2367.5104755442735</v>
      </c>
      <c r="R5" s="131">
        <f>'Úspora času cestujúci - zánovné'!U4</f>
        <v>2363.4232833121455</v>
      </c>
      <c r="S5" s="131">
        <f>'Úspora času cestujúci - zánovné'!V4</f>
        <v>2357.7797082018492</v>
      </c>
      <c r="T5" s="131">
        <f>'Úspora času cestujúci - zánovné'!W4</f>
        <v>2350.5899035632501</v>
      </c>
      <c r="U5" s="131">
        <f>'Úspora času cestujúci - zánovné'!X4</f>
        <v>2341.8670737791826</v>
      </c>
      <c r="V5" s="131">
        <f>'Úspora času cestujúci - zánovné'!Y4</f>
        <v>2331.0294652227822</v>
      </c>
      <c r="W5" s="131">
        <f>'Úspora času cestujúci - zánovné'!Z4</f>
        <v>2318.1047984375591</v>
      </c>
      <c r="X5" s="131">
        <f>'Úspora času cestujúci - zánovné'!AA4</f>
        <v>2303.1264316803054</v>
      </c>
      <c r="Y5" s="131">
        <f>'Úspora času cestujúci - zánovné'!AB4</f>
        <v>2286.1332176626247</v>
      </c>
      <c r="Z5" s="131">
        <f>'Úspora času cestujúci - zánovné'!AC4</f>
        <v>2267.1693356360015</v>
      </c>
      <c r="AA5" s="131">
        <f>'Úspora času cestujúci - zánovné'!AD4</f>
        <v>2245.3768446655513</v>
      </c>
      <c r="AB5" s="131">
        <f>'Úspora času cestujúci - zánovné'!AE4</f>
        <v>2220.8366107781403</v>
      </c>
      <c r="AC5" s="131">
        <f>'Úspora času cestujúci - zánovné'!AF4</f>
        <v>2193.6396857465752</v>
      </c>
      <c r="AD5" s="131">
        <f>'Úspora času cestujúci - zánovné'!AG4</f>
        <v>2163.8867429293255</v>
      </c>
      <c r="AE5" s="131">
        <f>'Úspora času cestujúci - zánovné'!AH4</f>
        <v>2131.6874544306074</v>
      </c>
      <c r="AF5" s="131">
        <f>'Úspora času cestujúci - zánovné'!AI4</f>
        <v>2095.9591869020487</v>
      </c>
      <c r="AG5" s="131">
        <f>'Úspora času cestujúci - zánovné'!AJ4</f>
        <v>2056.888808694478</v>
      </c>
    </row>
    <row r="6" spans="2:33" ht="12" thickTop="1" x14ac:dyDescent="0.2">
      <c r="B6" s="23" t="s">
        <v>183</v>
      </c>
      <c r="C6" s="132">
        <f t="shared" si="1"/>
        <v>2738.5339836197236</v>
      </c>
      <c r="D6" s="132">
        <f>D5*Parametre!$C$78</f>
        <v>0</v>
      </c>
      <c r="E6" s="132">
        <f>E5*Parametre!$C$78</f>
        <v>0</v>
      </c>
      <c r="F6" s="132">
        <f>F5*Parametre!$C$78</f>
        <v>67.860900316768223</v>
      </c>
      <c r="G6" s="132">
        <f>G5*Parametre!$C$78</f>
        <v>101.88315845781149</v>
      </c>
      <c r="H6" s="132">
        <f>H5*Parametre!$C$78</f>
        <v>101.94817288521911</v>
      </c>
      <c r="I6" s="132">
        <f>I5*Parametre!$C$78</f>
        <v>101.98646815854435</v>
      </c>
      <c r="J6" s="132">
        <f>J5*Parametre!$C$78</f>
        <v>102.00380278200561</v>
      </c>
      <c r="K6" s="132">
        <f>K5*Parametre!$C$78</f>
        <v>101.99955666895131</v>
      </c>
      <c r="L6" s="132">
        <f>L5*Parametre!$C$78</f>
        <v>102.01266412830117</v>
      </c>
      <c r="M6" s="132">
        <f>M5*Parametre!$C$78</f>
        <v>102.00535418829783</v>
      </c>
      <c r="N6" s="132">
        <f>N5*Parametre!$C$78</f>
        <v>101.98445419250844</v>
      </c>
      <c r="O6" s="132">
        <f>O5*Parametre!$C$78</f>
        <v>101.95259252498032</v>
      </c>
      <c r="P6" s="132">
        <f>P5*Parametre!$C$78</f>
        <v>101.91147114730786</v>
      </c>
      <c r="Q6" s="132">
        <f>Q5*Parametre!$C$78</f>
        <v>101.80295044840375</v>
      </c>
      <c r="R6" s="132">
        <f>R5*Parametre!$C$78</f>
        <v>101.62720118242225</v>
      </c>
      <c r="S6" s="132">
        <f>S5*Parametre!$C$78</f>
        <v>101.38452745267951</v>
      </c>
      <c r="T6" s="132">
        <f>T5*Parametre!$C$78</f>
        <v>101.07536585321975</v>
      </c>
      <c r="U6" s="132">
        <f>U5*Parametre!$C$78</f>
        <v>100.70028417250485</v>
      </c>
      <c r="V6" s="132">
        <f>V5*Parametre!$C$78</f>
        <v>100.23426700457962</v>
      </c>
      <c r="W6" s="132">
        <f>W5*Parametre!$C$78</f>
        <v>99.678506332815033</v>
      </c>
      <c r="X6" s="132">
        <f>X5*Parametre!$C$78</f>
        <v>99.03443656225312</v>
      </c>
      <c r="Y6" s="132">
        <f>Y5*Parametre!$C$78</f>
        <v>98.303728359492851</v>
      </c>
      <c r="Z6" s="132">
        <f>Z5*Parametre!$C$78</f>
        <v>97.48828143234806</v>
      </c>
      <c r="AA6" s="132">
        <f>AA5*Parametre!$C$78</f>
        <v>96.551204320618695</v>
      </c>
      <c r="AB6" s="132">
        <f>AB5*Parametre!$C$78</f>
        <v>95.495974263460027</v>
      </c>
      <c r="AC6" s="132">
        <f>AC5*Parametre!$C$78</f>
        <v>94.326506487102719</v>
      </c>
      <c r="AD6" s="132">
        <f>AD5*Parametre!$C$78</f>
        <v>93.04712994596099</v>
      </c>
      <c r="AE6" s="132">
        <f>AE5*Parametre!$C$78</f>
        <v>91.662560540516111</v>
      </c>
      <c r="AF6" s="132">
        <f>AF5*Parametre!$C$78</f>
        <v>90.126245036788092</v>
      </c>
      <c r="AG6" s="132">
        <f>AG5*Parametre!$C$78</f>
        <v>88.446218773862554</v>
      </c>
    </row>
    <row r="7" spans="2:33" x14ac:dyDescent="0.2">
      <c r="B7" s="3" t="s">
        <v>114</v>
      </c>
      <c r="C7" s="130">
        <f t="shared" si="1"/>
        <v>16303.830228061614</v>
      </c>
      <c r="D7" s="130">
        <f>D5*Parametre!$D$78</f>
        <v>0</v>
      </c>
      <c r="E7" s="130">
        <f>E5*Parametre!$D$78</f>
        <v>0</v>
      </c>
      <c r="F7" s="130">
        <f>F5*Parametre!$D$78</f>
        <v>404.00908095564347</v>
      </c>
      <c r="G7" s="130">
        <f>G5*Parametre!$D$78</f>
        <v>606.56019919069172</v>
      </c>
      <c r="H7" s="130">
        <f>H5*Parametre!$D$78</f>
        <v>606.94726182828128</v>
      </c>
      <c r="I7" s="130">
        <f>I5*Parametre!$D$78</f>
        <v>607.17525229272928</v>
      </c>
      <c r="J7" s="130">
        <f>J5*Parametre!$D$78</f>
        <v>607.27845377194046</v>
      </c>
      <c r="K7" s="130">
        <f>K5*Parametre!$D$78</f>
        <v>607.2531745872451</v>
      </c>
      <c r="L7" s="130">
        <f>L5*Parametre!$D$78</f>
        <v>607.33120969407219</v>
      </c>
      <c r="M7" s="130">
        <f>M5*Parametre!$D$78</f>
        <v>607.28769005126162</v>
      </c>
      <c r="N7" s="130">
        <f>N5*Parametre!$D$78</f>
        <v>607.16326216935261</v>
      </c>
      <c r="O7" s="130">
        <f>O5*Parametre!$D$78</f>
        <v>606.97357410220854</v>
      </c>
      <c r="P7" s="130">
        <f>P5*Parametre!$D$78</f>
        <v>606.7287584583911</v>
      </c>
      <c r="Q7" s="130">
        <f>Q5*Parametre!$D$78</f>
        <v>606.08268173933402</v>
      </c>
      <c r="R7" s="130">
        <f>R5*Parametre!$D$78</f>
        <v>605.03636052790921</v>
      </c>
      <c r="S7" s="130">
        <f>S5*Parametre!$D$78</f>
        <v>603.59160529967346</v>
      </c>
      <c r="T7" s="130">
        <f>T5*Parametre!$D$78</f>
        <v>601.75101531219207</v>
      </c>
      <c r="U7" s="130">
        <f>U5*Parametre!$D$78</f>
        <v>599.51797088747082</v>
      </c>
      <c r="V7" s="130">
        <f>V5*Parametre!$D$78</f>
        <v>596.74354309703222</v>
      </c>
      <c r="W7" s="130">
        <f>W5*Parametre!$D$78</f>
        <v>593.43482840001514</v>
      </c>
      <c r="X7" s="130">
        <f>X5*Parametre!$D$78</f>
        <v>589.60036651015821</v>
      </c>
      <c r="Y7" s="130">
        <f>Y5*Parametre!$D$78</f>
        <v>585.25010372163194</v>
      </c>
      <c r="Z7" s="130">
        <f>Z5*Parametre!$D$78</f>
        <v>580.39534992281642</v>
      </c>
      <c r="AA7" s="130">
        <f>AA5*Parametre!$D$78</f>
        <v>574.81647223438119</v>
      </c>
      <c r="AB7" s="130">
        <f>AB5*Parametre!$D$78</f>
        <v>568.53417235920392</v>
      </c>
      <c r="AC7" s="130">
        <f>AC5*Parametre!$D$78</f>
        <v>561.57175955112325</v>
      </c>
      <c r="AD7" s="130">
        <f>AD5*Parametre!$D$78</f>
        <v>553.95500618990729</v>
      </c>
      <c r="AE7" s="130">
        <f>AE5*Parametre!$D$78</f>
        <v>545.71198833423546</v>
      </c>
      <c r="AF7" s="130">
        <f>AF5*Parametre!$D$78</f>
        <v>536.56555184692445</v>
      </c>
      <c r="AG7" s="130">
        <f>AG5*Parametre!$D$78</f>
        <v>526.56353502578634</v>
      </c>
    </row>
    <row r="8" spans="2:33" x14ac:dyDescent="0.2">
      <c r="B8" s="3" t="s">
        <v>115</v>
      </c>
      <c r="C8" s="130">
        <f t="shared" si="1"/>
        <v>44644.472616684332</v>
      </c>
      <c r="D8" s="130">
        <f>D5*Parametre!$E$78</f>
        <v>0</v>
      </c>
      <c r="E8" s="130">
        <f>E5*Parametre!$E$78</f>
        <v>0</v>
      </c>
      <c r="F8" s="130">
        <f>F5*Parametre!$E$78</f>
        <v>1106.2904912105705</v>
      </c>
      <c r="G8" s="130">
        <f>G5*Parametre!$E$78</f>
        <v>1660.9324204401362</v>
      </c>
      <c r="H8" s="130">
        <f>H5*Parametre!$E$78</f>
        <v>1661.9923068032231</v>
      </c>
      <c r="I8" s="130">
        <f>I5*Parametre!$E$78</f>
        <v>1662.6166088171999</v>
      </c>
      <c r="J8" s="130">
        <f>J5*Parametre!$E$78</f>
        <v>1662.8992034926962</v>
      </c>
      <c r="K8" s="130">
        <f>K5*Parametre!$E$78</f>
        <v>1662.8299819752297</v>
      </c>
      <c r="L8" s="130">
        <f>L5*Parametre!$E$78</f>
        <v>1663.043664045096</v>
      </c>
      <c r="M8" s="130">
        <f>M5*Parametre!$E$78</f>
        <v>1662.924495023181</v>
      </c>
      <c r="N8" s="130">
        <f>N5*Parametre!$E$78</f>
        <v>1662.5837764871726</v>
      </c>
      <c r="O8" s="130">
        <f>O5*Parametre!$E$78</f>
        <v>1662.064357209563</v>
      </c>
      <c r="P8" s="130">
        <f>P5*Parametre!$E$78</f>
        <v>1661.3939831223911</v>
      </c>
      <c r="Q8" s="130">
        <f>Q5*Parametre!$E$78</f>
        <v>1659.6248433565356</v>
      </c>
      <c r="R8" s="130">
        <f>R5*Parametre!$E$78</f>
        <v>1656.7597216018139</v>
      </c>
      <c r="S8" s="130">
        <f>S5*Parametre!$E$78</f>
        <v>1652.8035754494961</v>
      </c>
      <c r="T8" s="130">
        <f>T5*Parametre!$E$78</f>
        <v>1647.7635223978382</v>
      </c>
      <c r="U8" s="130">
        <f>U5*Parametre!$E$78</f>
        <v>1641.6488187192069</v>
      </c>
      <c r="V8" s="130">
        <f>V5*Parametre!$E$78</f>
        <v>1634.0516551211701</v>
      </c>
      <c r="W8" s="130">
        <f>W5*Parametre!$E$78</f>
        <v>1624.9914637047289</v>
      </c>
      <c r="X8" s="130">
        <f>X5*Parametre!$E$78</f>
        <v>1614.491628607894</v>
      </c>
      <c r="Y8" s="130">
        <f>Y5*Parametre!$E$78</f>
        <v>1602.5793855814998</v>
      </c>
      <c r="Z8" s="130">
        <f>Z5*Parametre!$E$78</f>
        <v>1589.2857042808369</v>
      </c>
      <c r="AA8" s="130">
        <f>AA5*Parametre!$E$78</f>
        <v>1574.0091681105514</v>
      </c>
      <c r="AB8" s="130">
        <f>AB5*Parametre!$E$78</f>
        <v>1556.8064641554763</v>
      </c>
      <c r="AC8" s="130">
        <f>AC5*Parametre!$E$78</f>
        <v>1537.7414197083492</v>
      </c>
      <c r="AD8" s="130">
        <f>AD5*Parametre!$E$78</f>
        <v>1516.8846067934571</v>
      </c>
      <c r="AE8" s="130">
        <f>AE5*Parametre!$E$78</f>
        <v>1494.3129055558557</v>
      </c>
      <c r="AF8" s="130">
        <f>AF5*Parametre!$E$78</f>
        <v>1469.2673900183361</v>
      </c>
      <c r="AG8" s="130">
        <f>AG5*Parametre!$E$78</f>
        <v>1441.8790548948291</v>
      </c>
    </row>
    <row r="10" spans="2:33" x14ac:dyDescent="0.2">
      <c r="B10" s="10" t="s">
        <v>453</v>
      </c>
    </row>
    <row r="11" spans="2:33" x14ac:dyDescent="0.2">
      <c r="B11" s="129" t="s">
        <v>183</v>
      </c>
      <c r="C11" s="130">
        <f>SUM(D11:AG11)</f>
        <v>63696.53800950935</v>
      </c>
      <c r="D11" s="130">
        <f>D6*Parametre!E82</f>
        <v>0</v>
      </c>
      <c r="E11" s="130">
        <f>E6*Parametre!F82</f>
        <v>0</v>
      </c>
      <c r="F11" s="130">
        <f>F6*Parametre!G82</f>
        <v>1389.1126294842454</v>
      </c>
      <c r="G11" s="130">
        <f>G6*Parametre!H82</f>
        <v>2113.05670641501</v>
      </c>
      <c r="H11" s="130">
        <f>H6*Parametre!I82</f>
        <v>2139.8921488607489</v>
      </c>
      <c r="I11" s="130">
        <f>I6*Parametre!J82</f>
        <v>2166.1925836874821</v>
      </c>
      <c r="J11" s="130">
        <f>J6*Parametre!K82</f>
        <v>2192.0617217853005</v>
      </c>
      <c r="K11" s="130">
        <f>K6*Parametre!L82</f>
        <v>2218.490357549691</v>
      </c>
      <c r="L11" s="130">
        <f>L6*Parametre!M82</f>
        <v>2237.1377243336447</v>
      </c>
      <c r="M11" s="130">
        <f>M6*Parametre!N82</f>
        <v>2255.338381103265</v>
      </c>
      <c r="N11" s="130">
        <f>N6*Parametre!O82</f>
        <v>2274.2533284929382</v>
      </c>
      <c r="O11" s="130">
        <f>O6*Parametre!P82</f>
        <v>2292.913805886807</v>
      </c>
      <c r="P11" s="130">
        <f>P6*Parametre!Q82</f>
        <v>2311.3521656209423</v>
      </c>
      <c r="Q11" s="130">
        <f>Q6*Parametre!R82</f>
        <v>2328.2334767549937</v>
      </c>
      <c r="R11" s="130">
        <f>R6*Parametre!S82</f>
        <v>2343.5232592666571</v>
      </c>
      <c r="S11" s="130">
        <f>S6*Parametre!T82</f>
        <v>2357.1902632747983</v>
      </c>
      <c r="T11" s="130">
        <f>T6*Parametre!U82</f>
        <v>2370.2173292580032</v>
      </c>
      <c r="U11" s="130">
        <f>U6*Parametre!V82</f>
        <v>2381.5617206797397</v>
      </c>
      <c r="V11" s="130">
        <f>V6*Parametre!W82</f>
        <v>2387.5802400490866</v>
      </c>
      <c r="W11" s="130">
        <f>W6*Parametre!X82</f>
        <v>2391.2873669242326</v>
      </c>
      <c r="X11" s="130">
        <f>X6*Parametre!Y82</f>
        <v>2392.6719873440352</v>
      </c>
      <c r="Y11" s="130">
        <f>Y6*Parametre!Z82</f>
        <v>2391.7297109864608</v>
      </c>
      <c r="Z11" s="130">
        <f>Z6*Parametre!AA82</f>
        <v>2388.4628950925276</v>
      </c>
      <c r="AA11" s="130">
        <f>AA6*Parametre!AB82</f>
        <v>2381.9182105896634</v>
      </c>
      <c r="AB11" s="130">
        <f>AB6*Parametre!AC82</f>
        <v>2372.1200007043471</v>
      </c>
      <c r="AC11" s="130">
        <f>AC6*Parametre!AD82</f>
        <v>2359.1059272424391</v>
      </c>
      <c r="AD11" s="130">
        <f>AD6*Parametre!AE82</f>
        <v>2343.8572033387572</v>
      </c>
      <c r="AE11" s="130">
        <f>AE6*Parametre!AF82</f>
        <v>2325.4791609128938</v>
      </c>
      <c r="AF11" s="130">
        <f>AF6*Parametre!AG82</f>
        <v>2307.2318729417752</v>
      </c>
      <c r="AG11" s="130">
        <f>AG6*Parametre!AH82</f>
        <v>2284.5658309288697</v>
      </c>
    </row>
    <row r="12" spans="2:33" x14ac:dyDescent="0.2">
      <c r="B12" s="129" t="s">
        <v>114</v>
      </c>
      <c r="C12" s="130">
        <f>SUM(D12:AG12)</f>
        <v>170521.88770799115</v>
      </c>
      <c r="D12" s="130">
        <f>D7*Parametre!E83</f>
        <v>0</v>
      </c>
      <c r="E12" s="130">
        <f>E7*Parametre!F83</f>
        <v>0</v>
      </c>
      <c r="F12" s="130">
        <f>F7*Parametre!G83</f>
        <v>3870.4069955550644</v>
      </c>
      <c r="G12" s="130">
        <f>G7*Parametre!H83</f>
        <v>5865.4371261739889</v>
      </c>
      <c r="H12" s="130">
        <f>H7*Parametre!I83</f>
        <v>5917.7358028257422</v>
      </c>
      <c r="I12" s="130">
        <f>I7*Parametre!J83</f>
        <v>5968.5327300375293</v>
      </c>
      <c r="J12" s="130">
        <f>J7*Parametre!K83</f>
        <v>6018.1294768799298</v>
      </c>
      <c r="K12" s="130">
        <f>K7*Parametre!L83</f>
        <v>6066.4592141265784</v>
      </c>
      <c r="L12" s="130">
        <f>L7*Parametre!M83</f>
        <v>6103.6786574254256</v>
      </c>
      <c r="M12" s="130">
        <f>M7*Parametre!N83</f>
        <v>6139.6785464182549</v>
      </c>
      <c r="N12" s="130">
        <f>N7*Parametre!O83</f>
        <v>6174.8503762623159</v>
      </c>
      <c r="O12" s="130">
        <f>O7*Parametre!P83</f>
        <v>6209.3396630655934</v>
      </c>
      <c r="P12" s="130">
        <f>P7*Parametre!Q83</f>
        <v>6243.238924536844</v>
      </c>
      <c r="Q12" s="130">
        <f>Q7*Parametre!R83</f>
        <v>6272.9557560021067</v>
      </c>
      <c r="R12" s="130">
        <f>R7*Parametre!S83</f>
        <v>6298.428513095535</v>
      </c>
      <c r="S12" s="130">
        <f>S7*Parametre!T83</f>
        <v>6319.6041074875811</v>
      </c>
      <c r="T12" s="130">
        <f>T7*Parametre!U83</f>
        <v>6336.4381912373819</v>
      </c>
      <c r="U12" s="130">
        <f>U7*Parametre!V83</f>
        <v>6348.8953116983157</v>
      </c>
      <c r="V12" s="130">
        <f>V7*Parametre!W83</f>
        <v>6349.351298552423</v>
      </c>
      <c r="W12" s="130">
        <f>W7*Parametre!X83</f>
        <v>6343.8183155961615</v>
      </c>
      <c r="X12" s="130">
        <f>X7*Parametre!Y83</f>
        <v>6332.3079363190991</v>
      </c>
      <c r="Y12" s="130">
        <f>Y7*Parametre!Z83</f>
        <v>6314.8486191564079</v>
      </c>
      <c r="Z12" s="130">
        <f>Z7*Parametre!AA83</f>
        <v>6291.4855931633301</v>
      </c>
      <c r="AA12" s="130">
        <f>AA7*Parametre!AB83</f>
        <v>6259.7513826324112</v>
      </c>
      <c r="AB12" s="130">
        <f>AB7*Parametre!AC83</f>
        <v>6219.7638456096902</v>
      </c>
      <c r="AC12" s="130">
        <f>AC7*Parametre!AD83</f>
        <v>6171.6736374668444</v>
      </c>
      <c r="AD12" s="130">
        <f>AD7*Parametre!AE83</f>
        <v>6115.663268336576</v>
      </c>
      <c r="AE12" s="130">
        <f>AE7*Parametre!AF83</f>
        <v>6057.4030705100131</v>
      </c>
      <c r="AF12" s="130">
        <f>AF7*Parametre!AG83</f>
        <v>5993.4372141301465</v>
      </c>
      <c r="AG12" s="130">
        <f>AG7*Parametre!AH83</f>
        <v>5918.5741336898382</v>
      </c>
    </row>
    <row r="13" spans="2:33" x14ac:dyDescent="0.2">
      <c r="B13" s="129" t="s">
        <v>115</v>
      </c>
      <c r="C13" s="133">
        <f>SUM(D13:AG13)</f>
        <v>304317.73716632696</v>
      </c>
      <c r="D13" s="130">
        <f>D8*Parametre!E84</f>
        <v>0</v>
      </c>
      <c r="E13" s="130">
        <f>E8*Parametre!F84</f>
        <v>0</v>
      </c>
      <c r="F13" s="130">
        <f>F8*Parametre!G84</f>
        <v>6903.2526651539602</v>
      </c>
      <c r="G13" s="130">
        <f>G8*Parametre!H84</f>
        <v>10463.874248772858</v>
      </c>
      <c r="H13" s="130">
        <f>H8*Parametre!I84</f>
        <v>10553.651148200466</v>
      </c>
      <c r="I13" s="130">
        <f>I8*Parametre!J84</f>
        <v>10640.746296430079</v>
      </c>
      <c r="J13" s="130">
        <f>J8*Parametre!K84</f>
        <v>10725.69986252789</v>
      </c>
      <c r="K13" s="130">
        <f>K8*Parametre!L84</f>
        <v>10808.394882838993</v>
      </c>
      <c r="L13" s="130">
        <f>L8*Parametre!M84</f>
        <v>10876.305562854928</v>
      </c>
      <c r="M13" s="130">
        <f>M8*Parametre!N84</f>
        <v>10942.043177252532</v>
      </c>
      <c r="N13" s="130">
        <f>N8*Parametre!O84</f>
        <v>11006.304600345084</v>
      </c>
      <c r="O13" s="130">
        <f>O8*Parametre!P84</f>
        <v>11069.348619015689</v>
      </c>
      <c r="P13" s="130">
        <f>P8*Parametre!Q84</f>
        <v>11131.339686920021</v>
      </c>
      <c r="Q13" s="130">
        <f>Q8*Parametre!R84</f>
        <v>11185.87144422305</v>
      </c>
      <c r="R13" s="130">
        <f>R8*Parametre!S84</f>
        <v>11232.830912460298</v>
      </c>
      <c r="S13" s="130">
        <f>S8*Parametre!T84</f>
        <v>11272.120384565564</v>
      </c>
      <c r="T13" s="130">
        <f>T8*Parametre!U84</f>
        <v>11303.657763649171</v>
      </c>
      <c r="U13" s="130">
        <f>U8*Parametre!V84</f>
        <v>11327.376849162529</v>
      </c>
      <c r="V13" s="130">
        <f>V8*Parametre!W84</f>
        <v>11323.977969989708</v>
      </c>
      <c r="W13" s="130">
        <f>W8*Parametre!X84</f>
        <v>11309.940587384914</v>
      </c>
      <c r="X13" s="130">
        <f>X8*Parametre!Y84</f>
        <v>11285.296483969179</v>
      </c>
      <c r="Y13" s="130">
        <f>Y8*Parametre!Z84</f>
        <v>11250.107286782128</v>
      </c>
      <c r="Z13" s="130">
        <f>Z8*Parametre!AA84</f>
        <v>11220.357072222707</v>
      </c>
      <c r="AA13" s="130">
        <f>AA8*Parametre!AB84</f>
        <v>11175.465093584915</v>
      </c>
      <c r="AB13" s="130">
        <f>AB8*Parametre!AC84</f>
        <v>11115.5981540701</v>
      </c>
      <c r="AC13" s="130">
        <f>AC8*Parametre!AD84</f>
        <v>11040.983393505947</v>
      </c>
      <c r="AD13" s="130">
        <f>AD8*Parametre!AE84</f>
        <v>10951.906861048759</v>
      </c>
      <c r="AE13" s="130">
        <f>AE8*Parametre!AF84</f>
        <v>10848.711694335512</v>
      </c>
      <c r="AF13" s="130">
        <f>AF8*Parametre!AG84</f>
        <v>10740.344621034035</v>
      </c>
      <c r="AG13" s="130">
        <f>AG8*Parametre!AH84</f>
        <v>10612.229844025942</v>
      </c>
    </row>
    <row r="14" spans="2:33" x14ac:dyDescent="0.2">
      <c r="B14" s="177" t="s">
        <v>355</v>
      </c>
      <c r="C14" s="178">
        <f>SUM(D14:AG14)</f>
        <v>538536.16288382746</v>
      </c>
      <c r="D14" s="179">
        <f>SUM(D11:D13)</f>
        <v>0</v>
      </c>
      <c r="E14" s="178">
        <f t="shared" ref="E14:AG14" si="2">SUM(E11:E13)</f>
        <v>0</v>
      </c>
      <c r="F14" s="178">
        <f t="shared" si="2"/>
        <v>12162.77229019327</v>
      </c>
      <c r="G14" s="178">
        <f t="shared" si="2"/>
        <v>18442.368081361856</v>
      </c>
      <c r="H14" s="178">
        <f t="shared" si="2"/>
        <v>18611.279099886957</v>
      </c>
      <c r="I14" s="178">
        <f t="shared" si="2"/>
        <v>18775.471610155091</v>
      </c>
      <c r="J14" s="178">
        <f t="shared" si="2"/>
        <v>18935.891061193121</v>
      </c>
      <c r="K14" s="178">
        <f t="shared" si="2"/>
        <v>19093.34445451526</v>
      </c>
      <c r="L14" s="178">
        <f t="shared" si="2"/>
        <v>19217.121944613998</v>
      </c>
      <c r="M14" s="178">
        <f t="shared" si="2"/>
        <v>19337.060104774049</v>
      </c>
      <c r="N14" s="178">
        <f t="shared" si="2"/>
        <v>19455.40830510034</v>
      </c>
      <c r="O14" s="178">
        <f t="shared" si="2"/>
        <v>19571.602087968087</v>
      </c>
      <c r="P14" s="178">
        <f t="shared" si="2"/>
        <v>19685.930777077807</v>
      </c>
      <c r="Q14" s="178">
        <f t="shared" si="2"/>
        <v>19787.060676980152</v>
      </c>
      <c r="R14" s="178">
        <f t="shared" si="2"/>
        <v>19874.78268482249</v>
      </c>
      <c r="S14" s="178">
        <f t="shared" si="2"/>
        <v>19948.914755327944</v>
      </c>
      <c r="T14" s="178">
        <f t="shared" si="2"/>
        <v>20010.313284144555</v>
      </c>
      <c r="U14" s="178">
        <f t="shared" si="2"/>
        <v>20057.833881540584</v>
      </c>
      <c r="V14" s="178">
        <f t="shared" si="2"/>
        <v>20060.909508591219</v>
      </c>
      <c r="W14" s="178">
        <f t="shared" si="2"/>
        <v>20045.04626990531</v>
      </c>
      <c r="X14" s="178">
        <f t="shared" si="2"/>
        <v>20010.276407632315</v>
      </c>
      <c r="Y14" s="178">
        <f t="shared" si="2"/>
        <v>19956.685616924995</v>
      </c>
      <c r="Z14" s="178">
        <f t="shared" si="2"/>
        <v>19900.305560478562</v>
      </c>
      <c r="AA14" s="178">
        <f t="shared" si="2"/>
        <v>19817.134686806989</v>
      </c>
      <c r="AB14" s="178">
        <f t="shared" si="2"/>
        <v>19707.482000384138</v>
      </c>
      <c r="AC14" s="178">
        <f t="shared" si="2"/>
        <v>19571.762958215229</v>
      </c>
      <c r="AD14" s="178">
        <f t="shared" si="2"/>
        <v>19411.427332724092</v>
      </c>
      <c r="AE14" s="178">
        <f t="shared" si="2"/>
        <v>19231.593925758418</v>
      </c>
      <c r="AF14" s="178">
        <f t="shared" si="2"/>
        <v>19041.013708105958</v>
      </c>
      <c r="AG14" s="178">
        <f t="shared" si="2"/>
        <v>18815.369808644649</v>
      </c>
    </row>
    <row r="16" spans="2:33" x14ac:dyDescent="0.2">
      <c r="B16" s="1" t="s">
        <v>2</v>
      </c>
    </row>
    <row r="17" spans="2:2" x14ac:dyDescent="0.2">
      <c r="B17" s="1" t="s">
        <v>356</v>
      </c>
    </row>
    <row r="18" spans="2:2" x14ac:dyDescent="0.2">
      <c r="B18" s="1" t="s">
        <v>357</v>
      </c>
    </row>
    <row r="19" spans="2:2" x14ac:dyDescent="0.2">
      <c r="B19" s="10"/>
    </row>
  </sheetData>
  <sheetProtection algorithmName="SHA-512" hashValue="+jp/esHLWZi3JMF7EH3qSmXKxRMRSL0ny0bc7ugWtAuaacOdPhCJBvR7s33ykRDdMq64KM1ils+tBwtwNiLW6Q==" saltValue="2buX8af9/mSrRhqp9iZX+A==" spinCount="100000" sheet="1" formatCells="0" formatColumns="0" formatRows="0" insertColumns="0" insertRows="0" insertHyperlinks="0" deleteColumns="0" deleteRows="0" sort="0" autoFilter="0" pivotTables="0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455A-B0D7-4BCC-B1F9-D386ED82C30B}">
  <sheetPr>
    <tabColor rgb="FF92D050"/>
  </sheetPr>
  <dimension ref="B2:AG14"/>
  <sheetViews>
    <sheetView zoomScaleNormal="100" workbookViewId="0">
      <selection activeCell="J27" sqref="J27"/>
    </sheetView>
  </sheetViews>
  <sheetFormatPr defaultColWidth="9.140625" defaultRowHeight="11.25" x14ac:dyDescent="0.2"/>
  <cols>
    <col min="1" max="1" width="2.7109375" style="24" customWidth="1"/>
    <col min="2" max="2" width="46.7109375" style="24" bestFit="1" customWidth="1"/>
    <col min="3" max="3" width="14.28515625" style="24" customWidth="1"/>
    <col min="4" max="33" width="11.140625" style="24" customWidth="1"/>
    <col min="34" max="34" width="5" style="24" bestFit="1" customWidth="1"/>
    <col min="35" max="16384" width="9.140625" style="24"/>
  </cols>
  <sheetData>
    <row r="2" spans="2:33" x14ac:dyDescent="0.2">
      <c r="B2" s="30" t="s">
        <v>358</v>
      </c>
      <c r="C2" s="30"/>
      <c r="D2" s="25" t="s">
        <v>10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2:33" x14ac:dyDescent="0.2">
      <c r="B3" s="26"/>
      <c r="C3" s="26"/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7">
        <v>25</v>
      </c>
      <c r="AC3" s="27">
        <v>26</v>
      </c>
      <c r="AD3" s="27">
        <v>27</v>
      </c>
      <c r="AE3" s="27">
        <v>28</v>
      </c>
      <c r="AF3" s="27">
        <v>29</v>
      </c>
      <c r="AG3" s="27">
        <v>30</v>
      </c>
    </row>
    <row r="4" spans="2:33" ht="22.5" x14ac:dyDescent="0.2">
      <c r="B4" s="28" t="s">
        <v>37</v>
      </c>
      <c r="C4" s="32" t="s">
        <v>34</v>
      </c>
      <c r="D4" s="29">
        <f>Parametre!C13</f>
        <v>2023</v>
      </c>
      <c r="E4" s="29">
        <f>$D$4+D3</f>
        <v>2024</v>
      </c>
      <c r="F4" s="29">
        <f>$D$4+E3</f>
        <v>2025</v>
      </c>
      <c r="G4" s="29">
        <f t="shared" ref="G4:AG4" si="0">$D$4+F3</f>
        <v>2026</v>
      </c>
      <c r="H4" s="29">
        <f t="shared" si="0"/>
        <v>2027</v>
      </c>
      <c r="I4" s="29">
        <f t="shared" si="0"/>
        <v>2028</v>
      </c>
      <c r="J4" s="29">
        <f t="shared" si="0"/>
        <v>2029</v>
      </c>
      <c r="K4" s="29">
        <f t="shared" si="0"/>
        <v>2030</v>
      </c>
      <c r="L4" s="29">
        <f t="shared" si="0"/>
        <v>2031</v>
      </c>
      <c r="M4" s="29">
        <f t="shared" si="0"/>
        <v>2032</v>
      </c>
      <c r="N4" s="29">
        <f t="shared" si="0"/>
        <v>2033</v>
      </c>
      <c r="O4" s="29">
        <f t="shared" si="0"/>
        <v>2034</v>
      </c>
      <c r="P4" s="29">
        <f t="shared" si="0"/>
        <v>2035</v>
      </c>
      <c r="Q4" s="29">
        <f t="shared" si="0"/>
        <v>2036</v>
      </c>
      <c r="R4" s="29">
        <f t="shared" si="0"/>
        <v>2037</v>
      </c>
      <c r="S4" s="29">
        <f t="shared" si="0"/>
        <v>2038</v>
      </c>
      <c r="T4" s="29">
        <f t="shared" si="0"/>
        <v>2039</v>
      </c>
      <c r="U4" s="29">
        <f t="shared" si="0"/>
        <v>2040</v>
      </c>
      <c r="V4" s="29">
        <f t="shared" si="0"/>
        <v>2041</v>
      </c>
      <c r="W4" s="29">
        <f t="shared" si="0"/>
        <v>2042</v>
      </c>
      <c r="X4" s="29">
        <f t="shared" si="0"/>
        <v>2043</v>
      </c>
      <c r="Y4" s="29">
        <f t="shared" si="0"/>
        <v>2044</v>
      </c>
      <c r="Z4" s="29">
        <f t="shared" si="0"/>
        <v>2045</v>
      </c>
      <c r="AA4" s="29">
        <f t="shared" si="0"/>
        <v>2046</v>
      </c>
      <c r="AB4" s="29">
        <f t="shared" si="0"/>
        <v>2047</v>
      </c>
      <c r="AC4" s="29">
        <f t="shared" si="0"/>
        <v>2048</v>
      </c>
      <c r="AD4" s="29">
        <f t="shared" si="0"/>
        <v>2049</v>
      </c>
      <c r="AE4" s="29">
        <f t="shared" si="0"/>
        <v>2050</v>
      </c>
      <c r="AF4" s="29">
        <f t="shared" si="0"/>
        <v>2051</v>
      </c>
      <c r="AG4" s="29">
        <f t="shared" si="0"/>
        <v>2052</v>
      </c>
    </row>
    <row r="5" spans="2:33" x14ac:dyDescent="0.2">
      <c r="B5" s="25" t="s">
        <v>14</v>
      </c>
      <c r="C5" s="31">
        <f>D5+NPV(Parametre!$C$10,E5:H5)</f>
        <v>-25132594.752186589</v>
      </c>
      <c r="D5" s="31">
        <f>-'01 Investičné výdavky - zánovné'!D27</f>
        <v>0</v>
      </c>
      <c r="E5" s="31">
        <f>-'01 Investičné výdavky - zánovné'!E27</f>
        <v>0</v>
      </c>
      <c r="F5" s="31">
        <f>-'01 Investičné výdavky - zánovné'!F27</f>
        <v>-18770400</v>
      </c>
      <c r="G5" s="31">
        <f>-'01 Investičné výdavky - zánovné'!G27</f>
        <v>-9385200</v>
      </c>
      <c r="H5" s="31">
        <f>-'01 Investičné výdavky - zánovné'!H27</f>
        <v>0</v>
      </c>
      <c r="I5" s="31">
        <f>-'01 Investičné výdavky - zánovné'!I27</f>
        <v>0</v>
      </c>
      <c r="J5" s="31">
        <f>-'01 Investičné výdavky - zánovné'!J27</f>
        <v>0</v>
      </c>
      <c r="K5" s="31">
        <f>-'01 Investičné výdavky - zánovné'!K27</f>
        <v>0</v>
      </c>
      <c r="L5" s="31">
        <f>-'01 Investičné výdavky - zánovné'!L27</f>
        <v>0</v>
      </c>
      <c r="M5" s="31">
        <f>-'01 Investičné výdavky - zánovné'!M27</f>
        <v>0</v>
      </c>
      <c r="N5" s="31">
        <f>-'01 Investičné výdavky - zánovné'!N27</f>
        <v>0</v>
      </c>
      <c r="O5" s="31">
        <f>-'01 Investičné výdavky - zánovné'!O27</f>
        <v>0</v>
      </c>
      <c r="P5" s="31">
        <f>-'01 Investičné výdavky - zánovné'!P27</f>
        <v>0</v>
      </c>
      <c r="Q5" s="31">
        <f>-'01 Investičné výdavky - zánovné'!Q27</f>
        <v>0</v>
      </c>
      <c r="R5" s="31">
        <f>-'01 Investičné výdavky - zánovné'!R27</f>
        <v>0</v>
      </c>
      <c r="S5" s="31">
        <f>-'01 Investičné výdavky - zánovné'!S27</f>
        <v>0</v>
      </c>
      <c r="T5" s="31">
        <f>-'01 Investičné výdavky - zánovné'!T27</f>
        <v>0</v>
      </c>
      <c r="U5" s="31">
        <f>-'01 Investičné výdavky - zánovné'!U27</f>
        <v>0</v>
      </c>
      <c r="V5" s="31">
        <f>-'01 Investičné výdavky - zánovné'!V27</f>
        <v>0</v>
      </c>
      <c r="W5" s="31">
        <f>-'01 Investičné výdavky - zánovné'!W27</f>
        <v>0</v>
      </c>
      <c r="X5" s="31">
        <f>-'01 Investičné výdavky - zánovné'!X27</f>
        <v>0</v>
      </c>
      <c r="Y5" s="31">
        <f>-'01 Investičné výdavky - zánovné'!Y27</f>
        <v>0</v>
      </c>
      <c r="Z5" s="31">
        <f>-'01 Investičné výdavky - zánovné'!Z27</f>
        <v>0</v>
      </c>
      <c r="AA5" s="31">
        <f>-'01 Investičné výdavky - zánovné'!AA27</f>
        <v>0</v>
      </c>
      <c r="AB5" s="31">
        <f>-'01 Investičné výdavky - zánovné'!AB27</f>
        <v>0</v>
      </c>
      <c r="AC5" s="31">
        <f>-'01 Investičné výdavky - zánovné'!AC27</f>
        <v>0</v>
      </c>
      <c r="AD5" s="31">
        <f>-'01 Investičné výdavky - zánovné'!AD27</f>
        <v>0</v>
      </c>
      <c r="AE5" s="31">
        <f>-'01 Investičné výdavky - zánovné'!AE27</f>
        <v>0</v>
      </c>
      <c r="AF5" s="31">
        <f>-'01 Investičné výdavky - zánovné'!AF27</f>
        <v>0</v>
      </c>
      <c r="AG5" s="31">
        <f>-'01 Investičné výdavky - zánovné'!AG27</f>
        <v>0</v>
      </c>
    </row>
    <row r="6" spans="2:33" x14ac:dyDescent="0.2">
      <c r="B6" s="25" t="s">
        <v>12</v>
      </c>
      <c r="C6" s="31">
        <f>D6+NPV(Parametre!$C$10,E6:AG6)</f>
        <v>19607778.173290364</v>
      </c>
      <c r="D6" s="31">
        <f>-'03 Prevádzkové výdavky-zánovné'!D43</f>
        <v>0</v>
      </c>
      <c r="E6" s="31">
        <f>-'03 Prevádzkové výdavky-zánovné'!E43</f>
        <v>0</v>
      </c>
      <c r="F6" s="31">
        <f>-'03 Prevádzkové výdavky-zánovné'!F43</f>
        <v>-1711826.6486200655</v>
      </c>
      <c r="G6" s="31">
        <f>-'03 Prevádzkové výdavky-zánovné'!G43</f>
        <v>16240069.776432455</v>
      </c>
      <c r="H6" s="31">
        <f>-'03 Prevádzkové výdavky-zánovné'!H43</f>
        <v>13179612.883387107</v>
      </c>
      <c r="I6" s="31">
        <f>-'03 Prevádzkové výdavky-zánovné'!I43</f>
        <v>22359146.02134005</v>
      </c>
      <c r="J6" s="31">
        <f>-'03 Prevádzkové výdavky-zánovné'!J43</f>
        <v>938668.9727764884</v>
      </c>
      <c r="K6" s="31">
        <f>-'03 Prevádzkové výdavky-zánovné'!K43</f>
        <v>-2121818.4845643439</v>
      </c>
      <c r="L6" s="31">
        <f>-'03 Prevádzkové výdavky-zánovné'!L43</f>
        <v>-2122316.5777927525</v>
      </c>
      <c r="M6" s="31">
        <f>-'03 Prevádzkové výdavky-zánovné'!M43</f>
        <v>-2122825.538974389</v>
      </c>
      <c r="N6" s="31">
        <f>-'03 Prevádzkové výdavky-zánovné'!N43</f>
        <v>-2123345.6052383669</v>
      </c>
      <c r="O6" s="31">
        <f>-'03 Prevádzkové výdavky-zánovné'!O43</f>
        <v>-2123877.0188877527</v>
      </c>
      <c r="P6" s="31">
        <f>-'03 Prevádzkové výdavky-zánovné'!P43</f>
        <v>-2124420.0275124465</v>
      </c>
      <c r="Q6" s="31">
        <f>-'03 Prevádzkové výdavky-zánovné'!Q43</f>
        <v>-2124974.8841045452</v>
      </c>
      <c r="R6" s="31">
        <f>-'03 Prevádzkové výdavky-zánovné'!R43</f>
        <v>-3097541.847176211</v>
      </c>
      <c r="S6" s="31">
        <f>-'03 Prevádzkové výdavky-zánovné'!S43</f>
        <v>-2612121.1808801019</v>
      </c>
      <c r="T6" s="31">
        <f>-'03 Prevádzkové výdavky-zánovné'!T43</f>
        <v>-2126713.1551324613</v>
      </c>
      <c r="U6" s="31">
        <f>-'03 Prevádzkové výdavky-zánovné'!U43</f>
        <v>-2127318.0457388675</v>
      </c>
      <c r="V6" s="31">
        <f>-'03 Prevádzkové výdavky-zánovné'!V43</f>
        <v>-1641936.1345227286</v>
      </c>
      <c r="W6" s="31">
        <f>-'03 Prevádzkové výdavky-zánovné'!W43</f>
        <v>-1723567.7094565886</v>
      </c>
      <c r="X6" s="31">
        <f>-'03 Prevádzkové výdavky-zánovné'!X43</f>
        <v>-11309213.064796304</v>
      </c>
      <c r="Y6" s="31">
        <f>-'03 Prevádzkové výdavky-zánovné'!Y43</f>
        <v>-6962872.5012181252</v>
      </c>
      <c r="Z6" s="31">
        <f>-'03 Prevádzkové výdavky-zánovné'!Z43</f>
        <v>-2130546.3259587991</v>
      </c>
      <c r="AA6" s="31">
        <f>-'03 Prevádzkové výdavky-zánovné'!AA43</f>
        <v>2782765.1470412966</v>
      </c>
      <c r="AB6" s="31">
        <f>-'03 Prevádzkové výdavky-zánovné'!AB43</f>
        <v>1963061.5969918887</v>
      </c>
      <c r="AC6" s="31">
        <f>-'03 Prevádzkové výdavky-zánovné'!AC43</f>
        <v>4419342.6961033326</v>
      </c>
      <c r="AD6" s="31">
        <f>-'03 Prevádzkové výdavky-zánovné'!AD43</f>
        <v>-1314391.8905660906</v>
      </c>
      <c r="AE6" s="31">
        <f>-'03 Prevádzkové výdavky-zánovné'!AE43</f>
        <v>-2134142.5052662273</v>
      </c>
      <c r="AF6" s="31">
        <f>-'03 Prevádzkové výdavky-zánovné'!AF43</f>
        <v>-2134909.4977145176</v>
      </c>
      <c r="AG6" s="31">
        <f>-'03 Prevádzkové výdavky-zánovné'!AG43</f>
        <v>-2135693.2252589259</v>
      </c>
    </row>
    <row r="7" spans="2:33" x14ac:dyDescent="0.2">
      <c r="B7" s="25" t="s">
        <v>254</v>
      </c>
      <c r="C7" s="31">
        <f>D7+NPV(Parametre!$C$10,E7:AG7)</f>
        <v>268708.57072135119</v>
      </c>
      <c r="D7" s="31">
        <f>'07 Čas cestujúcich - zánovné'!D14</f>
        <v>0</v>
      </c>
      <c r="E7" s="31">
        <f>'07 Čas cestujúcich - zánovné'!E14</f>
        <v>0</v>
      </c>
      <c r="F7" s="31">
        <f>'07 Čas cestujúcich - zánovné'!F14</f>
        <v>12162.77229019327</v>
      </c>
      <c r="G7" s="31">
        <f>'07 Čas cestujúcich - zánovné'!G14</f>
        <v>18442.368081361856</v>
      </c>
      <c r="H7" s="31">
        <f>'07 Čas cestujúcich - zánovné'!H14</f>
        <v>18611.279099886957</v>
      </c>
      <c r="I7" s="31">
        <f>'07 Čas cestujúcich - zánovné'!I14</f>
        <v>18775.471610155091</v>
      </c>
      <c r="J7" s="31">
        <f>'07 Čas cestujúcich - zánovné'!J14</f>
        <v>18935.891061193121</v>
      </c>
      <c r="K7" s="31">
        <f>'07 Čas cestujúcich - zánovné'!K14</f>
        <v>19093.34445451526</v>
      </c>
      <c r="L7" s="31">
        <f>'07 Čas cestujúcich - zánovné'!L14</f>
        <v>19217.121944613998</v>
      </c>
      <c r="M7" s="31">
        <f>'07 Čas cestujúcich - zánovné'!M14</f>
        <v>19337.060104774049</v>
      </c>
      <c r="N7" s="31">
        <f>'07 Čas cestujúcich - zánovné'!N14</f>
        <v>19455.40830510034</v>
      </c>
      <c r="O7" s="31">
        <f>'07 Čas cestujúcich - zánovné'!O14</f>
        <v>19571.602087968087</v>
      </c>
      <c r="P7" s="31">
        <f>'07 Čas cestujúcich - zánovné'!P14</f>
        <v>19685.930777077807</v>
      </c>
      <c r="Q7" s="31">
        <f>'07 Čas cestujúcich - zánovné'!Q14</f>
        <v>19787.060676980152</v>
      </c>
      <c r="R7" s="31">
        <f>'07 Čas cestujúcich - zánovné'!R14</f>
        <v>19874.78268482249</v>
      </c>
      <c r="S7" s="31">
        <f>'07 Čas cestujúcich - zánovné'!S14</f>
        <v>19948.914755327944</v>
      </c>
      <c r="T7" s="31">
        <f>'07 Čas cestujúcich - zánovné'!T14</f>
        <v>20010.313284144555</v>
      </c>
      <c r="U7" s="31">
        <f>'07 Čas cestujúcich - zánovné'!U14</f>
        <v>20057.833881540584</v>
      </c>
      <c r="V7" s="31">
        <f>'07 Čas cestujúcich - zánovné'!V14</f>
        <v>20060.909508591219</v>
      </c>
      <c r="W7" s="31">
        <f>'07 Čas cestujúcich - zánovné'!W14</f>
        <v>20045.04626990531</v>
      </c>
      <c r="X7" s="31">
        <f>'07 Čas cestujúcich - zánovné'!X14</f>
        <v>20010.276407632315</v>
      </c>
      <c r="Y7" s="31">
        <f>'07 Čas cestujúcich - zánovné'!Y14</f>
        <v>19956.685616924995</v>
      </c>
      <c r="Z7" s="31">
        <f>'07 Čas cestujúcich - zánovné'!Z14</f>
        <v>19900.305560478562</v>
      </c>
      <c r="AA7" s="31">
        <f>'07 Čas cestujúcich - zánovné'!AA14</f>
        <v>19817.134686806989</v>
      </c>
      <c r="AB7" s="31">
        <f>'07 Čas cestujúcich - zánovné'!AB14</f>
        <v>19707.482000384138</v>
      </c>
      <c r="AC7" s="31">
        <f>'07 Čas cestujúcich - zánovné'!AC14</f>
        <v>19571.762958215229</v>
      </c>
      <c r="AD7" s="31">
        <f>'07 Čas cestujúcich - zánovné'!AD14</f>
        <v>19411.427332724092</v>
      </c>
      <c r="AE7" s="31">
        <f>'07 Čas cestujúcich - zánovné'!AE14</f>
        <v>19231.593925758418</v>
      </c>
      <c r="AF7" s="31">
        <f>'07 Čas cestujúcich - zánovné'!AF14</f>
        <v>19041.013708105958</v>
      </c>
      <c r="AG7" s="31">
        <f>'07 Čas cestujúcich - zánovné'!AG14</f>
        <v>18815.369808644649</v>
      </c>
    </row>
    <row r="8" spans="2:33" x14ac:dyDescent="0.2">
      <c r="B8" s="25" t="s">
        <v>16</v>
      </c>
      <c r="C8" s="31">
        <f>D8+NPV(Parametre!$C$10,E8:AG8)</f>
        <v>252969.29667446556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134">
        <f>MIN('02 Zostatková hodnota - zánovné'!I7,'02 Zostatková hodnota - zánovné'!C13)</f>
        <v>1041255.9265804129</v>
      </c>
    </row>
    <row r="9" spans="2:33" x14ac:dyDescent="0.2">
      <c r="B9" s="173" t="s">
        <v>38</v>
      </c>
      <c r="C9" s="172">
        <f>D9+NPV(Parametre!$C$10,E9:AG9)</f>
        <v>-5003138.7115003997</v>
      </c>
      <c r="D9" s="172">
        <f t="shared" ref="D9:AG9" si="1">SUM(D5:D8)</f>
        <v>0</v>
      </c>
      <c r="E9" s="172">
        <f t="shared" si="1"/>
        <v>0</v>
      </c>
      <c r="F9" s="172">
        <f t="shared" si="1"/>
        <v>-20470063.876329873</v>
      </c>
      <c r="G9" s="172">
        <f t="shared" si="1"/>
        <v>6873312.1445138166</v>
      </c>
      <c r="H9" s="172">
        <f t="shared" si="1"/>
        <v>13198224.162486995</v>
      </c>
      <c r="I9" s="172">
        <f t="shared" si="1"/>
        <v>22377921.492950205</v>
      </c>
      <c r="J9" s="172">
        <f t="shared" si="1"/>
        <v>957604.86383768148</v>
      </c>
      <c r="K9" s="172">
        <f t="shared" si="1"/>
        <v>-2102725.1401098287</v>
      </c>
      <c r="L9" s="172">
        <f t="shared" si="1"/>
        <v>-2103099.4558481383</v>
      </c>
      <c r="M9" s="172">
        <f t="shared" si="1"/>
        <v>-2103488.4788696151</v>
      </c>
      <c r="N9" s="172">
        <f t="shared" si="1"/>
        <v>-2103890.1969332667</v>
      </c>
      <c r="O9" s="172">
        <f t="shared" si="1"/>
        <v>-2104305.4167997846</v>
      </c>
      <c r="P9" s="172">
        <f t="shared" si="1"/>
        <v>-2104734.0967353685</v>
      </c>
      <c r="Q9" s="172">
        <f t="shared" si="1"/>
        <v>-2105187.8234275649</v>
      </c>
      <c r="R9" s="172">
        <f t="shared" si="1"/>
        <v>-3077667.0644913884</v>
      </c>
      <c r="S9" s="172">
        <f t="shared" si="1"/>
        <v>-2592172.2661247738</v>
      </c>
      <c r="T9" s="172">
        <f t="shared" si="1"/>
        <v>-2106702.8418483166</v>
      </c>
      <c r="U9" s="172">
        <f t="shared" si="1"/>
        <v>-2107260.2118573268</v>
      </c>
      <c r="V9" s="172">
        <f t="shared" si="1"/>
        <v>-1621875.2250141373</v>
      </c>
      <c r="W9" s="172">
        <f t="shared" si="1"/>
        <v>-1703522.6631866833</v>
      </c>
      <c r="X9" s="172">
        <f t="shared" si="1"/>
        <v>-11289202.788388671</v>
      </c>
      <c r="Y9" s="172">
        <f t="shared" si="1"/>
        <v>-6942915.8156011999</v>
      </c>
      <c r="Z9" s="172">
        <f t="shared" si="1"/>
        <v>-2110646.0203983206</v>
      </c>
      <c r="AA9" s="172">
        <f t="shared" si="1"/>
        <v>2802582.2817281038</v>
      </c>
      <c r="AB9" s="172">
        <f t="shared" si="1"/>
        <v>1982769.078992273</v>
      </c>
      <c r="AC9" s="172">
        <f t="shared" si="1"/>
        <v>4438914.4590615481</v>
      </c>
      <c r="AD9" s="172">
        <f t="shared" si="1"/>
        <v>-1294980.4632333666</v>
      </c>
      <c r="AE9" s="172">
        <f t="shared" si="1"/>
        <v>-2114910.911340469</v>
      </c>
      <c r="AF9" s="172">
        <f t="shared" si="1"/>
        <v>-2115868.4840064119</v>
      </c>
      <c r="AG9" s="172">
        <f t="shared" si="1"/>
        <v>-1075621.9288698686</v>
      </c>
    </row>
    <row r="11" spans="2:33" x14ac:dyDescent="0.2">
      <c r="B11" s="33" t="s">
        <v>39</v>
      </c>
      <c r="C11" s="174">
        <f>C5--C6+C7+C8</f>
        <v>-5003138.7115004072</v>
      </c>
      <c r="D11" s="24" t="s">
        <v>0</v>
      </c>
    </row>
    <row r="12" spans="2:33" x14ac:dyDescent="0.2">
      <c r="B12" s="33" t="s">
        <v>40</v>
      </c>
      <c r="C12" s="175">
        <f>IRR(D9:AG9,10)</f>
        <v>9.0468585215989439E-2</v>
      </c>
    </row>
    <row r="13" spans="2:33" hidden="1" x14ac:dyDescent="0.2">
      <c r="B13" s="33" t="s">
        <v>1</v>
      </c>
      <c r="C13" s="176">
        <f>ABS((C7+C8)/(C5+C6))</f>
        <v>9.4424468205610568E-2</v>
      </c>
    </row>
    <row r="14" spans="2:33" x14ac:dyDescent="0.2">
      <c r="B14" s="33" t="s">
        <v>1</v>
      </c>
      <c r="C14" s="176">
        <f>(C7+C8)/(C5+C6)</f>
        <v>-9.4424468205610568E-2</v>
      </c>
    </row>
  </sheetData>
  <sheetProtection algorithmName="SHA-512" hashValue="KGlWDwxsllUBln+D/gcwqXXLInf8c4VreCdGzajOSHt5JD5+kQ4nnKXCdAlbSFSRgVxDeG01J/tKssmps7Dbbw==" saltValue="Ntwi9JMQod3MZIocqI9Pyw==" spinCount="100000" sheet="1" formatCells="0" formatColumns="0" formatRows="0" insertColumns="0" insertRows="0" insertHyperlinks="0" deleteColumns="0" deleteRows="0" sort="0" autoFilter="0" pivotTables="0"/>
  <pageMargins left="0.19687499999999999" right="0.19687499999999999" top="1" bottom="1" header="0.5" footer="0.5"/>
  <pageSetup scale="75" orientation="landscape" r:id="rId1"/>
  <headerFooter alignWithMargins="0">
    <oddHeader>&amp;LPríloha 7: Štandardné tabuľky - Cesty
&amp;"Arial,Tučné"&amp;12 11 Ekonomická analýza</oddHeader>
    <oddFooter>Strana &amp;P z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92B1-7778-41DD-812A-C7B79327482D}">
  <dimension ref="A1:AO100"/>
  <sheetViews>
    <sheetView zoomScale="99" zoomScaleNormal="99" workbookViewId="0">
      <selection activeCell="D33" sqref="D33:AG33"/>
    </sheetView>
  </sheetViews>
  <sheetFormatPr defaultColWidth="8.7109375" defaultRowHeight="12.75" x14ac:dyDescent="0.2"/>
  <cols>
    <col min="1" max="1" width="1.5703125" style="413" customWidth="1"/>
    <col min="2" max="2" width="37.28515625" style="413" customWidth="1"/>
    <col min="3" max="3" width="12.7109375" style="413" customWidth="1"/>
    <col min="4" max="4" width="10.5703125" style="413" bestFit="1" customWidth="1"/>
    <col min="5" max="5" width="13.7109375" style="413" bestFit="1" customWidth="1"/>
    <col min="6" max="6" width="14.28515625" style="413" customWidth="1"/>
    <col min="7" max="7" width="17.28515625" style="413" customWidth="1"/>
    <col min="8" max="12" width="12.28515625" style="413" customWidth="1"/>
    <col min="13" max="13" width="13.5703125" style="413" customWidth="1"/>
    <col min="14" max="37" width="12.28515625" style="413" customWidth="1"/>
    <col min="38" max="16384" width="8.7109375" style="413"/>
  </cols>
  <sheetData>
    <row r="1" spans="1:37" ht="13.5" thickBot="1" x14ac:dyDescent="0.25"/>
    <row r="2" spans="1:37" x14ac:dyDescent="0.2">
      <c r="B2" s="414" t="s">
        <v>489</v>
      </c>
      <c r="C2" s="415" t="s">
        <v>490</v>
      </c>
      <c r="D2" s="415" t="s">
        <v>491</v>
      </c>
      <c r="E2" s="415" t="s">
        <v>492</v>
      </c>
      <c r="F2" s="415" t="s">
        <v>493</v>
      </c>
      <c r="G2" s="415" t="s">
        <v>494</v>
      </c>
      <c r="H2" s="415" t="s">
        <v>495</v>
      </c>
      <c r="I2"/>
      <c r="J2"/>
      <c r="K2"/>
    </row>
    <row r="3" spans="1:37" x14ac:dyDescent="0.2">
      <c r="B3" s="416" t="s">
        <v>496</v>
      </c>
      <c r="C3" s="417" t="s">
        <v>497</v>
      </c>
      <c r="D3" s="418">
        <v>2</v>
      </c>
      <c r="E3" s="418">
        <v>363</v>
      </c>
      <c r="F3" s="418">
        <v>802</v>
      </c>
      <c r="G3" s="419">
        <f>D3*E3*F3</f>
        <v>582252</v>
      </c>
      <c r="H3" s="420"/>
      <c r="I3"/>
      <c r="J3"/>
      <c r="K3"/>
    </row>
    <row r="4" spans="1:37" x14ac:dyDescent="0.2">
      <c r="B4" s="416" t="s">
        <v>498</v>
      </c>
      <c r="C4" s="417" t="s">
        <v>497</v>
      </c>
      <c r="D4" s="418">
        <v>2</v>
      </c>
      <c r="E4" s="418">
        <v>307</v>
      </c>
      <c r="F4" s="418">
        <v>451</v>
      </c>
      <c r="G4" s="419">
        <f t="shared" ref="G4:G7" si="0">D4*E4*F4</f>
        <v>276914</v>
      </c>
      <c r="H4" s="420"/>
      <c r="I4"/>
      <c r="J4"/>
      <c r="K4"/>
    </row>
    <row r="5" spans="1:37" x14ac:dyDescent="0.2">
      <c r="B5" s="416" t="s">
        <v>499</v>
      </c>
      <c r="C5" s="417" t="s">
        <v>497</v>
      </c>
      <c r="D5" s="418">
        <v>2</v>
      </c>
      <c r="E5" s="418">
        <v>307</v>
      </c>
      <c r="F5" s="418">
        <f>872-32.053</f>
        <v>839.947</v>
      </c>
      <c r="G5" s="419">
        <f t="shared" si="0"/>
        <v>515727.45799999998</v>
      </c>
      <c r="H5" s="420"/>
      <c r="I5"/>
      <c r="J5"/>
      <c r="K5"/>
    </row>
    <row r="6" spans="1:37" x14ac:dyDescent="0.2">
      <c r="B6" s="416" t="s">
        <v>500</v>
      </c>
      <c r="C6" s="417" t="s">
        <v>497</v>
      </c>
      <c r="D6" s="418">
        <v>12</v>
      </c>
      <c r="E6" s="418">
        <v>363</v>
      </c>
      <c r="F6" s="418">
        <v>541</v>
      </c>
      <c r="G6" s="419">
        <f t="shared" si="0"/>
        <v>2356596</v>
      </c>
      <c r="H6" s="421"/>
      <c r="I6"/>
      <c r="J6"/>
      <c r="K6"/>
    </row>
    <row r="7" spans="1:37" x14ac:dyDescent="0.2">
      <c r="B7" s="416" t="s">
        <v>501</v>
      </c>
      <c r="C7" s="417" t="s">
        <v>497</v>
      </c>
      <c r="D7" s="418">
        <v>2</v>
      </c>
      <c r="E7" s="422">
        <v>250</v>
      </c>
      <c r="F7" s="423">
        <v>443</v>
      </c>
      <c r="G7" s="419">
        <f t="shared" si="0"/>
        <v>221500</v>
      </c>
      <c r="H7" s="424"/>
      <c r="I7"/>
      <c r="J7"/>
      <c r="K7"/>
    </row>
    <row r="8" spans="1:37" ht="13.5" thickBot="1" x14ac:dyDescent="0.25">
      <c r="B8" s="425" t="s">
        <v>502</v>
      </c>
      <c r="C8" s="426"/>
      <c r="D8" s="427">
        <f>SUM(D3:D7)</f>
        <v>20</v>
      </c>
      <c r="E8" s="427">
        <f>SUM(E3:E7)</f>
        <v>1590</v>
      </c>
      <c r="F8" s="428">
        <f>SUM(F3:F7)</f>
        <v>3076.9470000000001</v>
      </c>
      <c r="G8" s="429">
        <f>SUM(G3:G7)</f>
        <v>3952989.4580000001</v>
      </c>
      <c r="H8" s="430"/>
      <c r="I8"/>
      <c r="J8"/>
      <c r="K8"/>
      <c r="L8" s="431"/>
    </row>
    <row r="9" spans="1:37" ht="13.5" thickBot="1" x14ac:dyDescent="0.25">
      <c r="B9" s="432" t="s">
        <v>503</v>
      </c>
      <c r="C9" s="433"/>
      <c r="D9" s="433"/>
      <c r="E9" s="434">
        <f>AVERAGE(E3:E7)</f>
        <v>318</v>
      </c>
      <c r="F9" s="433"/>
      <c r="G9" s="435">
        <f>G8/D8/365</f>
        <v>541.50540520547941</v>
      </c>
      <c r="H9" s="436"/>
      <c r="I9"/>
      <c r="J9" s="437"/>
      <c r="K9"/>
    </row>
    <row r="10" spans="1:37" x14ac:dyDescent="0.2">
      <c r="B10"/>
      <c r="C10"/>
      <c r="D10"/>
      <c r="E10"/>
      <c r="F10"/>
      <c r="G10"/>
      <c r="H10" s="438"/>
      <c r="I10" s="438"/>
      <c r="J10" s="438"/>
      <c r="M10" s="431"/>
    </row>
    <row r="11" spans="1:37" x14ac:dyDescent="0.2">
      <c r="H11" s="438"/>
      <c r="I11" s="438"/>
      <c r="J11" s="438"/>
      <c r="K11" s="431"/>
      <c r="L11" s="439"/>
    </row>
    <row r="12" spans="1:37" ht="13.5" thickBot="1" x14ac:dyDescent="0.25">
      <c r="B12" s="576"/>
      <c r="C12" s="577"/>
      <c r="D12" s="576"/>
      <c r="E12" s="576"/>
      <c r="F12" s="576"/>
      <c r="G12" s="577"/>
      <c r="H12" s="577"/>
      <c r="I12" s="577"/>
      <c r="J12" s="577"/>
      <c r="K12" s="577"/>
      <c r="L12" s="577"/>
      <c r="M12" s="577"/>
      <c r="N12" s="577"/>
      <c r="O12" s="577"/>
      <c r="P12" s="577"/>
      <c r="Q12" s="577"/>
      <c r="R12" s="577"/>
      <c r="S12" s="577"/>
      <c r="T12" s="577"/>
      <c r="U12" s="577"/>
      <c r="V12" s="577"/>
      <c r="W12" s="577"/>
      <c r="X12" s="577"/>
      <c r="Y12" s="577"/>
      <c r="Z12" s="577"/>
      <c r="AA12" s="577"/>
      <c r="AB12" s="577"/>
      <c r="AC12" s="577"/>
      <c r="AD12" s="577"/>
      <c r="AE12" s="577"/>
      <c r="AF12" s="577"/>
      <c r="AG12" s="577"/>
      <c r="AH12" s="577"/>
      <c r="AI12" s="577"/>
      <c r="AJ12" s="577"/>
      <c r="AK12" s="577"/>
    </row>
    <row r="13" spans="1:37" ht="13.15" customHeight="1" x14ac:dyDescent="0.2">
      <c r="B13" s="578" t="s">
        <v>504</v>
      </c>
      <c r="C13" s="580" t="s">
        <v>505</v>
      </c>
      <c r="D13" s="582" t="s">
        <v>506</v>
      </c>
      <c r="E13" s="582" t="s">
        <v>507</v>
      </c>
      <c r="F13" s="582" t="s">
        <v>508</v>
      </c>
      <c r="G13" s="440" t="s">
        <v>509</v>
      </c>
      <c r="H13" s="440">
        <v>2023</v>
      </c>
      <c r="I13" s="441">
        <f>H13+1</f>
        <v>2024</v>
      </c>
      <c r="J13" s="441">
        <f>I13+1</f>
        <v>2025</v>
      </c>
      <c r="K13" s="441">
        <f t="shared" ref="K13:AI13" si="1">J13+1</f>
        <v>2026</v>
      </c>
      <c r="L13" s="441">
        <f t="shared" si="1"/>
        <v>2027</v>
      </c>
      <c r="M13" s="441">
        <f t="shared" si="1"/>
        <v>2028</v>
      </c>
      <c r="N13" s="441">
        <f t="shared" si="1"/>
        <v>2029</v>
      </c>
      <c r="O13" s="441">
        <f t="shared" si="1"/>
        <v>2030</v>
      </c>
      <c r="P13" s="441">
        <f t="shared" si="1"/>
        <v>2031</v>
      </c>
      <c r="Q13" s="441">
        <f t="shared" si="1"/>
        <v>2032</v>
      </c>
      <c r="R13" s="441">
        <f t="shared" si="1"/>
        <v>2033</v>
      </c>
      <c r="S13" s="441">
        <f t="shared" si="1"/>
        <v>2034</v>
      </c>
      <c r="T13" s="441">
        <f t="shared" si="1"/>
        <v>2035</v>
      </c>
      <c r="U13" s="441">
        <f t="shared" si="1"/>
        <v>2036</v>
      </c>
      <c r="V13" s="441">
        <f t="shared" si="1"/>
        <v>2037</v>
      </c>
      <c r="W13" s="441">
        <f t="shared" si="1"/>
        <v>2038</v>
      </c>
      <c r="X13" s="441">
        <f t="shared" si="1"/>
        <v>2039</v>
      </c>
      <c r="Y13" s="441">
        <f t="shared" si="1"/>
        <v>2040</v>
      </c>
      <c r="Z13" s="441">
        <f t="shared" si="1"/>
        <v>2041</v>
      </c>
      <c r="AA13" s="441">
        <f t="shared" si="1"/>
        <v>2042</v>
      </c>
      <c r="AB13" s="441">
        <f t="shared" si="1"/>
        <v>2043</v>
      </c>
      <c r="AC13" s="441">
        <f t="shared" si="1"/>
        <v>2044</v>
      </c>
      <c r="AD13" s="441">
        <f t="shared" si="1"/>
        <v>2045</v>
      </c>
      <c r="AE13" s="441">
        <f t="shared" si="1"/>
        <v>2046</v>
      </c>
      <c r="AF13" s="441">
        <f t="shared" si="1"/>
        <v>2047</v>
      </c>
      <c r="AG13" s="441">
        <f t="shared" si="1"/>
        <v>2048</v>
      </c>
      <c r="AH13" s="441">
        <f t="shared" si="1"/>
        <v>2049</v>
      </c>
      <c r="AI13" s="441">
        <f t="shared" si="1"/>
        <v>2050</v>
      </c>
      <c r="AJ13" s="441">
        <f>AI13+1</f>
        <v>2051</v>
      </c>
      <c r="AK13" s="441">
        <f>AJ13+1</f>
        <v>2052</v>
      </c>
    </row>
    <row r="14" spans="1:37" ht="12.4" customHeight="1" thickBot="1" x14ac:dyDescent="0.25">
      <c r="B14" s="579"/>
      <c r="C14" s="581"/>
      <c r="D14" s="583"/>
      <c r="E14" s="583"/>
      <c r="F14" s="583"/>
      <c r="G14" s="442" t="s">
        <v>510</v>
      </c>
      <c r="H14" s="443">
        <v>20</v>
      </c>
      <c r="I14" s="443">
        <v>20</v>
      </c>
      <c r="J14" s="443">
        <v>20</v>
      </c>
      <c r="K14" s="443">
        <v>20</v>
      </c>
      <c r="L14" s="443">
        <v>20</v>
      </c>
      <c r="M14" s="443">
        <v>20</v>
      </c>
      <c r="N14" s="443">
        <v>20</v>
      </c>
      <c r="O14" s="443">
        <v>20</v>
      </c>
      <c r="P14" s="443">
        <v>20</v>
      </c>
      <c r="Q14" s="443">
        <v>20</v>
      </c>
      <c r="R14" s="443">
        <v>20</v>
      </c>
      <c r="S14" s="443">
        <v>20</v>
      </c>
      <c r="T14" s="443">
        <v>20</v>
      </c>
      <c r="U14" s="443">
        <v>20</v>
      </c>
      <c r="V14" s="443">
        <v>20</v>
      </c>
      <c r="W14" s="443">
        <v>20</v>
      </c>
      <c r="X14" s="443">
        <v>20</v>
      </c>
      <c r="Y14" s="443">
        <v>20</v>
      </c>
      <c r="Z14" s="443">
        <v>20</v>
      </c>
      <c r="AA14" s="443">
        <v>20</v>
      </c>
      <c r="AB14" s="443">
        <v>20</v>
      </c>
      <c r="AC14" s="443">
        <v>20</v>
      </c>
      <c r="AD14" s="443">
        <v>20</v>
      </c>
      <c r="AE14" s="443">
        <v>20</v>
      </c>
      <c r="AF14" s="443">
        <v>20</v>
      </c>
      <c r="AG14" s="443">
        <v>20</v>
      </c>
      <c r="AH14" s="443">
        <v>20</v>
      </c>
      <c r="AI14" s="443">
        <v>20</v>
      </c>
      <c r="AJ14" s="443">
        <v>20</v>
      </c>
      <c r="AK14" s="443">
        <v>20</v>
      </c>
    </row>
    <row r="15" spans="1:37" s="446" customFormat="1" ht="13.15" customHeight="1" x14ac:dyDescent="0.2">
      <c r="A15" s="413"/>
      <c r="B15" s="579"/>
      <c r="C15" s="580" t="s">
        <v>511</v>
      </c>
      <c r="D15" s="583"/>
      <c r="E15" s="583"/>
      <c r="F15" s="583"/>
      <c r="G15" s="444" t="s">
        <v>512</v>
      </c>
      <c r="H15" s="445">
        <v>1.0972776411419201</v>
      </c>
      <c r="I15" s="445">
        <v>1.0548467771538801</v>
      </c>
      <c r="J15" s="445">
        <v>1.0434231485458401</v>
      </c>
      <c r="K15" s="445">
        <v>1.0218191145881901</v>
      </c>
      <c r="L15" s="445">
        <v>1.0218191145881901</v>
      </c>
      <c r="M15" s="445">
        <v>1.0218191145881901</v>
      </c>
      <c r="N15" s="445">
        <v>1.0218191145881901</v>
      </c>
      <c r="O15" s="445">
        <v>1.0218191145881901</v>
      </c>
      <c r="P15" s="445">
        <v>1.0218191145881901</v>
      </c>
      <c r="Q15" s="445">
        <v>1.0218191145881901</v>
      </c>
      <c r="R15" s="445">
        <v>1.0218191145881901</v>
      </c>
      <c r="S15" s="445">
        <v>1.0218191145881901</v>
      </c>
      <c r="T15" s="445">
        <v>1.0218191145881901</v>
      </c>
      <c r="U15" s="445">
        <v>1.0218191145881901</v>
      </c>
      <c r="V15" s="445">
        <v>1.0218191145881901</v>
      </c>
      <c r="W15" s="445">
        <v>1.0218191145881901</v>
      </c>
      <c r="X15" s="445">
        <v>1.0218191145881901</v>
      </c>
      <c r="Y15" s="445">
        <v>1.0218191145881901</v>
      </c>
      <c r="Z15" s="445">
        <v>1.0218191145881901</v>
      </c>
      <c r="AA15" s="445">
        <v>1.0218191145881901</v>
      </c>
      <c r="AB15" s="445">
        <v>1.0218191145881901</v>
      </c>
      <c r="AC15" s="445">
        <v>1.0218191145881901</v>
      </c>
      <c r="AD15" s="445">
        <v>1.0218191145881901</v>
      </c>
      <c r="AE15" s="445">
        <v>1.0218191145881901</v>
      </c>
      <c r="AF15" s="445">
        <v>1.0218191145881901</v>
      </c>
      <c r="AG15" s="445">
        <v>1.0218191145881901</v>
      </c>
      <c r="AH15" s="445">
        <v>1.0218191145881901</v>
      </c>
      <c r="AI15" s="445">
        <v>1.0218191145881901</v>
      </c>
      <c r="AJ15" s="445">
        <v>1.0218191145881901</v>
      </c>
      <c r="AK15" s="445">
        <v>1.0218191145881901</v>
      </c>
    </row>
    <row r="16" spans="1:37" s="446" customFormat="1" ht="16.5" thickBot="1" x14ac:dyDescent="0.25">
      <c r="A16" s="413"/>
      <c r="B16" s="447"/>
      <c r="C16" s="581"/>
      <c r="D16" s="448"/>
      <c r="E16" s="448"/>
      <c r="F16" s="448"/>
      <c r="G16" s="449" t="s">
        <v>513</v>
      </c>
      <c r="H16" s="450">
        <f>1*H15</f>
        <v>1.0972776411419201</v>
      </c>
      <c r="I16" s="451">
        <f>H16*I15</f>
        <v>1.1574597834015661</v>
      </c>
      <c r="J16" s="451">
        <f t="shared" ref="J16" si="2">I16*J15</f>
        <v>1.2077203315120482</v>
      </c>
      <c r="K16" s="451">
        <f>J16*K15</f>
        <v>1.2340717198157964</v>
      </c>
      <c r="L16" s="451">
        <f>K16*L15</f>
        <v>1.2609980720805021</v>
      </c>
      <c r="M16" s="451">
        <f>L16*M15</f>
        <v>1.2885119335107134</v>
      </c>
      <c r="N16" s="451">
        <f t="shared" ref="N16:AK16" si="3">M16*N15</f>
        <v>1.3166261230362339</v>
      </c>
      <c r="O16" s="451">
        <f t="shared" si="3"/>
        <v>1.345353739284566</v>
      </c>
      <c r="P16" s="451">
        <f t="shared" si="3"/>
        <v>1.374708166683666</v>
      </c>
      <c r="Q16" s="451">
        <f t="shared" si="3"/>
        <v>1.4047030816978576</v>
      </c>
      <c r="R16" s="451">
        <f t="shared" si="3"/>
        <v>1.4353524591998068</v>
      </c>
      <c r="S16" s="451">
        <f t="shared" si="3"/>
        <v>1.4666705789815278</v>
      </c>
      <c r="T16" s="451">
        <f t="shared" si="3"/>
        <v>1.4986720324074527</v>
      </c>
      <c r="U16" s="451">
        <f t="shared" si="3"/>
        <v>1.5313717292126667</v>
      </c>
      <c r="V16" s="451">
        <f t="shared" si="3"/>
        <v>1.5647849044494726</v>
      </c>
      <c r="W16" s="451">
        <f t="shared" si="3"/>
        <v>1.5989271255855257</v>
      </c>
      <c r="X16" s="451">
        <f t="shared" si="3"/>
        <v>1.6338142997568417</v>
      </c>
      <c r="Y16" s="451">
        <f t="shared" si="3"/>
        <v>1.6694626811790598</v>
      </c>
      <c r="Z16" s="451">
        <f t="shared" si="3"/>
        <v>1.7058888787204127</v>
      </c>
      <c r="AA16" s="451">
        <f t="shared" si="3"/>
        <v>1.7431098636399325</v>
      </c>
      <c r="AB16" s="451">
        <f t="shared" si="3"/>
        <v>1.7811429774944965</v>
      </c>
      <c r="AC16" s="451">
        <f t="shared" si="3"/>
        <v>1.820005940218399</v>
      </c>
      <c r="AD16" s="451">
        <f t="shared" si="3"/>
        <v>1.859716858379211</v>
      </c>
      <c r="AE16" s="451">
        <f t="shared" si="3"/>
        <v>1.9002942336137758</v>
      </c>
      <c r="AF16" s="451">
        <f t="shared" si="3"/>
        <v>1.9417569712482716</v>
      </c>
      <c r="AG16" s="451">
        <f t="shared" si="3"/>
        <v>1.9841243891063545</v>
      </c>
      <c r="AH16" s="451">
        <f t="shared" si="3"/>
        <v>2.0274162265094886</v>
      </c>
      <c r="AI16" s="451">
        <f t="shared" si="3"/>
        <v>2.071652653473655</v>
      </c>
      <c r="AJ16" s="451">
        <f t="shared" si="3"/>
        <v>2.1168542801067249</v>
      </c>
      <c r="AK16" s="451">
        <f t="shared" si="3"/>
        <v>2.1630421662108743</v>
      </c>
    </row>
    <row r="17" spans="1:41" x14ac:dyDescent="0.2">
      <c r="B17" s="452" t="s">
        <v>514</v>
      </c>
      <c r="C17" s="453" t="s">
        <v>515</v>
      </c>
      <c r="D17" s="454">
        <v>0.16132344874148152</v>
      </c>
      <c r="E17" s="455">
        <v>172198.71885534245</v>
      </c>
      <c r="F17" s="456">
        <f>D17*E17</f>
        <v>27779.691194608626</v>
      </c>
      <c r="G17" s="457"/>
      <c r="H17" s="458">
        <f>($F$17*H16)*H14</f>
        <v>609640.68051342247</v>
      </c>
      <c r="I17" s="458">
        <f t="shared" ref="I17:AK17" si="4">($F$17*I16)*I14</f>
        <v>643077.50706148183</v>
      </c>
      <c r="J17" s="458">
        <f t="shared" si="4"/>
        <v>671001.95717710117</v>
      </c>
      <c r="K17" s="458">
        <f t="shared" si="4"/>
        <v>685642.625769648</v>
      </c>
      <c r="L17" s="458">
        <f t="shared" si="4"/>
        <v>700602.74078786361</v>
      </c>
      <c r="M17" s="458">
        <f t="shared" si="4"/>
        <v>715889.27226991393</v>
      </c>
      <c r="N17" s="458">
        <f t="shared" si="4"/>
        <v>731509.34233402717</v>
      </c>
      <c r="O17" s="458">
        <f t="shared" si="4"/>
        <v>747470.228496745</v>
      </c>
      <c r="P17" s="458">
        <f t="shared" si="4"/>
        <v>763779.36706357612</v>
      </c>
      <c r="Q17" s="458">
        <f t="shared" si="4"/>
        <v>780444.35659363156</v>
      </c>
      <c r="R17" s="458">
        <f t="shared" si="4"/>
        <v>797472.96143985423</v>
      </c>
      <c r="S17" s="458">
        <f t="shared" si="4"/>
        <v>814873.11536649358</v>
      </c>
      <c r="T17" s="458">
        <f t="shared" si="4"/>
        <v>832652.92524551053</v>
      </c>
      <c r="U17" s="458">
        <f t="shared" si="4"/>
        <v>850820.67483363417</v>
      </c>
      <c r="V17" s="458">
        <f t="shared" si="4"/>
        <v>869384.82863183029</v>
      </c>
      <c r="W17" s="458">
        <f t="shared" si="4"/>
        <v>888354.03582898213</v>
      </c>
      <c r="X17" s="458">
        <f t="shared" si="4"/>
        <v>907737.13433161587</v>
      </c>
      <c r="Y17" s="458">
        <f t="shared" si="4"/>
        <v>927543.15488155279</v>
      </c>
      <c r="Z17" s="458">
        <f t="shared" si="4"/>
        <v>947781.32526340452</v>
      </c>
      <c r="AA17" s="458">
        <f t="shared" si="4"/>
        <v>968461.07460387342</v>
      </c>
      <c r="AB17" s="458">
        <f t="shared" si="4"/>
        <v>989592.03776485706</v>
      </c>
      <c r="AC17" s="458">
        <f t="shared" si="4"/>
        <v>1011184.059832409</v>
      </c>
      <c r="AD17" s="458">
        <f t="shared" si="4"/>
        <v>1033247.2007036436</v>
      </c>
      <c r="AE17" s="458">
        <f t="shared" si="4"/>
        <v>1055791.7397737231</v>
      </c>
      <c r="AF17" s="458">
        <f t="shared" si="4"/>
        <v>1078828.1807251107</v>
      </c>
      <c r="AG17" s="458">
        <f t="shared" si="4"/>
        <v>1102367.2564213204</v>
      </c>
      <c r="AH17" s="458">
        <f t="shared" si="4"/>
        <v>1126419.9339074458</v>
      </c>
      <c r="AI17" s="458">
        <f t="shared" si="4"/>
        <v>1150997.4195197937</v>
      </c>
      <c r="AJ17" s="458">
        <f t="shared" si="4"/>
        <v>1176111.1641070074</v>
      </c>
      <c r="AK17" s="458">
        <f t="shared" si="4"/>
        <v>1201772.8683651078</v>
      </c>
      <c r="AL17" s="446"/>
      <c r="AM17" s="446"/>
      <c r="AN17" s="446"/>
      <c r="AO17" s="446"/>
    </row>
    <row r="18" spans="1:41" x14ac:dyDescent="0.2">
      <c r="B18" s="459" t="s">
        <v>516</v>
      </c>
      <c r="C18" s="460" t="s">
        <v>515</v>
      </c>
      <c r="D18" s="461"/>
      <c r="E18" s="462"/>
      <c r="F18" s="463"/>
      <c r="G18" s="464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465"/>
      <c r="AJ18" s="465"/>
      <c r="AK18" s="465"/>
      <c r="AL18" s="446"/>
      <c r="AM18" s="446"/>
      <c r="AN18" s="446"/>
      <c r="AO18" s="446"/>
    </row>
    <row r="19" spans="1:41" x14ac:dyDescent="0.2">
      <c r="A19" s="446"/>
      <c r="B19" s="459" t="s">
        <v>517</v>
      </c>
      <c r="C19" s="460" t="s">
        <v>515</v>
      </c>
      <c r="D19" s="466">
        <v>0.10113886630280072</v>
      </c>
      <c r="E19" s="467">
        <v>172198.71885534245</v>
      </c>
      <c r="F19" s="468">
        <f>D19*E19</f>
        <v>17415.983203824049</v>
      </c>
      <c r="G19" s="464"/>
      <c r="H19" s="458">
        <f>($F$19*H16)*H14</f>
        <v>382203.37936118705</v>
      </c>
      <c r="I19" s="458">
        <f t="shared" ref="I19:AK19" si="5">($F$19*I16)*I14</f>
        <v>403166.00293646997</v>
      </c>
      <c r="J19" s="458">
        <f t="shared" si="5"/>
        <v>420672.74017061287</v>
      </c>
      <c r="K19" s="458">
        <f t="shared" si="5"/>
        <v>429851.44689252338</v>
      </c>
      <c r="L19" s="458">
        <f t="shared" si="5"/>
        <v>439230.42486817064</v>
      </c>
      <c r="M19" s="458">
        <f t="shared" si="5"/>
        <v>448814.04383898864</v>
      </c>
      <c r="N19" s="458">
        <f t="shared" si="5"/>
        <v>458606.76889030053</v>
      </c>
      <c r="O19" s="458">
        <f t="shared" si="5"/>
        <v>468613.16253163764</v>
      </c>
      <c r="P19" s="458">
        <f t="shared" si="5"/>
        <v>478837.88682244957</v>
      </c>
      <c r="Q19" s="458">
        <f t="shared" si="5"/>
        <v>489285.70554419537</v>
      </c>
      <c r="R19" s="458">
        <f t="shared" si="5"/>
        <v>499961.48641982756</v>
      </c>
      <c r="S19" s="458">
        <f t="shared" si="5"/>
        <v>510870.20338170358</v>
      </c>
      <c r="T19" s="458">
        <f t="shared" si="5"/>
        <v>522016.93888898095</v>
      </c>
      <c r="U19" s="458">
        <f t="shared" si="5"/>
        <v>533406.88629557588</v>
      </c>
      <c r="V19" s="458">
        <f t="shared" si="5"/>
        <v>545045.35226978874</v>
      </c>
      <c r="W19" s="458">
        <f t="shared" si="5"/>
        <v>556937.75926672365</v>
      </c>
      <c r="X19" s="458">
        <f t="shared" si="5"/>
        <v>569089.64805465413</v>
      </c>
      <c r="Y19" s="458">
        <f t="shared" si="5"/>
        <v>581506.68029651139</v>
      </c>
      <c r="Z19" s="458">
        <f t="shared" si="5"/>
        <v>594194.64118769893</v>
      </c>
      <c r="AA19" s="458">
        <f t="shared" si="5"/>
        <v>607159.44215146184</v>
      </c>
      <c r="AB19" s="458">
        <f t="shared" si="5"/>
        <v>620407.12359306612</v>
      </c>
      <c r="AC19" s="458">
        <f t="shared" si="5"/>
        <v>633943.85771407268</v>
      </c>
      <c r="AD19" s="458">
        <f t="shared" si="5"/>
        <v>647775.9513880153</v>
      </c>
      <c r="AE19" s="458">
        <f t="shared" si="5"/>
        <v>661909.84909882431</v>
      </c>
      <c r="AF19" s="458">
        <f t="shared" si="5"/>
        <v>676352.13594336307</v>
      </c>
      <c r="AG19" s="458">
        <f t="shared" si="5"/>
        <v>691109.54069947836</v>
      </c>
      <c r="AH19" s="458">
        <f t="shared" si="5"/>
        <v>706188.9389609918</v>
      </c>
      <c r="AI19" s="458">
        <f t="shared" si="5"/>
        <v>721597.35634109401</v>
      </c>
      <c r="AJ19" s="458">
        <f t="shared" si="5"/>
        <v>737341.97174563538</v>
      </c>
      <c r="AK19" s="458">
        <f t="shared" si="5"/>
        <v>753430.1207178355</v>
      </c>
    </row>
    <row r="20" spans="1:41" x14ac:dyDescent="0.2">
      <c r="B20" s="459" t="s">
        <v>284</v>
      </c>
      <c r="C20" s="460" t="s">
        <v>515</v>
      </c>
      <c r="D20" s="469"/>
      <c r="E20" s="470"/>
      <c r="F20" s="463"/>
      <c r="G20" s="464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5"/>
      <c r="AK20" s="465"/>
    </row>
    <row r="21" spans="1:41" x14ac:dyDescent="0.2">
      <c r="B21" s="459" t="s">
        <v>287</v>
      </c>
      <c r="C21" s="460" t="s">
        <v>515</v>
      </c>
      <c r="D21" s="469"/>
      <c r="E21" s="470"/>
      <c r="F21" s="463"/>
      <c r="G21" s="464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</row>
    <row r="22" spans="1:41" x14ac:dyDescent="0.2">
      <c r="B22" s="459" t="s">
        <v>518</v>
      </c>
      <c r="C22" s="460" t="s">
        <v>515</v>
      </c>
      <c r="D22" s="466">
        <v>5.8272533477451517E-2</v>
      </c>
      <c r="E22" s="467">
        <v>172198.71885534245</v>
      </c>
      <c r="F22" s="468">
        <f>D22*E22</f>
        <v>10034.455609272205</v>
      </c>
      <c r="G22" s="464"/>
      <c r="H22" s="458">
        <f>($F$22*H16)*H14</f>
        <v>220211.67562171028</v>
      </c>
      <c r="I22" s="458">
        <f t="shared" ref="I22:AK22" si="6">($F$22*I16)*I14</f>
        <v>232289.57632121674</v>
      </c>
      <c r="J22" s="458">
        <f t="shared" si="6"/>
        <v>242376.32109946315</v>
      </c>
      <c r="K22" s="458">
        <f t="shared" si="6"/>
        <v>247664.75782299633</v>
      </c>
      <c r="L22" s="458">
        <f t="shared" si="6"/>
        <v>253068.58355339261</v>
      </c>
      <c r="M22" s="458">
        <f t="shared" si="6"/>
        <v>258590.31597661506</v>
      </c>
      <c r="N22" s="458">
        <f t="shared" si="6"/>
        <v>264232.52771230508</v>
      </c>
      <c r="O22" s="458">
        <f t="shared" si="6"/>
        <v>269997.84751238697</v>
      </c>
      <c r="P22" s="458">
        <f t="shared" si="6"/>
        <v>275888.96148582443</v>
      </c>
      <c r="Q22" s="458">
        <f t="shared" si="6"/>
        <v>281908.6143501004</v>
      </c>
      <c r="R22" s="458">
        <f t="shared" si="6"/>
        <v>288059.61071000312</v>
      </c>
      <c r="S22" s="458">
        <f t="shared" si="6"/>
        <v>294344.81636431406</v>
      </c>
      <c r="T22" s="458">
        <f t="shared" si="6"/>
        <v>300767.15964100679</v>
      </c>
      <c r="U22" s="458">
        <f t="shared" si="6"/>
        <v>307329.63276157842</v>
      </c>
      <c r="V22" s="458">
        <f t="shared" si="6"/>
        <v>314035.29323514964</v>
      </c>
      <c r="W22" s="458">
        <f t="shared" si="6"/>
        <v>320887.26528298325</v>
      </c>
      <c r="X22" s="458">
        <f t="shared" si="6"/>
        <v>327888.74129408359</v>
      </c>
      <c r="Y22" s="458">
        <f t="shared" si="6"/>
        <v>335042.98331255664</v>
      </c>
      <c r="Z22" s="458">
        <f t="shared" si="6"/>
        <v>342353.32455742237</v>
      </c>
      <c r="AA22" s="458">
        <f t="shared" si="6"/>
        <v>349823.17097558861</v>
      </c>
      <c r="AB22" s="458">
        <f t="shared" si="6"/>
        <v>357456.00282870897</v>
      </c>
      <c r="AC22" s="458">
        <f t="shared" si="6"/>
        <v>365255.37631466496</v>
      </c>
      <c r="AD22" s="458">
        <f t="shared" si="6"/>
        <v>373224.92522442713</v>
      </c>
      <c r="AE22" s="458">
        <f t="shared" si="6"/>
        <v>381368.36263506761</v>
      </c>
      <c r="AF22" s="458">
        <f t="shared" si="6"/>
        <v>389689.48263971251</v>
      </c>
      <c r="AG22" s="458">
        <f t="shared" si="6"/>
        <v>398192.16211524094</v>
      </c>
      <c r="AH22" s="458">
        <f t="shared" si="6"/>
        <v>406880.36252855253</v>
      </c>
      <c r="AI22" s="458">
        <f t="shared" si="6"/>
        <v>415758.13178224728</v>
      </c>
      <c r="AJ22" s="458">
        <f t="shared" si="6"/>
        <v>424829.60610057606</v>
      </c>
      <c r="AK22" s="458">
        <f t="shared" si="6"/>
        <v>434099.01195654017</v>
      </c>
    </row>
    <row r="23" spans="1:41" x14ac:dyDescent="0.2">
      <c r="B23" s="459" t="s">
        <v>519</v>
      </c>
      <c r="C23" s="460" t="s">
        <v>515</v>
      </c>
      <c r="D23" s="471"/>
      <c r="E23" s="470"/>
      <c r="F23" s="463"/>
      <c r="G23" s="464"/>
      <c r="H23" s="465"/>
      <c r="I23" s="465">
        <f t="shared" ref="I23:AK23" si="7">$F$23*I14</f>
        <v>0</v>
      </c>
      <c r="J23" s="465">
        <f t="shared" si="7"/>
        <v>0</v>
      </c>
      <c r="K23" s="465">
        <f t="shared" si="7"/>
        <v>0</v>
      </c>
      <c r="L23" s="465">
        <f t="shared" si="7"/>
        <v>0</v>
      </c>
      <c r="M23" s="465">
        <f t="shared" si="7"/>
        <v>0</v>
      </c>
      <c r="N23" s="465">
        <f t="shared" si="7"/>
        <v>0</v>
      </c>
      <c r="O23" s="465">
        <f t="shared" si="7"/>
        <v>0</v>
      </c>
      <c r="P23" s="465">
        <f t="shared" si="7"/>
        <v>0</v>
      </c>
      <c r="Q23" s="465">
        <f t="shared" si="7"/>
        <v>0</v>
      </c>
      <c r="R23" s="465">
        <f t="shared" si="7"/>
        <v>0</v>
      </c>
      <c r="S23" s="465">
        <f t="shared" si="7"/>
        <v>0</v>
      </c>
      <c r="T23" s="465">
        <f t="shared" si="7"/>
        <v>0</v>
      </c>
      <c r="U23" s="465">
        <f t="shared" si="7"/>
        <v>0</v>
      </c>
      <c r="V23" s="465">
        <f t="shared" si="7"/>
        <v>0</v>
      </c>
      <c r="W23" s="465">
        <f t="shared" si="7"/>
        <v>0</v>
      </c>
      <c r="X23" s="465">
        <f t="shared" si="7"/>
        <v>0</v>
      </c>
      <c r="Y23" s="465">
        <f t="shared" si="7"/>
        <v>0</v>
      </c>
      <c r="Z23" s="465">
        <f t="shared" si="7"/>
        <v>0</v>
      </c>
      <c r="AA23" s="465">
        <f t="shared" si="7"/>
        <v>0</v>
      </c>
      <c r="AB23" s="465">
        <f t="shared" si="7"/>
        <v>0</v>
      </c>
      <c r="AC23" s="465">
        <f t="shared" si="7"/>
        <v>0</v>
      </c>
      <c r="AD23" s="465">
        <f t="shared" si="7"/>
        <v>0</v>
      </c>
      <c r="AE23" s="465">
        <f t="shared" si="7"/>
        <v>0</v>
      </c>
      <c r="AF23" s="465">
        <f t="shared" si="7"/>
        <v>0</v>
      </c>
      <c r="AG23" s="465">
        <f t="shared" si="7"/>
        <v>0</v>
      </c>
      <c r="AH23" s="465">
        <f t="shared" si="7"/>
        <v>0</v>
      </c>
      <c r="AI23" s="465">
        <f t="shared" si="7"/>
        <v>0</v>
      </c>
      <c r="AJ23" s="465">
        <f t="shared" si="7"/>
        <v>0</v>
      </c>
      <c r="AK23" s="465">
        <f t="shared" si="7"/>
        <v>0</v>
      </c>
    </row>
    <row r="24" spans="1:41" s="446" customFormat="1" x14ac:dyDescent="0.2">
      <c r="A24" s="413"/>
      <c r="B24" s="459" t="s">
        <v>330</v>
      </c>
      <c r="C24" s="460" t="s">
        <v>515</v>
      </c>
      <c r="D24" s="466">
        <v>0.23601731887373034</v>
      </c>
      <c r="E24" s="467">
        <v>172198.71885534245</v>
      </c>
      <c r="F24" s="468">
        <f t="shared" ref="F24:F25" si="8">D24*E24</f>
        <v>40641.879937729202</v>
      </c>
      <c r="G24" s="464"/>
      <c r="H24" s="458">
        <f>$F$24*H14</f>
        <v>812837.59875458409</v>
      </c>
      <c r="I24" s="458">
        <f t="shared" ref="I24:AK24" si="9">$F$24*I14</f>
        <v>812837.59875458409</v>
      </c>
      <c r="J24" s="458">
        <f t="shared" si="9"/>
        <v>812837.59875458409</v>
      </c>
      <c r="K24" s="458">
        <f t="shared" si="9"/>
        <v>812837.59875458409</v>
      </c>
      <c r="L24" s="458">
        <f t="shared" si="9"/>
        <v>812837.59875458409</v>
      </c>
      <c r="M24" s="458">
        <f t="shared" si="9"/>
        <v>812837.59875458409</v>
      </c>
      <c r="N24" s="458">
        <f t="shared" si="9"/>
        <v>812837.59875458409</v>
      </c>
      <c r="O24" s="458">
        <f t="shared" si="9"/>
        <v>812837.59875458409</v>
      </c>
      <c r="P24" s="458">
        <f t="shared" si="9"/>
        <v>812837.59875458409</v>
      </c>
      <c r="Q24" s="458">
        <f t="shared" si="9"/>
        <v>812837.59875458409</v>
      </c>
      <c r="R24" s="458">
        <f t="shared" si="9"/>
        <v>812837.59875458409</v>
      </c>
      <c r="S24" s="458">
        <f t="shared" si="9"/>
        <v>812837.59875458409</v>
      </c>
      <c r="T24" s="458">
        <f t="shared" si="9"/>
        <v>812837.59875458409</v>
      </c>
      <c r="U24" s="458">
        <f t="shared" si="9"/>
        <v>812837.59875458409</v>
      </c>
      <c r="V24" s="458">
        <f t="shared" si="9"/>
        <v>812837.59875458409</v>
      </c>
      <c r="W24" s="458">
        <f t="shared" si="9"/>
        <v>812837.59875458409</v>
      </c>
      <c r="X24" s="458">
        <f t="shared" si="9"/>
        <v>812837.59875458409</v>
      </c>
      <c r="Y24" s="458">
        <f t="shared" si="9"/>
        <v>812837.59875458409</v>
      </c>
      <c r="Z24" s="458">
        <f t="shared" si="9"/>
        <v>812837.59875458409</v>
      </c>
      <c r="AA24" s="458">
        <f t="shared" si="9"/>
        <v>812837.59875458409</v>
      </c>
      <c r="AB24" s="458">
        <f t="shared" si="9"/>
        <v>812837.59875458409</v>
      </c>
      <c r="AC24" s="458">
        <f t="shared" si="9"/>
        <v>812837.59875458409</v>
      </c>
      <c r="AD24" s="458">
        <f t="shared" si="9"/>
        <v>812837.59875458409</v>
      </c>
      <c r="AE24" s="458">
        <f t="shared" si="9"/>
        <v>812837.59875458409</v>
      </c>
      <c r="AF24" s="458">
        <f t="shared" si="9"/>
        <v>812837.59875458409</v>
      </c>
      <c r="AG24" s="458">
        <f t="shared" si="9"/>
        <v>812837.59875458409</v>
      </c>
      <c r="AH24" s="458">
        <f t="shared" si="9"/>
        <v>812837.59875458409</v>
      </c>
      <c r="AI24" s="458">
        <f t="shared" si="9"/>
        <v>812837.59875458409</v>
      </c>
      <c r="AJ24" s="458">
        <f t="shared" si="9"/>
        <v>812837.59875458409</v>
      </c>
      <c r="AK24" s="458">
        <f t="shared" si="9"/>
        <v>812837.59875458409</v>
      </c>
      <c r="AL24" s="413"/>
      <c r="AM24" s="413"/>
      <c r="AN24" s="413"/>
      <c r="AO24" s="413"/>
    </row>
    <row r="25" spans="1:41" s="446" customFormat="1" ht="13.5" thickBot="1" x14ac:dyDescent="0.25">
      <c r="A25" s="413"/>
      <c r="B25" s="472" t="s">
        <v>520</v>
      </c>
      <c r="C25" s="473" t="s">
        <v>515</v>
      </c>
      <c r="D25" s="474">
        <v>0.68129349210071299</v>
      </c>
      <c r="E25" s="475">
        <v>172198.71885534245</v>
      </c>
      <c r="F25" s="476">
        <f t="shared" si="8"/>
        <v>117317.86650422515</v>
      </c>
      <c r="G25" s="464"/>
      <c r="H25" s="477">
        <f>($F$25*H16)*H14</f>
        <v>2574605.436431177</v>
      </c>
      <c r="I25" s="477">
        <f t="shared" ref="I25:AK25" si="10">($F$25*I16)*I14</f>
        <v>2715814.2470622859</v>
      </c>
      <c r="J25" s="477">
        <f t="shared" si="10"/>
        <v>2833743.4525353806</v>
      </c>
      <c r="K25" s="477">
        <f>($F$25*K16)*K14</f>
        <v>2895573.2256397833</v>
      </c>
      <c r="L25" s="477">
        <f t="shared" si="10"/>
        <v>2958752.0696485126</v>
      </c>
      <c r="M25" s="477">
        <f t="shared" si="10"/>
        <v>3023309.4200942181</v>
      </c>
      <c r="N25" s="477">
        <f t="shared" si="10"/>
        <v>3089275.3547668085</v>
      </c>
      <c r="O25" s="477">
        <f t="shared" si="10"/>
        <v>3156680.6077269372</v>
      </c>
      <c r="P25" s="477">
        <f t="shared" si="10"/>
        <v>3225556.5836252486</v>
      </c>
      <c r="Q25" s="477">
        <f t="shared" si="10"/>
        <v>3295935.3723340584</v>
      </c>
      <c r="R25" s="477">
        <f t="shared" si="10"/>
        <v>3367849.7638982842</v>
      </c>
      <c r="S25" s="477">
        <f t="shared" si="10"/>
        <v>3441333.2638125895</v>
      </c>
      <c r="T25" s="477">
        <f t="shared" si="10"/>
        <v>3516420.108631867</v>
      </c>
      <c r="U25" s="477">
        <f t="shared" si="10"/>
        <v>3593145.2819223213</v>
      </c>
      <c r="V25" s="477">
        <f t="shared" si="10"/>
        <v>3671544.5305605987</v>
      </c>
      <c r="W25" s="477">
        <f t="shared" si="10"/>
        <v>3751654.3813885427</v>
      </c>
      <c r="X25" s="477">
        <f t="shared" si="10"/>
        <v>3833512.158231345</v>
      </c>
      <c r="Y25" s="477">
        <f t="shared" si="10"/>
        <v>3917155.9992870148</v>
      </c>
      <c r="Z25" s="477">
        <f t="shared" si="10"/>
        <v>4002624.8748952746</v>
      </c>
      <c r="AA25" s="477">
        <f t="shared" si="10"/>
        <v>4089958.6056941543</v>
      </c>
      <c r="AB25" s="477">
        <f t="shared" si="10"/>
        <v>4179197.8811727487</v>
      </c>
      <c r="AC25" s="477">
        <f t="shared" si="10"/>
        <v>4270384.2786287786</v>
      </c>
      <c r="AD25" s="477">
        <f t="shared" si="10"/>
        <v>4363560.2825397849</v>
      </c>
      <c r="AE25" s="477">
        <f t="shared" si="10"/>
        <v>4458769.304356996</v>
      </c>
      <c r="AF25" s="477">
        <f t="shared" si="10"/>
        <v>4556055.7027310655</v>
      </c>
      <c r="AG25" s="477">
        <f t="shared" si="10"/>
        <v>4655464.804179132</v>
      </c>
      <c r="AH25" s="477">
        <f t="shared" si="10"/>
        <v>4757042.9242028017</v>
      </c>
      <c r="AI25" s="477">
        <f t="shared" si="10"/>
        <v>4860837.3888669219</v>
      </c>
      <c r="AJ25" s="477">
        <f t="shared" si="10"/>
        <v>4966896.5568491677</v>
      </c>
      <c r="AK25" s="477">
        <f t="shared" si="10"/>
        <v>5075269.8419707464</v>
      </c>
      <c r="AL25" s="413"/>
      <c r="AM25" s="413"/>
      <c r="AN25" s="413"/>
      <c r="AO25" s="413"/>
    </row>
    <row r="26" spans="1:41" s="446" customFormat="1" ht="13.5" thickBot="1" x14ac:dyDescent="0.25">
      <c r="A26" s="413"/>
      <c r="B26" s="478" t="s">
        <v>353</v>
      </c>
      <c r="C26" s="479" t="s">
        <v>0</v>
      </c>
      <c r="D26" s="464"/>
      <c r="E26" s="480"/>
      <c r="F26" s="480"/>
      <c r="G26" s="481"/>
      <c r="H26" s="482">
        <f>SUM(H17:H25)</f>
        <v>4599498.7706820806</v>
      </c>
      <c r="I26" s="483">
        <f t="shared" ref="I26:AK26" si="11">SUM(I17:I25)</f>
        <v>4807184.9321360383</v>
      </c>
      <c r="J26" s="483">
        <f t="shared" si="11"/>
        <v>4980632.069737142</v>
      </c>
      <c r="K26" s="483">
        <f t="shared" si="11"/>
        <v>5071569.6548795346</v>
      </c>
      <c r="L26" s="483">
        <f t="shared" si="11"/>
        <v>5164491.4176125238</v>
      </c>
      <c r="M26" s="483">
        <f t="shared" si="11"/>
        <v>5259440.6509343199</v>
      </c>
      <c r="N26" s="483">
        <f t="shared" si="11"/>
        <v>5356461.5924580256</v>
      </c>
      <c r="O26" s="483">
        <f t="shared" si="11"/>
        <v>5455599.4450222906</v>
      </c>
      <c r="P26" s="483">
        <f t="shared" si="11"/>
        <v>5556900.3977516824</v>
      </c>
      <c r="Q26" s="483">
        <f t="shared" si="11"/>
        <v>5660411.6475765696</v>
      </c>
      <c r="R26" s="483">
        <f t="shared" si="11"/>
        <v>5766181.4212225527</v>
      </c>
      <c r="S26" s="483">
        <f t="shared" si="11"/>
        <v>5874258.9976796843</v>
      </c>
      <c r="T26" s="483">
        <f t="shared" si="11"/>
        <v>5984694.7311619492</v>
      </c>
      <c r="U26" s="483">
        <f t="shared" si="11"/>
        <v>6097540.0745676942</v>
      </c>
      <c r="V26" s="483">
        <f t="shared" si="11"/>
        <v>6212847.6034519514</v>
      </c>
      <c r="W26" s="483">
        <f t="shared" si="11"/>
        <v>6330671.0405218154</v>
      </c>
      <c r="X26" s="483">
        <f t="shared" si="11"/>
        <v>6451065.2806662824</v>
      </c>
      <c r="Y26" s="483">
        <f t="shared" si="11"/>
        <v>6574086.4165322194</v>
      </c>
      <c r="Z26" s="483">
        <f t="shared" si="11"/>
        <v>6699791.764658384</v>
      </c>
      <c r="AA26" s="483">
        <f t="shared" si="11"/>
        <v>6828239.8921796624</v>
      </c>
      <c r="AB26" s="483">
        <f t="shared" si="11"/>
        <v>6959490.6441139653</v>
      </c>
      <c r="AC26" s="483">
        <f t="shared" si="11"/>
        <v>7093605.1712445095</v>
      </c>
      <c r="AD26" s="483">
        <f t="shared" si="11"/>
        <v>7230645.9586104546</v>
      </c>
      <c r="AE26" s="483">
        <f t="shared" si="11"/>
        <v>7370676.8546191948</v>
      </c>
      <c r="AF26" s="483">
        <f t="shared" si="11"/>
        <v>7513763.1007938357</v>
      </c>
      <c r="AG26" s="483">
        <f t="shared" si="11"/>
        <v>7659971.3621697556</v>
      </c>
      <c r="AH26" s="483">
        <f t="shared" si="11"/>
        <v>7809369.7583543761</v>
      </c>
      <c r="AI26" s="483">
        <f t="shared" si="11"/>
        <v>7962027.8952646414</v>
      </c>
      <c r="AJ26" s="483">
        <f t="shared" si="11"/>
        <v>8118016.8975569708</v>
      </c>
      <c r="AK26" s="484">
        <f t="shared" si="11"/>
        <v>8277409.4417648138</v>
      </c>
      <c r="AL26" s="413"/>
      <c r="AM26" s="413"/>
      <c r="AN26" s="413"/>
      <c r="AO26" s="413"/>
    </row>
    <row r="27" spans="1:41" x14ac:dyDescent="0.2">
      <c r="H27" s="438"/>
    </row>
    <row r="28" spans="1:41" x14ac:dyDescent="0.2">
      <c r="I28" s="438"/>
    </row>
    <row r="29" spans="1:41" x14ac:dyDescent="0.2">
      <c r="A29" s="2"/>
      <c r="B29" s="2"/>
      <c r="C29" s="3"/>
      <c r="D29" s="3" t="s">
        <v>10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41" x14ac:dyDescent="0.2">
      <c r="A30" s="2"/>
      <c r="B30" s="4" t="s">
        <v>57</v>
      </c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</row>
    <row r="31" spans="1:41" x14ac:dyDescent="0.2">
      <c r="A31" s="2"/>
      <c r="B31" s="6" t="s">
        <v>32</v>
      </c>
      <c r="C31" s="6" t="s">
        <v>9</v>
      </c>
      <c r="D31" s="7">
        <v>2023</v>
      </c>
      <c r="E31" s="7">
        <f>$D$31+D30</f>
        <v>2024</v>
      </c>
      <c r="F31" s="7">
        <f>$D$31+E30</f>
        <v>2025</v>
      </c>
      <c r="G31" s="7">
        <f t="shared" ref="G31:AG31" si="12">$D$31+F30</f>
        <v>2026</v>
      </c>
      <c r="H31" s="7">
        <f t="shared" si="12"/>
        <v>2027</v>
      </c>
      <c r="I31" s="7">
        <f t="shared" si="12"/>
        <v>2028</v>
      </c>
      <c r="J31" s="7">
        <f t="shared" si="12"/>
        <v>2029</v>
      </c>
      <c r="K31" s="7">
        <f t="shared" si="12"/>
        <v>2030</v>
      </c>
      <c r="L31" s="7">
        <f t="shared" si="12"/>
        <v>2031</v>
      </c>
      <c r="M31" s="7">
        <f t="shared" si="12"/>
        <v>2032</v>
      </c>
      <c r="N31" s="7">
        <f t="shared" si="12"/>
        <v>2033</v>
      </c>
      <c r="O31" s="7">
        <f t="shared" si="12"/>
        <v>2034</v>
      </c>
      <c r="P31" s="7">
        <f t="shared" si="12"/>
        <v>2035</v>
      </c>
      <c r="Q31" s="7">
        <f t="shared" si="12"/>
        <v>2036</v>
      </c>
      <c r="R31" s="7">
        <f t="shared" si="12"/>
        <v>2037</v>
      </c>
      <c r="S31" s="7">
        <f t="shared" si="12"/>
        <v>2038</v>
      </c>
      <c r="T31" s="7">
        <f t="shared" si="12"/>
        <v>2039</v>
      </c>
      <c r="U31" s="7">
        <f t="shared" si="12"/>
        <v>2040</v>
      </c>
      <c r="V31" s="7">
        <f t="shared" si="12"/>
        <v>2041</v>
      </c>
      <c r="W31" s="7">
        <f t="shared" si="12"/>
        <v>2042</v>
      </c>
      <c r="X31" s="7">
        <f t="shared" si="12"/>
        <v>2043</v>
      </c>
      <c r="Y31" s="7">
        <f t="shared" si="12"/>
        <v>2044</v>
      </c>
      <c r="Z31" s="7">
        <f t="shared" si="12"/>
        <v>2045</v>
      </c>
      <c r="AA31" s="7">
        <f t="shared" si="12"/>
        <v>2046</v>
      </c>
      <c r="AB31" s="7">
        <f t="shared" si="12"/>
        <v>2047</v>
      </c>
      <c r="AC31" s="7">
        <f t="shared" si="12"/>
        <v>2048</v>
      </c>
      <c r="AD31" s="7">
        <f t="shared" si="12"/>
        <v>2049</v>
      </c>
      <c r="AE31" s="7">
        <f t="shared" si="12"/>
        <v>2050</v>
      </c>
      <c r="AF31" s="7">
        <f t="shared" si="12"/>
        <v>2051</v>
      </c>
      <c r="AG31" s="7">
        <f t="shared" si="12"/>
        <v>2052</v>
      </c>
    </row>
    <row r="32" spans="1:41" x14ac:dyDescent="0.2">
      <c r="A32" s="2"/>
      <c r="B32" s="3" t="s">
        <v>353</v>
      </c>
      <c r="C32" s="129">
        <f t="shared" ref="C32:C37" si="13">SUM(D32:AG32)</f>
        <v>190726544.88592488</v>
      </c>
      <c r="D32" s="485">
        <f>H26</f>
        <v>4599498.7706820806</v>
      </c>
      <c r="E32" s="485">
        <f t="shared" ref="E32:AG32" si="14">I26</f>
        <v>4807184.9321360383</v>
      </c>
      <c r="F32" s="485">
        <f>J26</f>
        <v>4980632.069737142</v>
      </c>
      <c r="G32" s="485">
        <f t="shared" si="14"/>
        <v>5071569.6548795346</v>
      </c>
      <c r="H32" s="485">
        <f t="shared" si="14"/>
        <v>5164491.4176125238</v>
      </c>
      <c r="I32" s="485">
        <f t="shared" si="14"/>
        <v>5259440.6509343199</v>
      </c>
      <c r="J32" s="485">
        <f t="shared" si="14"/>
        <v>5356461.5924580256</v>
      </c>
      <c r="K32" s="485">
        <f t="shared" si="14"/>
        <v>5455599.4450222906</v>
      </c>
      <c r="L32" s="485">
        <f t="shared" si="14"/>
        <v>5556900.3977516824</v>
      </c>
      <c r="M32" s="485">
        <f t="shared" si="14"/>
        <v>5660411.6475765696</v>
      </c>
      <c r="N32" s="485">
        <f t="shared" si="14"/>
        <v>5766181.4212225527</v>
      </c>
      <c r="O32" s="485">
        <f t="shared" si="14"/>
        <v>5874258.9976796843</v>
      </c>
      <c r="P32" s="485">
        <f t="shared" si="14"/>
        <v>5984694.7311619492</v>
      </c>
      <c r="Q32" s="485">
        <f t="shared" si="14"/>
        <v>6097540.0745676942</v>
      </c>
      <c r="R32" s="485">
        <f t="shared" si="14"/>
        <v>6212847.6034519514</v>
      </c>
      <c r="S32" s="485">
        <f t="shared" si="14"/>
        <v>6330671.0405218154</v>
      </c>
      <c r="T32" s="485">
        <f t="shared" si="14"/>
        <v>6451065.2806662824</v>
      </c>
      <c r="U32" s="485">
        <f t="shared" si="14"/>
        <v>6574086.4165322194</v>
      </c>
      <c r="V32" s="485">
        <f t="shared" si="14"/>
        <v>6699791.764658384</v>
      </c>
      <c r="W32" s="485">
        <f t="shared" si="14"/>
        <v>6828239.8921796624</v>
      </c>
      <c r="X32" s="485">
        <f t="shared" si="14"/>
        <v>6959490.6441139653</v>
      </c>
      <c r="Y32" s="485">
        <f t="shared" si="14"/>
        <v>7093605.1712445095</v>
      </c>
      <c r="Z32" s="485">
        <f t="shared" si="14"/>
        <v>7230645.9586104546</v>
      </c>
      <c r="AA32" s="485">
        <f t="shared" si="14"/>
        <v>7370676.8546191948</v>
      </c>
      <c r="AB32" s="485">
        <f t="shared" si="14"/>
        <v>7513763.1007938357</v>
      </c>
      <c r="AC32" s="485">
        <f t="shared" si="14"/>
        <v>7659971.3621697556</v>
      </c>
      <c r="AD32" s="485">
        <f t="shared" si="14"/>
        <v>7809369.7583543761</v>
      </c>
      <c r="AE32" s="485">
        <f t="shared" si="14"/>
        <v>7962027.8952646414</v>
      </c>
      <c r="AF32" s="485">
        <f t="shared" si="14"/>
        <v>8118016.8975569708</v>
      </c>
      <c r="AG32" s="485">
        <f t="shared" si="14"/>
        <v>8277409.4417648138</v>
      </c>
    </row>
    <row r="33" spans="1:41" x14ac:dyDescent="0.2">
      <c r="A33" s="2"/>
      <c r="B33" s="3" t="s">
        <v>351</v>
      </c>
      <c r="C33" s="129">
        <f t="shared" si="13"/>
        <v>88000000</v>
      </c>
      <c r="D33" s="186"/>
      <c r="E33" s="186"/>
      <c r="F33" s="186"/>
      <c r="G33" s="186">
        <v>20400000</v>
      </c>
      <c r="H33" s="186">
        <v>17000000</v>
      </c>
      <c r="I33" s="186">
        <v>27200000</v>
      </c>
      <c r="J33" s="186">
        <v>3400000</v>
      </c>
      <c r="K33" s="186">
        <v>0</v>
      </c>
      <c r="L33" s="186">
        <v>0</v>
      </c>
      <c r="M33" s="186"/>
      <c r="N33" s="186"/>
      <c r="O33" s="186"/>
      <c r="P33" s="186"/>
      <c r="Q33" s="186"/>
      <c r="R33" s="186"/>
      <c r="S33" s="186"/>
      <c r="T33" s="186"/>
      <c r="U33" s="186"/>
      <c r="V33" s="186">
        <v>540000</v>
      </c>
      <c r="W33" s="186">
        <v>450000</v>
      </c>
      <c r="X33" s="186">
        <v>720000</v>
      </c>
      <c r="Y33" s="186">
        <v>90000</v>
      </c>
      <c r="Z33" s="186"/>
      <c r="AA33" s="186">
        <v>5460000</v>
      </c>
      <c r="AB33" s="186">
        <v>4550000</v>
      </c>
      <c r="AC33" s="186">
        <v>7280000</v>
      </c>
      <c r="AD33" s="186">
        <v>910000</v>
      </c>
      <c r="AE33" s="186"/>
      <c r="AF33" s="186"/>
      <c r="AG33" s="186"/>
    </row>
    <row r="34" spans="1:41" x14ac:dyDescent="0.2">
      <c r="A34" s="2"/>
      <c r="B34" s="4" t="s">
        <v>350</v>
      </c>
      <c r="C34" s="2"/>
      <c r="D34" s="486">
        <f t="shared" ref="D34:AG34" si="15">SUM(D32:D33)</f>
        <v>4599498.7706820806</v>
      </c>
      <c r="E34" s="486">
        <f t="shared" si="15"/>
        <v>4807184.9321360383</v>
      </c>
      <c r="F34" s="486">
        <f t="shared" si="15"/>
        <v>4980632.069737142</v>
      </c>
      <c r="G34" s="486">
        <f t="shared" si="15"/>
        <v>25471569.654879533</v>
      </c>
      <c r="H34" s="486">
        <f t="shared" si="15"/>
        <v>22164491.417612523</v>
      </c>
      <c r="I34" s="486">
        <f t="shared" si="15"/>
        <v>32459440.65093432</v>
      </c>
      <c r="J34" s="486">
        <f t="shared" si="15"/>
        <v>8756461.5924580246</v>
      </c>
      <c r="K34" s="486">
        <f t="shared" si="15"/>
        <v>5455599.4450222906</v>
      </c>
      <c r="L34" s="486">
        <f t="shared" si="15"/>
        <v>5556900.3977516824</v>
      </c>
      <c r="M34" s="486">
        <f t="shared" si="15"/>
        <v>5660411.6475765696</v>
      </c>
      <c r="N34" s="486">
        <f t="shared" si="15"/>
        <v>5766181.4212225527</v>
      </c>
      <c r="O34" s="486">
        <f t="shared" si="15"/>
        <v>5874258.9976796843</v>
      </c>
      <c r="P34" s="486">
        <f t="shared" si="15"/>
        <v>5984694.7311619492</v>
      </c>
      <c r="Q34" s="486">
        <f t="shared" si="15"/>
        <v>6097540.0745676942</v>
      </c>
      <c r="R34" s="486">
        <f t="shared" si="15"/>
        <v>6212847.6034519514</v>
      </c>
      <c r="S34" s="486">
        <f t="shared" si="15"/>
        <v>6330671.0405218154</v>
      </c>
      <c r="T34" s="486">
        <f t="shared" si="15"/>
        <v>6451065.2806662824</v>
      </c>
      <c r="U34" s="486">
        <f t="shared" si="15"/>
        <v>6574086.4165322194</v>
      </c>
      <c r="V34" s="486">
        <f t="shared" si="15"/>
        <v>7239791.764658384</v>
      </c>
      <c r="W34" s="486">
        <f t="shared" si="15"/>
        <v>7278239.8921796624</v>
      </c>
      <c r="X34" s="486">
        <f t="shared" si="15"/>
        <v>7679490.6441139653</v>
      </c>
      <c r="Y34" s="486">
        <f t="shared" si="15"/>
        <v>7183605.1712445095</v>
      </c>
      <c r="Z34" s="486">
        <f t="shared" si="15"/>
        <v>7230645.9586104546</v>
      </c>
      <c r="AA34" s="486">
        <f t="shared" si="15"/>
        <v>12830676.854619194</v>
      </c>
      <c r="AB34" s="486">
        <f t="shared" si="15"/>
        <v>12063763.100793835</v>
      </c>
      <c r="AC34" s="486">
        <f t="shared" si="15"/>
        <v>14939971.362169756</v>
      </c>
      <c r="AD34" s="486">
        <f t="shared" si="15"/>
        <v>8719369.758354377</v>
      </c>
      <c r="AE34" s="486">
        <f t="shared" si="15"/>
        <v>7962027.8952646414</v>
      </c>
      <c r="AF34" s="486">
        <f t="shared" si="15"/>
        <v>8118016.8975569708</v>
      </c>
      <c r="AG34" s="486">
        <f t="shared" si="15"/>
        <v>8277409.4417648138</v>
      </c>
      <c r="AM34" s="446"/>
      <c r="AN34" s="446"/>
      <c r="AO34" s="446"/>
    </row>
    <row r="35" spans="1:41" x14ac:dyDescent="0.2">
      <c r="A35" s="2"/>
      <c r="B35" s="3" t="s">
        <v>56</v>
      </c>
      <c r="C35" s="2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</row>
    <row r="36" spans="1:41" ht="13.5" thickBot="1" x14ac:dyDescent="0.25">
      <c r="A36" s="2"/>
      <c r="B36" s="16" t="s">
        <v>54</v>
      </c>
      <c r="C36" s="486">
        <f>SUM(D34:AG34)</f>
        <v>278726544.88592494</v>
      </c>
      <c r="D36" s="487">
        <f t="shared" ref="D36:AG36" si="16">SUM(D35:D35)</f>
        <v>0</v>
      </c>
      <c r="E36" s="487">
        <f t="shared" si="16"/>
        <v>0</v>
      </c>
      <c r="F36" s="487">
        <f t="shared" si="16"/>
        <v>0</v>
      </c>
      <c r="G36" s="487">
        <f t="shared" si="16"/>
        <v>0</v>
      </c>
      <c r="H36" s="487">
        <f t="shared" si="16"/>
        <v>0</v>
      </c>
      <c r="I36" s="487">
        <f t="shared" si="16"/>
        <v>0</v>
      </c>
      <c r="J36" s="487">
        <f t="shared" si="16"/>
        <v>0</v>
      </c>
      <c r="K36" s="487">
        <f t="shared" si="16"/>
        <v>0</v>
      </c>
      <c r="L36" s="487">
        <f t="shared" si="16"/>
        <v>0</v>
      </c>
      <c r="M36" s="487">
        <f t="shared" si="16"/>
        <v>0</v>
      </c>
      <c r="N36" s="487">
        <f t="shared" si="16"/>
        <v>0</v>
      </c>
      <c r="O36" s="487">
        <f t="shared" si="16"/>
        <v>0</v>
      </c>
      <c r="P36" s="487">
        <f t="shared" si="16"/>
        <v>0</v>
      </c>
      <c r="Q36" s="487">
        <f t="shared" si="16"/>
        <v>0</v>
      </c>
      <c r="R36" s="487">
        <f t="shared" si="16"/>
        <v>0</v>
      </c>
      <c r="S36" s="487">
        <f t="shared" si="16"/>
        <v>0</v>
      </c>
      <c r="T36" s="487">
        <f t="shared" si="16"/>
        <v>0</v>
      </c>
      <c r="U36" s="487">
        <f t="shared" si="16"/>
        <v>0</v>
      </c>
      <c r="V36" s="487">
        <f t="shared" si="16"/>
        <v>0</v>
      </c>
      <c r="W36" s="487">
        <f t="shared" si="16"/>
        <v>0</v>
      </c>
      <c r="X36" s="487">
        <f t="shared" si="16"/>
        <v>0</v>
      </c>
      <c r="Y36" s="487">
        <f t="shared" si="16"/>
        <v>0</v>
      </c>
      <c r="Z36" s="487">
        <f t="shared" si="16"/>
        <v>0</v>
      </c>
      <c r="AA36" s="487">
        <f t="shared" si="16"/>
        <v>0</v>
      </c>
      <c r="AB36" s="487">
        <f t="shared" si="16"/>
        <v>0</v>
      </c>
      <c r="AC36" s="487">
        <f t="shared" si="16"/>
        <v>0</v>
      </c>
      <c r="AD36" s="487">
        <f t="shared" si="16"/>
        <v>0</v>
      </c>
      <c r="AE36" s="487">
        <f t="shared" si="16"/>
        <v>0</v>
      </c>
      <c r="AF36" s="487">
        <f t="shared" si="16"/>
        <v>0</v>
      </c>
      <c r="AG36" s="487">
        <f t="shared" si="16"/>
        <v>0</v>
      </c>
    </row>
    <row r="37" spans="1:41" ht="13.5" thickTop="1" x14ac:dyDescent="0.2">
      <c r="A37" s="2"/>
      <c r="B37" s="17" t="s">
        <v>53</v>
      </c>
      <c r="C37" s="488">
        <f t="shared" si="13"/>
        <v>278726544.88592494</v>
      </c>
      <c r="D37" s="488">
        <f t="shared" ref="D37:AG37" si="17">SUM(D34,D36)</f>
        <v>4599498.7706820806</v>
      </c>
      <c r="E37" s="488">
        <f t="shared" si="17"/>
        <v>4807184.9321360383</v>
      </c>
      <c r="F37" s="488">
        <f t="shared" si="17"/>
        <v>4980632.069737142</v>
      </c>
      <c r="G37" s="488">
        <f t="shared" si="17"/>
        <v>25471569.654879533</v>
      </c>
      <c r="H37" s="488">
        <f t="shared" si="17"/>
        <v>22164491.417612523</v>
      </c>
      <c r="I37" s="488">
        <f t="shared" si="17"/>
        <v>32459440.65093432</v>
      </c>
      <c r="J37" s="488">
        <f t="shared" si="17"/>
        <v>8756461.5924580246</v>
      </c>
      <c r="K37" s="488">
        <f t="shared" si="17"/>
        <v>5455599.4450222906</v>
      </c>
      <c r="L37" s="488">
        <f t="shared" si="17"/>
        <v>5556900.3977516824</v>
      </c>
      <c r="M37" s="488">
        <f t="shared" si="17"/>
        <v>5660411.6475765696</v>
      </c>
      <c r="N37" s="488">
        <f t="shared" si="17"/>
        <v>5766181.4212225527</v>
      </c>
      <c r="O37" s="488">
        <f t="shared" si="17"/>
        <v>5874258.9976796843</v>
      </c>
      <c r="P37" s="488">
        <f t="shared" si="17"/>
        <v>5984694.7311619492</v>
      </c>
      <c r="Q37" s="488">
        <f t="shared" si="17"/>
        <v>6097540.0745676942</v>
      </c>
      <c r="R37" s="488">
        <f t="shared" si="17"/>
        <v>6212847.6034519514</v>
      </c>
      <c r="S37" s="488">
        <f t="shared" si="17"/>
        <v>6330671.0405218154</v>
      </c>
      <c r="T37" s="488">
        <f t="shared" si="17"/>
        <v>6451065.2806662824</v>
      </c>
      <c r="U37" s="488">
        <f t="shared" si="17"/>
        <v>6574086.4165322194</v>
      </c>
      <c r="V37" s="488">
        <f t="shared" si="17"/>
        <v>7239791.764658384</v>
      </c>
      <c r="W37" s="488">
        <f t="shared" si="17"/>
        <v>7278239.8921796624</v>
      </c>
      <c r="X37" s="488">
        <f t="shared" si="17"/>
        <v>7679490.6441139653</v>
      </c>
      <c r="Y37" s="488">
        <f t="shared" si="17"/>
        <v>7183605.1712445095</v>
      </c>
      <c r="Z37" s="488">
        <f t="shared" si="17"/>
        <v>7230645.9586104546</v>
      </c>
      <c r="AA37" s="488">
        <f t="shared" si="17"/>
        <v>12830676.854619194</v>
      </c>
      <c r="AB37" s="488">
        <f t="shared" si="17"/>
        <v>12063763.100793835</v>
      </c>
      <c r="AC37" s="488">
        <f t="shared" si="17"/>
        <v>14939971.362169756</v>
      </c>
      <c r="AD37" s="488">
        <f t="shared" si="17"/>
        <v>8719369.758354377</v>
      </c>
      <c r="AE37" s="488">
        <f t="shared" si="17"/>
        <v>7962027.8952646414</v>
      </c>
      <c r="AF37" s="488">
        <f t="shared" si="17"/>
        <v>8118016.8975569708</v>
      </c>
      <c r="AG37" s="488">
        <f t="shared" si="17"/>
        <v>8277409.4417648138</v>
      </c>
    </row>
    <row r="41" spans="1:41" x14ac:dyDescent="0.2">
      <c r="G41" s="438"/>
    </row>
    <row r="42" spans="1:41" s="446" customFormat="1" x14ac:dyDescent="0.2">
      <c r="A42" s="413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</row>
    <row r="51" spans="1:41" x14ac:dyDescent="0.2">
      <c r="AM51" s="446"/>
      <c r="AN51" s="446"/>
      <c r="AO51" s="446"/>
    </row>
    <row r="59" spans="1:41" s="446" customFormat="1" x14ac:dyDescent="0.2">
      <c r="A59" s="413"/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</row>
    <row r="69" spans="1:41" x14ac:dyDescent="0.2">
      <c r="AM69" s="446"/>
      <c r="AN69" s="446"/>
      <c r="AO69" s="446"/>
    </row>
    <row r="76" spans="1:41" x14ac:dyDescent="0.2">
      <c r="AM76" s="446"/>
      <c r="AN76" s="446"/>
      <c r="AO76" s="446"/>
    </row>
    <row r="77" spans="1:41" s="446" customFormat="1" x14ac:dyDescent="0.2">
      <c r="A77" s="413"/>
      <c r="B77" s="413"/>
      <c r="C77" s="413"/>
      <c r="D77" s="413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413"/>
      <c r="AA77" s="413"/>
      <c r="AB77" s="413"/>
      <c r="AC77" s="413"/>
      <c r="AD77" s="413"/>
      <c r="AE77" s="413"/>
      <c r="AF77" s="413"/>
      <c r="AG77" s="413"/>
      <c r="AH77" s="413"/>
      <c r="AI77" s="413"/>
      <c r="AJ77" s="413"/>
      <c r="AK77" s="413"/>
      <c r="AL77" s="413"/>
      <c r="AM77" s="413"/>
      <c r="AN77" s="413"/>
      <c r="AO77" s="413"/>
    </row>
    <row r="84" spans="1:41" s="446" customFormat="1" x14ac:dyDescent="0.2">
      <c r="A84" s="413"/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  <c r="T84" s="413"/>
      <c r="U84" s="413"/>
      <c r="V84" s="413"/>
      <c r="W84" s="413"/>
      <c r="X84" s="413"/>
      <c r="Y84" s="413"/>
      <c r="Z84" s="413"/>
      <c r="AA84" s="413"/>
      <c r="AB84" s="413"/>
      <c r="AC84" s="413"/>
      <c r="AD84" s="413"/>
      <c r="AE84" s="413"/>
      <c r="AF84" s="413"/>
      <c r="AG84" s="413"/>
      <c r="AH84" s="413"/>
      <c r="AI84" s="413"/>
      <c r="AJ84" s="413"/>
      <c r="AK84" s="413"/>
      <c r="AL84" s="413"/>
      <c r="AM84" s="413"/>
      <c r="AN84" s="413"/>
      <c r="AO84" s="413"/>
    </row>
    <row r="92" spans="1:41" x14ac:dyDescent="0.2">
      <c r="AM92" s="446"/>
      <c r="AN92" s="446"/>
      <c r="AO92" s="446"/>
    </row>
    <row r="100" spans="1:41" s="446" customFormat="1" x14ac:dyDescent="0.2">
      <c r="A100" s="413"/>
      <c r="B100" s="413"/>
      <c r="C100" s="413"/>
      <c r="D100" s="413"/>
      <c r="E100" s="413"/>
      <c r="F100" s="413"/>
      <c r="G100" s="413"/>
      <c r="H100" s="413"/>
      <c r="I100" s="413"/>
      <c r="J100" s="413"/>
      <c r="K100" s="413"/>
      <c r="L100" s="413"/>
      <c r="M100" s="413"/>
      <c r="N100" s="413"/>
      <c r="O100" s="413"/>
      <c r="P100" s="413"/>
      <c r="Q100" s="413"/>
      <c r="R100" s="413"/>
      <c r="S100" s="413"/>
      <c r="T100" s="413"/>
      <c r="U100" s="413"/>
      <c r="V100" s="413"/>
      <c r="W100" s="413"/>
      <c r="X100" s="413"/>
      <c r="Y100" s="413"/>
      <c r="Z100" s="413"/>
      <c r="AA100" s="413"/>
      <c r="AB100" s="413"/>
      <c r="AC100" s="413"/>
      <c r="AD100" s="413"/>
      <c r="AE100" s="413"/>
      <c r="AF100" s="413"/>
      <c r="AG100" s="413"/>
      <c r="AH100" s="413"/>
      <c r="AI100" s="413"/>
      <c r="AJ100" s="413"/>
      <c r="AK100" s="413"/>
      <c r="AL100" s="413"/>
      <c r="AM100" s="413"/>
      <c r="AN100" s="413"/>
      <c r="AO100" s="413"/>
    </row>
  </sheetData>
  <sheetProtection algorithmName="SHA-512" hashValue="0rAJhfOhHPs1zMc79xFh6jQcdeMX+FfL5qJj9Fwd+OWj72h4W6FTvFqh4d/PxLLeS7zqU2ImPI5FYQv6/wp7iQ==" saltValue="wIhMrtNf6RI5+ckj2iuA8Q==" spinCount="100000" sheet="1" formatCells="0" formatColumns="0" formatRows="0" insertColumns="0" insertRows="0" insertHyperlinks="0" deleteColumns="0" deleteRows="0" sort="0" autoFilter="0" pivotTables="0"/>
  <mergeCells count="7">
    <mergeCell ref="B12:AK12"/>
    <mergeCell ref="B13:B15"/>
    <mergeCell ref="C13:C14"/>
    <mergeCell ref="D13:D15"/>
    <mergeCell ref="E13:E15"/>
    <mergeCell ref="F13:F15"/>
    <mergeCell ref="C15:C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0251-CA50-4AD9-8F11-57237456BC93}">
  <dimension ref="A1:AQ100"/>
  <sheetViews>
    <sheetView topLeftCell="A21" zoomScale="99" zoomScaleNormal="99" workbookViewId="0">
      <selection activeCell="D33" sqref="D33:AG33"/>
    </sheetView>
  </sheetViews>
  <sheetFormatPr defaultColWidth="8.7109375" defaultRowHeight="12.75" x14ac:dyDescent="0.2"/>
  <cols>
    <col min="1" max="1" width="1.5703125" style="413" customWidth="1"/>
    <col min="2" max="2" width="37.28515625" style="413" customWidth="1"/>
    <col min="3" max="3" width="15.5703125" style="413" customWidth="1"/>
    <col min="4" max="4" width="10.5703125" style="413" bestFit="1" customWidth="1"/>
    <col min="5" max="5" width="13.7109375" style="413" bestFit="1" customWidth="1"/>
    <col min="6" max="6" width="13.7109375" style="413" customWidth="1"/>
    <col min="7" max="8" width="14.28515625" style="413" customWidth="1"/>
    <col min="9" max="9" width="17.28515625" style="413" customWidth="1"/>
    <col min="10" max="14" width="12.28515625" style="413" customWidth="1"/>
    <col min="15" max="15" width="13.5703125" style="413" customWidth="1"/>
    <col min="16" max="39" width="12.28515625" style="413" customWidth="1"/>
    <col min="40" max="16384" width="8.7109375" style="413"/>
  </cols>
  <sheetData>
    <row r="1" spans="1:39" ht="13.5" thickBot="1" x14ac:dyDescent="0.25"/>
    <row r="2" spans="1:39" x14ac:dyDescent="0.2">
      <c r="B2" s="414" t="s">
        <v>489</v>
      </c>
      <c r="C2" s="415" t="s">
        <v>490</v>
      </c>
      <c r="D2" s="415" t="s">
        <v>491</v>
      </c>
      <c r="E2" s="415" t="s">
        <v>492</v>
      </c>
      <c r="F2" s="415"/>
      <c r="G2" s="415" t="s">
        <v>493</v>
      </c>
      <c r="H2" s="415" t="s">
        <v>495</v>
      </c>
      <c r="I2"/>
      <c r="J2"/>
      <c r="K2"/>
    </row>
    <row r="3" spans="1:39" x14ac:dyDescent="0.2">
      <c r="B3" s="416" t="s">
        <v>496</v>
      </c>
      <c r="C3" s="417" t="s">
        <v>497</v>
      </c>
      <c r="D3" s="418">
        <v>2</v>
      </c>
      <c r="E3" s="418">
        <v>363</v>
      </c>
      <c r="F3" s="418">
        <v>802</v>
      </c>
      <c r="G3" s="418">
        <v>582252</v>
      </c>
      <c r="H3" s="420"/>
      <c r="I3"/>
      <c r="J3"/>
      <c r="K3"/>
    </row>
    <row r="4" spans="1:39" x14ac:dyDescent="0.2">
      <c r="B4" s="416" t="s">
        <v>496</v>
      </c>
      <c r="C4" s="417" t="s">
        <v>497</v>
      </c>
      <c r="D4" s="418">
        <v>2</v>
      </c>
      <c r="E4" s="418">
        <v>363</v>
      </c>
      <c r="F4" s="418">
        <v>802</v>
      </c>
      <c r="G4" s="418">
        <v>582252</v>
      </c>
      <c r="H4" s="420"/>
      <c r="I4"/>
      <c r="J4"/>
      <c r="K4"/>
    </row>
    <row r="5" spans="1:39" x14ac:dyDescent="0.2">
      <c r="B5" s="416" t="s">
        <v>499</v>
      </c>
      <c r="C5" s="417" t="s">
        <v>497</v>
      </c>
      <c r="D5" s="418">
        <v>2</v>
      </c>
      <c r="E5" s="418">
        <v>307</v>
      </c>
      <c r="F5" s="418">
        <v>839.947</v>
      </c>
      <c r="G5" s="418">
        <v>515727.45799999998</v>
      </c>
      <c r="H5" s="420"/>
      <c r="I5"/>
      <c r="J5"/>
      <c r="K5"/>
    </row>
    <row r="6" spans="1:39" x14ac:dyDescent="0.2">
      <c r="B6" s="416" t="s">
        <v>521</v>
      </c>
      <c r="C6" s="417" t="s">
        <v>497</v>
      </c>
      <c r="D6" s="418">
        <v>12</v>
      </c>
      <c r="E6" s="418">
        <v>363</v>
      </c>
      <c r="F6" s="418">
        <v>605.20000000000005</v>
      </c>
      <c r="G6" s="418">
        <v>2636251.2000000002</v>
      </c>
      <c r="H6" s="421"/>
      <c r="I6"/>
      <c r="J6"/>
      <c r="K6"/>
    </row>
    <row r="7" spans="1:39" ht="13.5" thickBot="1" x14ac:dyDescent="0.25">
      <c r="B7" s="489" t="s">
        <v>502</v>
      </c>
      <c r="C7" s="490"/>
      <c r="D7" s="491">
        <v>18</v>
      </c>
      <c r="E7" s="492">
        <v>1396</v>
      </c>
      <c r="F7" s="492">
        <v>3049.1469999999999</v>
      </c>
      <c r="G7" s="493">
        <v>4316482.6579999998</v>
      </c>
      <c r="H7" s="494"/>
      <c r="I7"/>
      <c r="J7"/>
      <c r="K7"/>
    </row>
    <row r="8" spans="1:39" ht="13.5" thickBot="1" x14ac:dyDescent="0.25">
      <c r="B8" s="495" t="s">
        <v>503</v>
      </c>
      <c r="C8" s="496"/>
      <c r="D8" s="497"/>
      <c r="E8" s="498">
        <v>349</v>
      </c>
      <c r="F8" s="499"/>
      <c r="G8" s="500">
        <v>656.99888249619482</v>
      </c>
      <c r="H8" s="501"/>
      <c r="I8"/>
      <c r="J8"/>
      <c r="K8"/>
      <c r="L8" s="431"/>
    </row>
    <row r="9" spans="1:39" x14ac:dyDescent="0.2">
      <c r="B9"/>
      <c r="C9"/>
      <c r="D9"/>
      <c r="E9"/>
      <c r="F9"/>
      <c r="G9"/>
      <c r="H9"/>
      <c r="I9"/>
      <c r="J9" s="438"/>
      <c r="K9" s="438"/>
      <c r="L9" s="438"/>
      <c r="O9" s="431"/>
    </row>
    <row r="10" spans="1:39" x14ac:dyDescent="0.2">
      <c r="J10" s="438"/>
      <c r="K10" s="438"/>
      <c r="L10" s="438"/>
      <c r="M10" s="431"/>
      <c r="N10" s="439"/>
    </row>
    <row r="11" spans="1:39" ht="13.5" thickBot="1" x14ac:dyDescent="0.25">
      <c r="B11" s="576"/>
      <c r="C11" s="577"/>
      <c r="D11" s="576"/>
      <c r="E11" s="576"/>
      <c r="F11" s="576"/>
      <c r="G11" s="576"/>
      <c r="H11" s="576"/>
      <c r="I11" s="577"/>
      <c r="J11" s="577"/>
      <c r="K11" s="577"/>
      <c r="L11" s="577"/>
      <c r="M11" s="577"/>
      <c r="N11" s="577"/>
      <c r="O11" s="577"/>
      <c r="P11" s="577"/>
      <c r="Q11" s="577"/>
      <c r="R11" s="577"/>
      <c r="S11" s="577"/>
      <c r="T11" s="577"/>
      <c r="U11" s="577"/>
      <c r="V11" s="577"/>
      <c r="W11" s="577"/>
      <c r="X11" s="577"/>
      <c r="Y11" s="577"/>
      <c r="Z11" s="577"/>
      <c r="AA11" s="577"/>
      <c r="AB11" s="577"/>
      <c r="AC11" s="577"/>
      <c r="AD11" s="577"/>
      <c r="AE11" s="577"/>
      <c r="AF11" s="577"/>
      <c r="AG11" s="577"/>
      <c r="AH11" s="577"/>
      <c r="AI11" s="577"/>
      <c r="AJ11" s="577"/>
      <c r="AK11" s="577"/>
      <c r="AL11" s="577"/>
      <c r="AM11" s="577"/>
    </row>
    <row r="12" spans="1:39" ht="13.15" customHeight="1" x14ac:dyDescent="0.2">
      <c r="B12" s="578" t="s">
        <v>504</v>
      </c>
      <c r="C12" s="580" t="s">
        <v>522</v>
      </c>
      <c r="D12" s="582" t="s">
        <v>506</v>
      </c>
      <c r="E12" s="582" t="s">
        <v>507</v>
      </c>
      <c r="F12" s="582" t="s">
        <v>507</v>
      </c>
      <c r="G12" s="582" t="s">
        <v>523</v>
      </c>
      <c r="H12" s="582" t="s">
        <v>524</v>
      </c>
      <c r="I12" s="440" t="s">
        <v>509</v>
      </c>
      <c r="J12" s="440">
        <v>2023</v>
      </c>
      <c r="K12" s="441">
        <f>J12+1</f>
        <v>2024</v>
      </c>
      <c r="L12" s="441">
        <f>K12+1</f>
        <v>2025</v>
      </c>
      <c r="M12" s="441">
        <f t="shared" ref="M12:AK12" si="0">L12+1</f>
        <v>2026</v>
      </c>
      <c r="N12" s="441">
        <f t="shared" si="0"/>
        <v>2027</v>
      </c>
      <c r="O12" s="441">
        <f t="shared" si="0"/>
        <v>2028</v>
      </c>
      <c r="P12" s="441">
        <f t="shared" si="0"/>
        <v>2029</v>
      </c>
      <c r="Q12" s="441">
        <f t="shared" si="0"/>
        <v>2030</v>
      </c>
      <c r="R12" s="441">
        <f t="shared" si="0"/>
        <v>2031</v>
      </c>
      <c r="S12" s="441">
        <f t="shared" si="0"/>
        <v>2032</v>
      </c>
      <c r="T12" s="441">
        <f t="shared" si="0"/>
        <v>2033</v>
      </c>
      <c r="U12" s="441">
        <f t="shared" si="0"/>
        <v>2034</v>
      </c>
      <c r="V12" s="441">
        <f t="shared" si="0"/>
        <v>2035</v>
      </c>
      <c r="W12" s="441">
        <f t="shared" si="0"/>
        <v>2036</v>
      </c>
      <c r="X12" s="441">
        <f t="shared" si="0"/>
        <v>2037</v>
      </c>
      <c r="Y12" s="441">
        <f t="shared" si="0"/>
        <v>2038</v>
      </c>
      <c r="Z12" s="441">
        <f t="shared" si="0"/>
        <v>2039</v>
      </c>
      <c r="AA12" s="441">
        <f t="shared" si="0"/>
        <v>2040</v>
      </c>
      <c r="AB12" s="441">
        <f t="shared" si="0"/>
        <v>2041</v>
      </c>
      <c r="AC12" s="441">
        <f t="shared" si="0"/>
        <v>2042</v>
      </c>
      <c r="AD12" s="441">
        <f t="shared" si="0"/>
        <v>2043</v>
      </c>
      <c r="AE12" s="441">
        <f t="shared" si="0"/>
        <v>2044</v>
      </c>
      <c r="AF12" s="441">
        <f t="shared" si="0"/>
        <v>2045</v>
      </c>
      <c r="AG12" s="441">
        <f t="shared" si="0"/>
        <v>2046</v>
      </c>
      <c r="AH12" s="441">
        <f t="shared" si="0"/>
        <v>2047</v>
      </c>
      <c r="AI12" s="441">
        <f t="shared" si="0"/>
        <v>2048</v>
      </c>
      <c r="AJ12" s="441">
        <f t="shared" si="0"/>
        <v>2049</v>
      </c>
      <c r="AK12" s="441">
        <f t="shared" si="0"/>
        <v>2050</v>
      </c>
      <c r="AL12" s="441">
        <f>AK12+1</f>
        <v>2051</v>
      </c>
      <c r="AM12" s="441">
        <f>AL12+1</f>
        <v>2052</v>
      </c>
    </row>
    <row r="13" spans="1:39" ht="13.15" customHeight="1" x14ac:dyDescent="0.2">
      <c r="B13" s="579"/>
      <c r="C13" s="584"/>
      <c r="D13" s="583"/>
      <c r="E13" s="583"/>
      <c r="F13" s="583"/>
      <c r="G13" s="583"/>
      <c r="H13" s="583"/>
      <c r="I13" s="502" t="s">
        <v>525</v>
      </c>
      <c r="J13" s="503">
        <v>20</v>
      </c>
      <c r="K13" s="504">
        <v>20</v>
      </c>
      <c r="L13" s="504">
        <v>20</v>
      </c>
      <c r="M13" s="504">
        <v>8</v>
      </c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5"/>
      <c r="AL13" s="505"/>
      <c r="AM13" s="505"/>
    </row>
    <row r="14" spans="1:39" ht="12.4" customHeight="1" thickBot="1" x14ac:dyDescent="0.25">
      <c r="B14" s="579"/>
      <c r="C14" s="581"/>
      <c r="D14" s="583"/>
      <c r="E14" s="583"/>
      <c r="F14" s="583"/>
      <c r="G14" s="583"/>
      <c r="H14" s="583"/>
      <c r="I14" s="442" t="s">
        <v>526</v>
      </c>
      <c r="J14" s="443"/>
      <c r="K14" s="443"/>
      <c r="L14" s="443"/>
      <c r="M14" s="443">
        <v>12</v>
      </c>
      <c r="N14" s="443">
        <v>18</v>
      </c>
      <c r="O14" s="443">
        <v>18</v>
      </c>
      <c r="P14" s="443">
        <v>18</v>
      </c>
      <c r="Q14" s="443">
        <v>18</v>
      </c>
      <c r="R14" s="443">
        <v>18</v>
      </c>
      <c r="S14" s="443">
        <v>18</v>
      </c>
      <c r="T14" s="443">
        <v>18</v>
      </c>
      <c r="U14" s="443">
        <v>18</v>
      </c>
      <c r="V14" s="443">
        <v>18</v>
      </c>
      <c r="W14" s="443">
        <v>18</v>
      </c>
      <c r="X14" s="443">
        <v>18</v>
      </c>
      <c r="Y14" s="443">
        <v>18</v>
      </c>
      <c r="Z14" s="443">
        <v>18</v>
      </c>
      <c r="AA14" s="443">
        <v>18</v>
      </c>
      <c r="AB14" s="443">
        <v>18</v>
      </c>
      <c r="AC14" s="443">
        <v>18</v>
      </c>
      <c r="AD14" s="443">
        <v>18</v>
      </c>
      <c r="AE14" s="443">
        <v>18</v>
      </c>
      <c r="AF14" s="443">
        <v>18</v>
      </c>
      <c r="AG14" s="443">
        <v>18</v>
      </c>
      <c r="AH14" s="443">
        <v>18</v>
      </c>
      <c r="AI14" s="443">
        <v>18</v>
      </c>
      <c r="AJ14" s="443">
        <v>18</v>
      </c>
      <c r="AK14" s="443">
        <v>18</v>
      </c>
      <c r="AL14" s="443">
        <v>18</v>
      </c>
      <c r="AM14" s="443">
        <v>18</v>
      </c>
    </row>
    <row r="15" spans="1:39" s="446" customFormat="1" ht="13.15" customHeight="1" x14ac:dyDescent="0.2">
      <c r="A15" s="413"/>
      <c r="B15" s="579"/>
      <c r="C15" s="580" t="s">
        <v>527</v>
      </c>
      <c r="D15" s="583"/>
      <c r="E15" s="583"/>
      <c r="F15" s="583"/>
      <c r="G15" s="583"/>
      <c r="H15" s="583"/>
      <c r="I15" s="444" t="s">
        <v>512</v>
      </c>
      <c r="J15" s="445">
        <v>1.0972776411419201</v>
      </c>
      <c r="K15" s="445">
        <v>1.0548467771538801</v>
      </c>
      <c r="L15" s="445">
        <v>1.0434231485458401</v>
      </c>
      <c r="M15" s="445">
        <v>1.0218191145881901</v>
      </c>
      <c r="N15" s="445">
        <v>1.0218191145881901</v>
      </c>
      <c r="O15" s="445">
        <v>1.0218191145881901</v>
      </c>
      <c r="P15" s="445">
        <v>1.0218191145881901</v>
      </c>
      <c r="Q15" s="445">
        <v>1.0218191145881901</v>
      </c>
      <c r="R15" s="445">
        <v>1.0218191145881901</v>
      </c>
      <c r="S15" s="445">
        <v>1.0218191145881901</v>
      </c>
      <c r="T15" s="445">
        <v>1.0218191145881901</v>
      </c>
      <c r="U15" s="445">
        <v>1.0218191145881901</v>
      </c>
      <c r="V15" s="445">
        <v>1.0218191145881901</v>
      </c>
      <c r="W15" s="445">
        <v>1.0218191145881901</v>
      </c>
      <c r="X15" s="445">
        <v>1.0218191145881901</v>
      </c>
      <c r="Y15" s="445">
        <v>1.0218191145881901</v>
      </c>
      <c r="Z15" s="445">
        <v>1.0218191145881901</v>
      </c>
      <c r="AA15" s="445">
        <v>1.0218191145881901</v>
      </c>
      <c r="AB15" s="445">
        <v>1.0218191145881901</v>
      </c>
      <c r="AC15" s="445">
        <v>1.0218191145881901</v>
      </c>
      <c r="AD15" s="445">
        <v>1.0218191145881901</v>
      </c>
      <c r="AE15" s="445">
        <v>1.0218191145881901</v>
      </c>
      <c r="AF15" s="445">
        <v>1.0218191145881901</v>
      </c>
      <c r="AG15" s="445">
        <v>1.0218191145881901</v>
      </c>
      <c r="AH15" s="445">
        <v>1.0218191145881901</v>
      </c>
      <c r="AI15" s="445">
        <v>1.0218191145881901</v>
      </c>
      <c r="AJ15" s="445">
        <v>1.0218191145881901</v>
      </c>
      <c r="AK15" s="445">
        <v>1.0218191145881901</v>
      </c>
      <c r="AL15" s="445">
        <v>1.0218191145881901</v>
      </c>
      <c r="AM15" s="445">
        <v>1.0218191145881901</v>
      </c>
    </row>
    <row r="16" spans="1:39" s="446" customFormat="1" ht="16.5" thickBot="1" x14ac:dyDescent="0.25">
      <c r="A16" s="413"/>
      <c r="B16" s="447"/>
      <c r="C16" s="581"/>
      <c r="D16" s="448"/>
      <c r="E16" s="448" t="s">
        <v>528</v>
      </c>
      <c r="F16" s="448" t="s">
        <v>529</v>
      </c>
      <c r="G16" s="448"/>
      <c r="H16" s="448"/>
      <c r="I16" s="449" t="s">
        <v>513</v>
      </c>
      <c r="J16" s="450">
        <f>1*J15</f>
        <v>1.0972776411419201</v>
      </c>
      <c r="K16" s="451">
        <f>J16*K15</f>
        <v>1.1574597834015661</v>
      </c>
      <c r="L16" s="451">
        <f t="shared" ref="L16" si="1">K16*L15</f>
        <v>1.2077203315120482</v>
      </c>
      <c r="M16" s="451">
        <f>L16*M15</f>
        <v>1.2340717198157964</v>
      </c>
      <c r="N16" s="451">
        <f>M16*N15</f>
        <v>1.2609980720805021</v>
      </c>
      <c r="O16" s="451">
        <f>N16*O15</f>
        <v>1.2885119335107134</v>
      </c>
      <c r="P16" s="451">
        <f t="shared" ref="P16:AM16" si="2">O16*P15</f>
        <v>1.3166261230362339</v>
      </c>
      <c r="Q16" s="451">
        <f t="shared" si="2"/>
        <v>1.345353739284566</v>
      </c>
      <c r="R16" s="451">
        <f t="shared" si="2"/>
        <v>1.374708166683666</v>
      </c>
      <c r="S16" s="451">
        <f t="shared" si="2"/>
        <v>1.4047030816978576</v>
      </c>
      <c r="T16" s="451">
        <f t="shared" si="2"/>
        <v>1.4353524591998068</v>
      </c>
      <c r="U16" s="451">
        <f t="shared" si="2"/>
        <v>1.4666705789815278</v>
      </c>
      <c r="V16" s="451">
        <f t="shared" si="2"/>
        <v>1.4986720324074527</v>
      </c>
      <c r="W16" s="451">
        <f t="shared" si="2"/>
        <v>1.5313717292126667</v>
      </c>
      <c r="X16" s="451">
        <f t="shared" si="2"/>
        <v>1.5647849044494726</v>
      </c>
      <c r="Y16" s="451">
        <f t="shared" si="2"/>
        <v>1.5989271255855257</v>
      </c>
      <c r="Z16" s="451">
        <f t="shared" si="2"/>
        <v>1.6338142997568417</v>
      </c>
      <c r="AA16" s="451">
        <f t="shared" si="2"/>
        <v>1.6694626811790598</v>
      </c>
      <c r="AB16" s="451">
        <f t="shared" si="2"/>
        <v>1.7058888787204127</v>
      </c>
      <c r="AC16" s="451">
        <f t="shared" si="2"/>
        <v>1.7431098636399325</v>
      </c>
      <c r="AD16" s="451">
        <f t="shared" si="2"/>
        <v>1.7811429774944965</v>
      </c>
      <c r="AE16" s="451">
        <f t="shared" si="2"/>
        <v>1.820005940218399</v>
      </c>
      <c r="AF16" s="451">
        <f t="shared" si="2"/>
        <v>1.859716858379211</v>
      </c>
      <c r="AG16" s="451">
        <f t="shared" si="2"/>
        <v>1.9002942336137758</v>
      </c>
      <c r="AH16" s="451">
        <f t="shared" si="2"/>
        <v>1.9417569712482716</v>
      </c>
      <c r="AI16" s="451">
        <f t="shared" si="2"/>
        <v>1.9841243891063545</v>
      </c>
      <c r="AJ16" s="451">
        <f t="shared" si="2"/>
        <v>2.0274162265094886</v>
      </c>
      <c r="AK16" s="451">
        <f t="shared" si="2"/>
        <v>2.071652653473655</v>
      </c>
      <c r="AL16" s="451">
        <f t="shared" si="2"/>
        <v>2.1168542801067249</v>
      </c>
      <c r="AM16" s="451">
        <f t="shared" si="2"/>
        <v>2.1630421662108743</v>
      </c>
    </row>
    <row r="17" spans="1:43" x14ac:dyDescent="0.2">
      <c r="B17" s="452" t="s">
        <v>514</v>
      </c>
      <c r="C17" s="453" t="s">
        <v>515</v>
      </c>
      <c r="D17" s="454">
        <v>0.16132344874148152</v>
      </c>
      <c r="E17" s="455">
        <v>172198.71885534245</v>
      </c>
      <c r="F17" s="506"/>
      <c r="G17" s="507">
        <f>D17*E17</f>
        <v>27779.691194608626</v>
      </c>
      <c r="H17" s="508"/>
      <c r="I17" s="457"/>
      <c r="J17" s="458">
        <f>($G$17*J16)*J13</f>
        <v>609640.68051342247</v>
      </c>
      <c r="K17" s="458">
        <f>($G$17*K16)*K13</f>
        <v>643077.50706148183</v>
      </c>
      <c r="L17" s="458">
        <f>($G$17*L16)*L13</f>
        <v>671001.95717710117</v>
      </c>
      <c r="M17" s="458">
        <f>($G$17*M16)*M13</f>
        <v>274257.0503078592</v>
      </c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  <c r="AF17" s="465"/>
      <c r="AG17" s="465"/>
      <c r="AH17" s="465"/>
      <c r="AI17" s="465"/>
      <c r="AJ17" s="465"/>
      <c r="AK17" s="465"/>
      <c r="AL17" s="465"/>
      <c r="AM17" s="465"/>
      <c r="AN17" s="446"/>
      <c r="AO17" s="446"/>
      <c r="AP17" s="446"/>
      <c r="AQ17" s="446"/>
    </row>
    <row r="18" spans="1:43" x14ac:dyDescent="0.2">
      <c r="B18" s="459" t="s">
        <v>516</v>
      </c>
      <c r="C18" s="460" t="s">
        <v>515</v>
      </c>
      <c r="D18" s="509">
        <v>0.52600000000000002</v>
      </c>
      <c r="E18" s="462"/>
      <c r="F18" s="510">
        <f>$E$8*$G$8</f>
        <v>229292.60999117198</v>
      </c>
      <c r="G18" s="462"/>
      <c r="H18" s="467">
        <f>D18*F18</f>
        <v>120607.91285535647</v>
      </c>
      <c r="I18" s="464"/>
      <c r="J18" s="465"/>
      <c r="K18" s="465"/>
      <c r="L18" s="465"/>
      <c r="M18" s="458">
        <f>$H$18*M14</f>
        <v>1447294.9542642776</v>
      </c>
      <c r="N18" s="458">
        <f t="shared" ref="N18:AM18" si="3">$H$18*N14</f>
        <v>2170942.4313964164</v>
      </c>
      <c r="O18" s="458">
        <f t="shared" si="3"/>
        <v>2170942.4313964164</v>
      </c>
      <c r="P18" s="458">
        <f t="shared" si="3"/>
        <v>2170942.4313964164</v>
      </c>
      <c r="Q18" s="458">
        <f t="shared" si="3"/>
        <v>2170942.4313964164</v>
      </c>
      <c r="R18" s="458">
        <f t="shared" si="3"/>
        <v>2170942.4313964164</v>
      </c>
      <c r="S18" s="458">
        <f t="shared" si="3"/>
        <v>2170942.4313964164</v>
      </c>
      <c r="T18" s="458">
        <f t="shared" si="3"/>
        <v>2170942.4313964164</v>
      </c>
      <c r="U18" s="458">
        <f t="shared" si="3"/>
        <v>2170942.4313964164</v>
      </c>
      <c r="V18" s="458">
        <f t="shared" si="3"/>
        <v>2170942.4313964164</v>
      </c>
      <c r="W18" s="458">
        <f t="shared" si="3"/>
        <v>2170942.4313964164</v>
      </c>
      <c r="X18" s="458">
        <f t="shared" si="3"/>
        <v>2170942.4313964164</v>
      </c>
      <c r="Y18" s="458">
        <f t="shared" si="3"/>
        <v>2170942.4313964164</v>
      </c>
      <c r="Z18" s="458">
        <f t="shared" si="3"/>
        <v>2170942.4313964164</v>
      </c>
      <c r="AA18" s="458">
        <f t="shared" si="3"/>
        <v>2170942.4313964164</v>
      </c>
      <c r="AB18" s="458">
        <f t="shared" si="3"/>
        <v>2170942.4313964164</v>
      </c>
      <c r="AC18" s="458">
        <f t="shared" si="3"/>
        <v>2170942.4313964164</v>
      </c>
      <c r="AD18" s="458">
        <f t="shared" si="3"/>
        <v>2170942.4313964164</v>
      </c>
      <c r="AE18" s="458">
        <f t="shared" si="3"/>
        <v>2170942.4313964164</v>
      </c>
      <c r="AF18" s="458">
        <f t="shared" si="3"/>
        <v>2170942.4313964164</v>
      </c>
      <c r="AG18" s="458">
        <f t="shared" si="3"/>
        <v>2170942.4313964164</v>
      </c>
      <c r="AH18" s="458">
        <f t="shared" si="3"/>
        <v>2170942.4313964164</v>
      </c>
      <c r="AI18" s="458">
        <f t="shared" si="3"/>
        <v>2170942.4313964164</v>
      </c>
      <c r="AJ18" s="458">
        <f t="shared" si="3"/>
        <v>2170942.4313964164</v>
      </c>
      <c r="AK18" s="458">
        <f t="shared" si="3"/>
        <v>2170942.4313964164</v>
      </c>
      <c r="AL18" s="458">
        <f t="shared" si="3"/>
        <v>2170942.4313964164</v>
      </c>
      <c r="AM18" s="458">
        <f t="shared" si="3"/>
        <v>2170942.4313964164</v>
      </c>
      <c r="AN18" s="446"/>
      <c r="AO18" s="446"/>
      <c r="AP18" s="446"/>
      <c r="AQ18" s="446"/>
    </row>
    <row r="19" spans="1:43" x14ac:dyDescent="0.2">
      <c r="A19" s="446"/>
      <c r="B19" s="459" t="s">
        <v>517</v>
      </c>
      <c r="C19" s="460" t="s">
        <v>515</v>
      </c>
      <c r="D19" s="466">
        <v>0.10113886630280072</v>
      </c>
      <c r="E19" s="467">
        <v>172198.71885534245</v>
      </c>
      <c r="F19" s="510">
        <f>$E$8*$G$8</f>
        <v>229292.60999117198</v>
      </c>
      <c r="G19" s="510">
        <f>D19*E19</f>
        <v>17415.983203824049</v>
      </c>
      <c r="H19" s="511">
        <f t="shared" ref="H19:H25" si="4">D19*F19</f>
        <v>23190.394626117373</v>
      </c>
      <c r="I19" s="464"/>
      <c r="J19" s="458">
        <f>($G$19*J16)*J13</f>
        <v>382203.37936118705</v>
      </c>
      <c r="K19" s="458">
        <f t="shared" ref="K19:L19" si="5">($G$19*K16)*K13</f>
        <v>403166.00293646997</v>
      </c>
      <c r="L19" s="458">
        <f t="shared" si="5"/>
        <v>420672.74017061287</v>
      </c>
      <c r="M19" s="458">
        <f>(($G$19*M16)*M13)+(($H$19*M16)*M14)</f>
        <v>515363.90091052535</v>
      </c>
      <c r="N19" s="458">
        <f>($H$19*N16)*N14</f>
        <v>526374.77245776076</v>
      </c>
      <c r="O19" s="458">
        <f t="shared" ref="O19:AM19" si="6">($H$19*O16)*O14</f>
        <v>537859.80393434921</v>
      </c>
      <c r="P19" s="458">
        <f t="shared" si="6"/>
        <v>549595.42862877424</v>
      </c>
      <c r="Q19" s="458">
        <f t="shared" si="6"/>
        <v>561587.11426317086</v>
      </c>
      <c r="R19" s="458">
        <f t="shared" si="6"/>
        <v>573840.44786053</v>
      </c>
      <c r="S19" s="458">
        <f t="shared" si="6"/>
        <v>586361.13834773726</v>
      </c>
      <c r="T19" s="458">
        <f t="shared" si="6"/>
        <v>599155.01921540801</v>
      </c>
      <c r="U19" s="458">
        <f t="shared" si="6"/>
        <v>612228.05123575823</v>
      </c>
      <c r="V19" s="458">
        <f t="shared" si="6"/>
        <v>625586.32523977559</v>
      </c>
      <c r="W19" s="458">
        <f t="shared" si="6"/>
        <v>639236.06495498691</v>
      </c>
      <c r="X19" s="458">
        <f t="shared" si="6"/>
        <v>653183.62990514352</v>
      </c>
      <c r="Y19" s="458">
        <f t="shared" si="6"/>
        <v>667435.51837317378</v>
      </c>
      <c r="Z19" s="458">
        <f t="shared" si="6"/>
        <v>681998.37042878603</v>
      </c>
      <c r="AA19" s="458">
        <f t="shared" si="6"/>
        <v>696878.97102213069</v>
      </c>
      <c r="AB19" s="458">
        <f t="shared" si="6"/>
        <v>712084.25314496248</v>
      </c>
      <c r="AC19" s="458">
        <f t="shared" si="6"/>
        <v>727621.30106077809</v>
      </c>
      <c r="AD19" s="458">
        <f t="shared" si="6"/>
        <v>743497.35360543127</v>
      </c>
      <c r="AE19" s="458">
        <f t="shared" si="6"/>
        <v>759719.80755976425</v>
      </c>
      <c r="AF19" s="458">
        <f t="shared" si="6"/>
        <v>776296.22109582846</v>
      </c>
      <c r="AG19" s="458">
        <f t="shared" si="6"/>
        <v>793234.3172982973</v>
      </c>
      <c r="AH19" s="458">
        <f t="shared" si="6"/>
        <v>810541.98776271357</v>
      </c>
      <c r="AI19" s="458">
        <f t="shared" si="6"/>
        <v>828227.29627224745</v>
      </c>
      <c r="AJ19" s="458">
        <f t="shared" si="6"/>
        <v>846298.48255467857</v>
      </c>
      <c r="AK19" s="458">
        <f>($H$19*AK16)*AK14</f>
        <v>864763.96612135042</v>
      </c>
      <c r="AL19" s="458">
        <f t="shared" si="6"/>
        <v>883632.35018989001</v>
      </c>
      <c r="AM19" s="458">
        <f t="shared" si="6"/>
        <v>902912.42569251498</v>
      </c>
    </row>
    <row r="20" spans="1:43" x14ac:dyDescent="0.2">
      <c r="B20" s="459" t="s">
        <v>284</v>
      </c>
      <c r="C20" s="460" t="s">
        <v>515</v>
      </c>
      <c r="D20" s="469"/>
      <c r="E20" s="470"/>
      <c r="F20" s="512"/>
      <c r="G20" s="512"/>
      <c r="H20" s="470"/>
      <c r="I20" s="464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5"/>
      <c r="AK20" s="465"/>
      <c r="AL20" s="465"/>
      <c r="AM20" s="465"/>
    </row>
    <row r="21" spans="1:43" x14ac:dyDescent="0.2">
      <c r="B21" s="459" t="s">
        <v>287</v>
      </c>
      <c r="C21" s="460" t="s">
        <v>515</v>
      </c>
      <c r="D21" s="469"/>
      <c r="E21" s="470"/>
      <c r="F21" s="512"/>
      <c r="G21" s="512"/>
      <c r="H21" s="470"/>
      <c r="I21" s="464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  <c r="AL21" s="465"/>
      <c r="AM21" s="465"/>
    </row>
    <row r="22" spans="1:43" x14ac:dyDescent="0.2">
      <c r="B22" s="459" t="s">
        <v>518</v>
      </c>
      <c r="C22" s="460" t="s">
        <v>515</v>
      </c>
      <c r="D22" s="466">
        <v>5.8272533477451517E-2</v>
      </c>
      <c r="E22" s="467">
        <v>172198.71885534245</v>
      </c>
      <c r="F22" s="510">
        <f>$E$8*$G$8</f>
        <v>229292.60999117198</v>
      </c>
      <c r="G22" s="510">
        <f>D22*E22</f>
        <v>10034.455609272205</v>
      </c>
      <c r="H22" s="511">
        <f t="shared" si="4"/>
        <v>13361.461291842803</v>
      </c>
      <c r="I22" s="464"/>
      <c r="J22" s="458">
        <f>($G$22*J16)*J13</f>
        <v>220211.67562171028</v>
      </c>
      <c r="K22" s="458">
        <f t="shared" ref="K22" si="7">($G$22*K16)*K13</f>
        <v>232289.57632121674</v>
      </c>
      <c r="L22" s="458">
        <f>($G$22*L16)*L13</f>
        <v>242376.32109946315</v>
      </c>
      <c r="M22" s="458">
        <f>(($G$22*M16)*M13)+(($H$22*M16)*M14)</f>
        <v>296933.92131731822</v>
      </c>
      <c r="N22" s="458">
        <f>($H$22*N16)*N14</f>
        <v>303277.98472545657</v>
      </c>
      <c r="O22" s="458">
        <f t="shared" ref="O22:AM22" si="8">($H$22*O16)*O14</f>
        <v>309895.24182625662</v>
      </c>
      <c r="P22" s="458">
        <f t="shared" si="8"/>
        <v>316656.88161799859</v>
      </c>
      <c r="Q22" s="458">
        <f t="shared" si="8"/>
        <v>323566.0544031607</v>
      </c>
      <c r="R22" s="458">
        <f t="shared" si="8"/>
        <v>330625.97922103177</v>
      </c>
      <c r="S22" s="458">
        <f t="shared" si="8"/>
        <v>337839.94534748804</v>
      </c>
      <c r="T22" s="458">
        <f t="shared" si="8"/>
        <v>345211.3138274927</v>
      </c>
      <c r="U22" s="458">
        <f t="shared" si="8"/>
        <v>352743.51904103439</v>
      </c>
      <c r="V22" s="458">
        <f t="shared" si="8"/>
        <v>360440.07030323212</v>
      </c>
      <c r="W22" s="458">
        <f t="shared" si="8"/>
        <v>368304.55349935364</v>
      </c>
      <c r="X22" s="458">
        <f t="shared" si="8"/>
        <v>376340.63275550824</v>
      </c>
      <c r="Y22" s="458">
        <f t="shared" si="8"/>
        <v>384552.05214579258</v>
      </c>
      <c r="Z22" s="458">
        <f t="shared" si="8"/>
        <v>392942.63743668527</v>
      </c>
      <c r="AA22" s="458">
        <f t="shared" si="8"/>
        <v>401516.29786950198</v>
      </c>
      <c r="AB22" s="458">
        <f t="shared" si="8"/>
        <v>410277.02798174252</v>
      </c>
      <c r="AC22" s="458">
        <f t="shared" si="8"/>
        <v>419228.90946817817</v>
      </c>
      <c r="AD22" s="458">
        <f t="shared" si="8"/>
        <v>428376.11308254633</v>
      </c>
      <c r="AE22" s="458">
        <f t="shared" si="8"/>
        <v>437722.90058073786</v>
      </c>
      <c r="AF22" s="458">
        <f t="shared" si="8"/>
        <v>447273.62670638401</v>
      </c>
      <c r="AG22" s="458">
        <f t="shared" si="8"/>
        <v>457032.74121976591</v>
      </c>
      <c r="AH22" s="458">
        <f t="shared" si="8"/>
        <v>467004.79097099463</v>
      </c>
      <c r="AI22" s="458">
        <f t="shared" si="8"/>
        <v>477194.42201842443</v>
      </c>
      <c r="AJ22" s="458">
        <f t="shared" si="8"/>
        <v>487606.38179328956</v>
      </c>
      <c r="AK22" s="458">
        <f t="shared" si="8"/>
        <v>498245.52131157008</v>
      </c>
      <c r="AL22" s="458">
        <f t="shared" si="8"/>
        <v>509116.7974341198</v>
      </c>
      <c r="AM22" s="458">
        <f t="shared" si="8"/>
        <v>520225.27517610724</v>
      </c>
    </row>
    <row r="23" spans="1:43" x14ac:dyDescent="0.2">
      <c r="B23" s="459" t="s">
        <v>519</v>
      </c>
      <c r="C23" s="460" t="s">
        <v>515</v>
      </c>
      <c r="D23" s="471"/>
      <c r="E23" s="470"/>
      <c r="F23" s="512"/>
      <c r="G23" s="512"/>
      <c r="H23" s="470"/>
      <c r="I23" s="464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  <c r="AD23" s="465"/>
      <c r="AE23" s="465"/>
      <c r="AF23" s="465"/>
      <c r="AG23" s="465"/>
      <c r="AH23" s="465"/>
      <c r="AI23" s="465"/>
      <c r="AJ23" s="465"/>
      <c r="AK23" s="465"/>
      <c r="AL23" s="465"/>
      <c r="AM23" s="465"/>
    </row>
    <row r="24" spans="1:43" s="446" customFormat="1" x14ac:dyDescent="0.2">
      <c r="A24" s="413"/>
      <c r="B24" s="459" t="s">
        <v>330</v>
      </c>
      <c r="C24" s="460" t="s">
        <v>515</v>
      </c>
      <c r="D24" s="466">
        <v>0.23601731887373034</v>
      </c>
      <c r="E24" s="467">
        <v>172198.71885534245</v>
      </c>
      <c r="F24" s="510">
        <f>$E$8*$G$8</f>
        <v>229292.60999117198</v>
      </c>
      <c r="G24" s="510">
        <f>D24*E24</f>
        <v>40641.879937729202</v>
      </c>
      <c r="H24" s="511">
        <f t="shared" si="4"/>
        <v>54117.027047676325</v>
      </c>
      <c r="I24" s="464"/>
      <c r="J24" s="458">
        <f>$G$24*J13</f>
        <v>812837.59875458409</v>
      </c>
      <c r="K24" s="458">
        <f t="shared" ref="K24:L24" si="9">$G$24*K13</f>
        <v>812837.59875458409</v>
      </c>
      <c r="L24" s="458">
        <f t="shared" si="9"/>
        <v>812837.59875458409</v>
      </c>
      <c r="M24" s="458">
        <f>($G$24*M13)+($H$24*M14)</f>
        <v>974539.36407394952</v>
      </c>
      <c r="N24" s="458">
        <f>$H$24*N14</f>
        <v>974106.48685817386</v>
      </c>
      <c r="O24" s="458">
        <f t="shared" ref="O24:AM24" si="10">$H$24*O14</f>
        <v>974106.48685817386</v>
      </c>
      <c r="P24" s="458">
        <f t="shared" si="10"/>
        <v>974106.48685817386</v>
      </c>
      <c r="Q24" s="458">
        <f t="shared" si="10"/>
        <v>974106.48685817386</v>
      </c>
      <c r="R24" s="458">
        <f t="shared" si="10"/>
        <v>974106.48685817386</v>
      </c>
      <c r="S24" s="458">
        <f t="shared" si="10"/>
        <v>974106.48685817386</v>
      </c>
      <c r="T24" s="458">
        <f t="shared" si="10"/>
        <v>974106.48685817386</v>
      </c>
      <c r="U24" s="458">
        <f t="shared" si="10"/>
        <v>974106.48685817386</v>
      </c>
      <c r="V24" s="458">
        <f t="shared" si="10"/>
        <v>974106.48685817386</v>
      </c>
      <c r="W24" s="458">
        <f t="shared" si="10"/>
        <v>974106.48685817386</v>
      </c>
      <c r="X24" s="458">
        <f t="shared" si="10"/>
        <v>974106.48685817386</v>
      </c>
      <c r="Y24" s="458">
        <f t="shared" si="10"/>
        <v>974106.48685817386</v>
      </c>
      <c r="Z24" s="458">
        <f t="shared" si="10"/>
        <v>974106.48685817386</v>
      </c>
      <c r="AA24" s="458">
        <f t="shared" si="10"/>
        <v>974106.48685817386</v>
      </c>
      <c r="AB24" s="458">
        <f t="shared" si="10"/>
        <v>974106.48685817386</v>
      </c>
      <c r="AC24" s="458">
        <f t="shared" si="10"/>
        <v>974106.48685817386</v>
      </c>
      <c r="AD24" s="458">
        <f t="shared" si="10"/>
        <v>974106.48685817386</v>
      </c>
      <c r="AE24" s="458">
        <f t="shared" si="10"/>
        <v>974106.48685817386</v>
      </c>
      <c r="AF24" s="458">
        <f t="shared" si="10"/>
        <v>974106.48685817386</v>
      </c>
      <c r="AG24" s="458">
        <f t="shared" si="10"/>
        <v>974106.48685817386</v>
      </c>
      <c r="AH24" s="458">
        <f t="shared" si="10"/>
        <v>974106.48685817386</v>
      </c>
      <c r="AI24" s="458">
        <f t="shared" si="10"/>
        <v>974106.48685817386</v>
      </c>
      <c r="AJ24" s="458">
        <f t="shared" si="10"/>
        <v>974106.48685817386</v>
      </c>
      <c r="AK24" s="458">
        <f t="shared" si="10"/>
        <v>974106.48685817386</v>
      </c>
      <c r="AL24" s="458">
        <f t="shared" si="10"/>
        <v>974106.48685817386</v>
      </c>
      <c r="AM24" s="458">
        <f t="shared" si="10"/>
        <v>974106.48685817386</v>
      </c>
      <c r="AN24" s="413"/>
      <c r="AO24" s="413"/>
      <c r="AP24" s="413"/>
      <c r="AQ24" s="413"/>
    </row>
    <row r="25" spans="1:43" s="446" customFormat="1" ht="13.5" thickBot="1" x14ac:dyDescent="0.25">
      <c r="A25" s="413"/>
      <c r="B25" s="472" t="s">
        <v>520</v>
      </c>
      <c r="C25" s="473" t="s">
        <v>515</v>
      </c>
      <c r="D25" s="474">
        <v>0.68129349210071299</v>
      </c>
      <c r="E25" s="475">
        <v>172198.71885534245</v>
      </c>
      <c r="F25" s="513">
        <f>$E$8*$G$8</f>
        <v>229292.60999117198</v>
      </c>
      <c r="G25" s="513">
        <f>D25*E25</f>
        <v>117317.86650422515</v>
      </c>
      <c r="H25" s="511">
        <f t="shared" si="4"/>
        <v>156215.56297377238</v>
      </c>
      <c r="I25" s="464"/>
      <c r="J25" s="477">
        <f>($G$25*J16)*J13</f>
        <v>2574605.436431177</v>
      </c>
      <c r="K25" s="477">
        <f t="shared" ref="K25:L25" si="11">($G$25*K16)*K13</f>
        <v>2715814.2470622859</v>
      </c>
      <c r="L25" s="477">
        <f t="shared" si="11"/>
        <v>2833743.4525353806</v>
      </c>
      <c r="M25" s="477">
        <f>(($G$25*M16)*M13)+(($H$25*M16)*M14)</f>
        <v>3471603.7917883471</v>
      </c>
      <c r="N25" s="477">
        <f>($H$25*N16)*N14</f>
        <v>3545775.42730015</v>
      </c>
      <c r="O25" s="477">
        <f t="shared" ref="O25:AM25" si="12">($H$25*O16)*O14</f>
        <v>3623141.1076524011</v>
      </c>
      <c r="P25" s="477">
        <f t="shared" si="12"/>
        <v>3702194.8386494503</v>
      </c>
      <c r="Q25" s="477">
        <f t="shared" si="12"/>
        <v>3782973.4520617491</v>
      </c>
      <c r="R25" s="477">
        <f t="shared" si="12"/>
        <v>3865514.5832963651</v>
      </c>
      <c r="S25" s="477">
        <f t="shared" si="12"/>
        <v>3949856.6889316281</v>
      </c>
      <c r="T25" s="477">
        <f t="shared" si="12"/>
        <v>4036039.0646343566</v>
      </c>
      <c r="U25" s="477">
        <f t="shared" si="12"/>
        <v>4124101.8634680249</v>
      </c>
      <c r="V25" s="477">
        <f t="shared" si="12"/>
        <v>4214086.1146004014</v>
      </c>
      <c r="W25" s="477">
        <f t="shared" si="12"/>
        <v>4306033.7424193686</v>
      </c>
      <c r="X25" s="477">
        <f t="shared" si="12"/>
        <v>4399987.5860658297</v>
      </c>
      <c r="Y25" s="477">
        <f t="shared" si="12"/>
        <v>4495991.4193928139</v>
      </c>
      <c r="Z25" s="477">
        <f t="shared" si="12"/>
        <v>4594089.971360065</v>
      </c>
      <c r="AA25" s="477">
        <f t="shared" si="12"/>
        <v>4694328.9468736257</v>
      </c>
      <c r="AB25" s="477">
        <f t="shared" si="12"/>
        <v>4796755.0480801184</v>
      </c>
      <c r="AC25" s="477">
        <f t="shared" si="12"/>
        <v>4901415.996125658</v>
      </c>
      <c r="AD25" s="477">
        <f t="shared" si="12"/>
        <v>5008360.5533895111</v>
      </c>
      <c r="AE25" s="477">
        <f t="shared" si="12"/>
        <v>5117638.5462028878</v>
      </c>
      <c r="AF25" s="477">
        <f t="shared" si="12"/>
        <v>5229300.8880634271</v>
      </c>
      <c r="AG25" s="477">
        <f t="shared" si="12"/>
        <v>5343399.6033562087</v>
      </c>
      <c r="AH25" s="477">
        <f t="shared" si="12"/>
        <v>5459987.8515923256</v>
      </c>
      <c r="AI25" s="477">
        <f t="shared" si="12"/>
        <v>5579119.9521763446</v>
      </c>
      <c r="AJ25" s="477">
        <f t="shared" si="12"/>
        <v>5700851.4097141381</v>
      </c>
      <c r="AK25" s="477">
        <f t="shared" si="12"/>
        <v>5825238.9398729354</v>
      </c>
      <c r="AL25" s="477">
        <f t="shared" si="12"/>
        <v>5952340.49580561</v>
      </c>
      <c r="AM25" s="477">
        <f t="shared" si="12"/>
        <v>6082215.2951515168</v>
      </c>
      <c r="AN25" s="413"/>
      <c r="AO25" s="413"/>
      <c r="AP25" s="413"/>
      <c r="AQ25" s="413"/>
    </row>
    <row r="26" spans="1:43" s="446" customFormat="1" ht="13.5" thickBot="1" x14ac:dyDescent="0.25">
      <c r="A26" s="413"/>
      <c r="B26" s="478" t="s">
        <v>353</v>
      </c>
      <c r="C26" s="479" t="s">
        <v>0</v>
      </c>
      <c r="D26" s="464"/>
      <c r="E26" s="480"/>
      <c r="F26" s="480"/>
      <c r="G26" s="480"/>
      <c r="H26" s="481"/>
      <c r="I26" s="481"/>
      <c r="J26" s="482">
        <f>SUM(J17:J25)</f>
        <v>4599498.7706820806</v>
      </c>
      <c r="K26" s="482">
        <f t="shared" ref="K26:AM26" si="13">SUM(K17:K25)</f>
        <v>4807184.9321360383</v>
      </c>
      <c r="L26" s="482">
        <f t="shared" si="13"/>
        <v>4980632.069737142</v>
      </c>
      <c r="M26" s="482">
        <f t="shared" si="13"/>
        <v>6979992.9826622773</v>
      </c>
      <c r="N26" s="482">
        <f t="shared" si="13"/>
        <v>7520477.1027379576</v>
      </c>
      <c r="O26" s="482">
        <f t="shared" si="13"/>
        <v>7615945.0716675967</v>
      </c>
      <c r="P26" s="482">
        <f t="shared" si="13"/>
        <v>7713496.0671508135</v>
      </c>
      <c r="Q26" s="482">
        <f t="shared" si="13"/>
        <v>7813175.5389826708</v>
      </c>
      <c r="R26" s="482">
        <f t="shared" si="13"/>
        <v>7915029.9286325164</v>
      </c>
      <c r="S26" s="482">
        <f t="shared" si="13"/>
        <v>8019106.6908814441</v>
      </c>
      <c r="T26" s="482">
        <f t="shared" si="13"/>
        <v>8125454.3159318473</v>
      </c>
      <c r="U26" s="482">
        <f t="shared" si="13"/>
        <v>8234122.3519994076</v>
      </c>
      <c r="V26" s="482">
        <f t="shared" si="13"/>
        <v>8345161.4283979991</v>
      </c>
      <c r="W26" s="482">
        <f t="shared" si="13"/>
        <v>8458623.2791282982</v>
      </c>
      <c r="X26" s="482">
        <f t="shared" si="13"/>
        <v>8574560.7669810727</v>
      </c>
      <c r="Y26" s="482">
        <f t="shared" si="13"/>
        <v>8693027.9081663713</v>
      </c>
      <c r="Z26" s="482">
        <f t="shared" si="13"/>
        <v>8814079.8974801265</v>
      </c>
      <c r="AA26" s="482">
        <f t="shared" si="13"/>
        <v>8937773.134019848</v>
      </c>
      <c r="AB26" s="482">
        <f t="shared" si="13"/>
        <v>9064165.247461414</v>
      </c>
      <c r="AC26" s="482">
        <f t="shared" si="13"/>
        <v>9193315.1249092035</v>
      </c>
      <c r="AD26" s="482">
        <f t="shared" si="13"/>
        <v>9325282.938332079</v>
      </c>
      <c r="AE26" s="482">
        <f t="shared" si="13"/>
        <v>9460130.1725979801</v>
      </c>
      <c r="AF26" s="482">
        <f t="shared" si="13"/>
        <v>9597919.6541202292</v>
      </c>
      <c r="AG26" s="482">
        <f t="shared" si="13"/>
        <v>9738715.5801288635</v>
      </c>
      <c r="AH26" s="482">
        <f t="shared" si="13"/>
        <v>9882583.5485806242</v>
      </c>
      <c r="AI26" s="482">
        <f t="shared" si="13"/>
        <v>10029590.588721607</v>
      </c>
      <c r="AJ26" s="482">
        <f t="shared" si="13"/>
        <v>10179805.192316696</v>
      </c>
      <c r="AK26" s="482">
        <f t="shared" si="13"/>
        <v>10333297.345560446</v>
      </c>
      <c r="AL26" s="482">
        <f t="shared" si="13"/>
        <v>10490138.56168421</v>
      </c>
      <c r="AM26" s="482">
        <f t="shared" si="13"/>
        <v>10650401.91427473</v>
      </c>
      <c r="AN26" s="413"/>
      <c r="AO26" s="413"/>
      <c r="AP26" s="413"/>
      <c r="AQ26" s="413"/>
    </row>
    <row r="27" spans="1:43" x14ac:dyDescent="0.2">
      <c r="J27" s="438"/>
      <c r="M27" s="438"/>
    </row>
    <row r="28" spans="1:43" x14ac:dyDescent="0.2">
      <c r="K28" s="438"/>
    </row>
    <row r="29" spans="1:43" x14ac:dyDescent="0.2">
      <c r="A29" s="2"/>
      <c r="B29" s="2"/>
      <c r="C29" s="3"/>
      <c r="D29" s="3" t="s">
        <v>10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43" x14ac:dyDescent="0.2">
      <c r="A30" s="2"/>
      <c r="B30" s="4" t="s">
        <v>57</v>
      </c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</row>
    <row r="31" spans="1:43" x14ac:dyDescent="0.2">
      <c r="A31" s="2"/>
      <c r="B31" s="6" t="s">
        <v>32</v>
      </c>
      <c r="C31" s="6" t="s">
        <v>9</v>
      </c>
      <c r="D31" s="7">
        <v>2023</v>
      </c>
      <c r="E31" s="7">
        <f>$D$31+D30</f>
        <v>2024</v>
      </c>
      <c r="F31" s="7">
        <f>$D$31+E30</f>
        <v>2025</v>
      </c>
      <c r="G31" s="7">
        <f>$D$31+F30</f>
        <v>2026</v>
      </c>
      <c r="H31" s="7">
        <f t="shared" ref="H31:AG31" si="14">$D$31+G30</f>
        <v>2027</v>
      </c>
      <c r="I31" s="7">
        <f t="shared" si="14"/>
        <v>2028</v>
      </c>
      <c r="J31" s="7">
        <f t="shared" si="14"/>
        <v>2029</v>
      </c>
      <c r="K31" s="7">
        <f t="shared" si="14"/>
        <v>2030</v>
      </c>
      <c r="L31" s="7">
        <f t="shared" si="14"/>
        <v>2031</v>
      </c>
      <c r="M31" s="7">
        <f t="shared" si="14"/>
        <v>2032</v>
      </c>
      <c r="N31" s="7">
        <f t="shared" si="14"/>
        <v>2033</v>
      </c>
      <c r="O31" s="7">
        <f t="shared" si="14"/>
        <v>2034</v>
      </c>
      <c r="P31" s="7">
        <f t="shared" si="14"/>
        <v>2035</v>
      </c>
      <c r="Q31" s="7">
        <f t="shared" si="14"/>
        <v>2036</v>
      </c>
      <c r="R31" s="7">
        <f t="shared" si="14"/>
        <v>2037</v>
      </c>
      <c r="S31" s="7">
        <f t="shared" si="14"/>
        <v>2038</v>
      </c>
      <c r="T31" s="7">
        <f t="shared" si="14"/>
        <v>2039</v>
      </c>
      <c r="U31" s="7">
        <f t="shared" si="14"/>
        <v>2040</v>
      </c>
      <c r="V31" s="7">
        <f t="shared" si="14"/>
        <v>2041</v>
      </c>
      <c r="W31" s="7">
        <f t="shared" si="14"/>
        <v>2042</v>
      </c>
      <c r="X31" s="7">
        <f t="shared" si="14"/>
        <v>2043</v>
      </c>
      <c r="Y31" s="7">
        <f t="shared" si="14"/>
        <v>2044</v>
      </c>
      <c r="Z31" s="7">
        <f t="shared" si="14"/>
        <v>2045</v>
      </c>
      <c r="AA31" s="7">
        <f t="shared" si="14"/>
        <v>2046</v>
      </c>
      <c r="AB31" s="7">
        <f t="shared" si="14"/>
        <v>2047</v>
      </c>
      <c r="AC31" s="7">
        <f t="shared" si="14"/>
        <v>2048</v>
      </c>
      <c r="AD31" s="7">
        <f t="shared" si="14"/>
        <v>2049</v>
      </c>
      <c r="AE31" s="7">
        <f t="shared" si="14"/>
        <v>2050</v>
      </c>
      <c r="AF31" s="7">
        <f t="shared" si="14"/>
        <v>2051</v>
      </c>
      <c r="AG31" s="7">
        <f t="shared" si="14"/>
        <v>2052</v>
      </c>
    </row>
    <row r="32" spans="1:43" x14ac:dyDescent="0.2">
      <c r="A32" s="2"/>
      <c r="B32" s="3" t="s">
        <v>353</v>
      </c>
      <c r="C32" s="129">
        <f>SUM(D32:AG32)</f>
        <v>254092688.10606354</v>
      </c>
      <c r="D32" s="485">
        <f t="shared" ref="D32:AG32" si="15">J26</f>
        <v>4599498.7706820806</v>
      </c>
      <c r="E32" s="485">
        <f t="shared" si="15"/>
        <v>4807184.9321360383</v>
      </c>
      <c r="F32" s="485">
        <f t="shared" si="15"/>
        <v>4980632.069737142</v>
      </c>
      <c r="G32" s="485">
        <f t="shared" si="15"/>
        <v>6979992.9826622773</v>
      </c>
      <c r="H32" s="485">
        <f t="shared" si="15"/>
        <v>7520477.1027379576</v>
      </c>
      <c r="I32" s="485">
        <f t="shared" si="15"/>
        <v>7615945.0716675967</v>
      </c>
      <c r="J32" s="485">
        <f t="shared" si="15"/>
        <v>7713496.0671508135</v>
      </c>
      <c r="K32" s="485">
        <f t="shared" si="15"/>
        <v>7813175.5389826708</v>
      </c>
      <c r="L32" s="485">
        <f t="shared" si="15"/>
        <v>7915029.9286325164</v>
      </c>
      <c r="M32" s="485">
        <f t="shared" si="15"/>
        <v>8019106.6908814441</v>
      </c>
      <c r="N32" s="485">
        <f t="shared" si="15"/>
        <v>8125454.3159318473</v>
      </c>
      <c r="O32" s="485">
        <f t="shared" si="15"/>
        <v>8234122.3519994076</v>
      </c>
      <c r="P32" s="485">
        <f t="shared" si="15"/>
        <v>8345161.4283979991</v>
      </c>
      <c r="Q32" s="485">
        <f t="shared" si="15"/>
        <v>8458623.2791282982</v>
      </c>
      <c r="R32" s="485">
        <f t="shared" si="15"/>
        <v>8574560.7669810727</v>
      </c>
      <c r="S32" s="485">
        <f t="shared" si="15"/>
        <v>8693027.9081663713</v>
      </c>
      <c r="T32" s="485">
        <f t="shared" si="15"/>
        <v>8814079.8974801265</v>
      </c>
      <c r="U32" s="485">
        <f t="shared" si="15"/>
        <v>8937773.134019848</v>
      </c>
      <c r="V32" s="485">
        <f t="shared" si="15"/>
        <v>9064165.247461414</v>
      </c>
      <c r="W32" s="485">
        <f t="shared" si="15"/>
        <v>9193315.1249092035</v>
      </c>
      <c r="X32" s="485">
        <f t="shared" si="15"/>
        <v>9325282.938332079</v>
      </c>
      <c r="Y32" s="485">
        <f t="shared" si="15"/>
        <v>9460130.1725979801</v>
      </c>
      <c r="Z32" s="485">
        <f t="shared" si="15"/>
        <v>9597919.6541202292</v>
      </c>
      <c r="AA32" s="485">
        <f t="shared" si="15"/>
        <v>9738715.5801288635</v>
      </c>
      <c r="AB32" s="485">
        <f t="shared" si="15"/>
        <v>9882583.5485806242</v>
      </c>
      <c r="AC32" s="485">
        <f t="shared" si="15"/>
        <v>10029590.588721607</v>
      </c>
      <c r="AD32" s="485">
        <f t="shared" si="15"/>
        <v>10179805.192316696</v>
      </c>
      <c r="AE32" s="485">
        <f t="shared" si="15"/>
        <v>10333297.345560446</v>
      </c>
      <c r="AF32" s="485">
        <f t="shared" si="15"/>
        <v>10490138.56168421</v>
      </c>
      <c r="AG32" s="485">
        <f t="shared" si="15"/>
        <v>10650401.91427473</v>
      </c>
    </row>
    <row r="33" spans="1:43" x14ac:dyDescent="0.2">
      <c r="A33" s="2"/>
      <c r="B33" s="3" t="s">
        <v>351</v>
      </c>
      <c r="C33" s="129">
        <f>SUM(D33:AG33)</f>
        <v>18000000</v>
      </c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  <c r="Q33" s="485"/>
      <c r="R33" s="485"/>
      <c r="S33" s="485"/>
      <c r="T33" s="485"/>
      <c r="U33" s="485"/>
      <c r="V33" s="485">
        <v>1080000</v>
      </c>
      <c r="W33" s="485">
        <v>540000</v>
      </c>
      <c r="X33" s="485"/>
      <c r="Y33" s="485"/>
      <c r="Z33" s="485">
        <v>5460000</v>
      </c>
      <c r="AA33" s="485">
        <v>10920000</v>
      </c>
      <c r="AB33" s="485"/>
      <c r="AC33" s="485"/>
      <c r="AD33" s="485"/>
      <c r="AE33" s="485"/>
      <c r="AF33" s="485"/>
      <c r="AG33" s="485"/>
    </row>
    <row r="34" spans="1:43" x14ac:dyDescent="0.2">
      <c r="A34" s="2"/>
      <c r="B34" s="4" t="s">
        <v>350</v>
      </c>
      <c r="C34" s="2"/>
      <c r="D34" s="486">
        <f t="shared" ref="D34:AG34" si="16">SUM(D32:D33)</f>
        <v>4599498.7706820806</v>
      </c>
      <c r="E34" s="486">
        <f t="shared" si="16"/>
        <v>4807184.9321360383</v>
      </c>
      <c r="F34" s="486">
        <f t="shared" si="16"/>
        <v>4980632.069737142</v>
      </c>
      <c r="G34" s="486">
        <f t="shared" si="16"/>
        <v>6979992.9826622773</v>
      </c>
      <c r="H34" s="486">
        <f t="shared" si="16"/>
        <v>7520477.1027379576</v>
      </c>
      <c r="I34" s="486">
        <f t="shared" si="16"/>
        <v>7615945.0716675967</v>
      </c>
      <c r="J34" s="486">
        <f t="shared" si="16"/>
        <v>7713496.0671508135</v>
      </c>
      <c r="K34" s="486">
        <f t="shared" si="16"/>
        <v>7813175.5389826708</v>
      </c>
      <c r="L34" s="486">
        <f t="shared" si="16"/>
        <v>7915029.9286325164</v>
      </c>
      <c r="M34" s="486">
        <f t="shared" si="16"/>
        <v>8019106.6908814441</v>
      </c>
      <c r="N34" s="486">
        <f t="shared" si="16"/>
        <v>8125454.3159318473</v>
      </c>
      <c r="O34" s="486">
        <f t="shared" si="16"/>
        <v>8234122.3519994076</v>
      </c>
      <c r="P34" s="486">
        <f t="shared" si="16"/>
        <v>8345161.4283979991</v>
      </c>
      <c r="Q34" s="486">
        <f t="shared" si="16"/>
        <v>8458623.2791282982</v>
      </c>
      <c r="R34" s="486">
        <f t="shared" si="16"/>
        <v>8574560.7669810727</v>
      </c>
      <c r="S34" s="486">
        <f t="shared" si="16"/>
        <v>8693027.9081663713</v>
      </c>
      <c r="T34" s="486">
        <f t="shared" si="16"/>
        <v>8814079.8974801265</v>
      </c>
      <c r="U34" s="486">
        <f t="shared" si="16"/>
        <v>8937773.134019848</v>
      </c>
      <c r="V34" s="486">
        <f t="shared" si="16"/>
        <v>10144165.247461414</v>
      </c>
      <c r="W34" s="486">
        <f t="shared" si="16"/>
        <v>9733315.1249092035</v>
      </c>
      <c r="X34" s="486">
        <f t="shared" si="16"/>
        <v>9325282.938332079</v>
      </c>
      <c r="Y34" s="486">
        <f t="shared" si="16"/>
        <v>9460130.1725979801</v>
      </c>
      <c r="Z34" s="486">
        <f t="shared" si="16"/>
        <v>15057919.654120229</v>
      </c>
      <c r="AA34" s="486">
        <f t="shared" si="16"/>
        <v>20658715.580128863</v>
      </c>
      <c r="AB34" s="486">
        <f t="shared" si="16"/>
        <v>9882583.5485806242</v>
      </c>
      <c r="AC34" s="486">
        <f t="shared" si="16"/>
        <v>10029590.588721607</v>
      </c>
      <c r="AD34" s="486">
        <f t="shared" si="16"/>
        <v>10179805.192316696</v>
      </c>
      <c r="AE34" s="486">
        <f t="shared" si="16"/>
        <v>10333297.345560446</v>
      </c>
      <c r="AF34" s="486">
        <f t="shared" si="16"/>
        <v>10490138.56168421</v>
      </c>
      <c r="AG34" s="486">
        <f t="shared" si="16"/>
        <v>10650401.91427473</v>
      </c>
      <c r="AM34" s="446"/>
      <c r="AN34" s="446"/>
      <c r="AO34" s="446"/>
    </row>
    <row r="35" spans="1:43" x14ac:dyDescent="0.2">
      <c r="A35" s="2"/>
      <c r="B35" s="3" t="s">
        <v>56</v>
      </c>
      <c r="C35" s="2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</row>
    <row r="36" spans="1:43" ht="13.5" thickBot="1" x14ac:dyDescent="0.25">
      <c r="A36" s="2"/>
      <c r="B36" s="16" t="s">
        <v>54</v>
      </c>
      <c r="C36" s="486">
        <f>SUM(D34:AG34)</f>
        <v>272092688.10606354</v>
      </c>
      <c r="D36" s="487">
        <f t="shared" ref="D36:AG36" si="17">SUM(D35:D35)</f>
        <v>0</v>
      </c>
      <c r="E36" s="487">
        <f t="shared" si="17"/>
        <v>0</v>
      </c>
      <c r="F36" s="487">
        <f t="shared" si="17"/>
        <v>0</v>
      </c>
      <c r="G36" s="487">
        <f t="shared" si="17"/>
        <v>0</v>
      </c>
      <c r="H36" s="487">
        <f t="shared" si="17"/>
        <v>0</v>
      </c>
      <c r="I36" s="487">
        <f t="shared" si="17"/>
        <v>0</v>
      </c>
      <c r="J36" s="487">
        <f t="shared" si="17"/>
        <v>0</v>
      </c>
      <c r="K36" s="487">
        <f t="shared" si="17"/>
        <v>0</v>
      </c>
      <c r="L36" s="487">
        <f t="shared" si="17"/>
        <v>0</v>
      </c>
      <c r="M36" s="487">
        <f t="shared" si="17"/>
        <v>0</v>
      </c>
      <c r="N36" s="487">
        <f t="shared" si="17"/>
        <v>0</v>
      </c>
      <c r="O36" s="487">
        <f t="shared" si="17"/>
        <v>0</v>
      </c>
      <c r="P36" s="487">
        <f t="shared" si="17"/>
        <v>0</v>
      </c>
      <c r="Q36" s="487">
        <f t="shared" si="17"/>
        <v>0</v>
      </c>
      <c r="R36" s="487">
        <f t="shared" si="17"/>
        <v>0</v>
      </c>
      <c r="S36" s="487">
        <f t="shared" si="17"/>
        <v>0</v>
      </c>
      <c r="T36" s="487">
        <f t="shared" si="17"/>
        <v>0</v>
      </c>
      <c r="U36" s="487">
        <f t="shared" si="17"/>
        <v>0</v>
      </c>
      <c r="V36" s="487">
        <f t="shared" si="17"/>
        <v>0</v>
      </c>
      <c r="W36" s="487">
        <f t="shared" si="17"/>
        <v>0</v>
      </c>
      <c r="X36" s="487">
        <f t="shared" si="17"/>
        <v>0</v>
      </c>
      <c r="Y36" s="487">
        <f t="shared" si="17"/>
        <v>0</v>
      </c>
      <c r="Z36" s="487">
        <f t="shared" si="17"/>
        <v>0</v>
      </c>
      <c r="AA36" s="487">
        <f t="shared" si="17"/>
        <v>0</v>
      </c>
      <c r="AB36" s="487">
        <f t="shared" si="17"/>
        <v>0</v>
      </c>
      <c r="AC36" s="487">
        <f t="shared" si="17"/>
        <v>0</v>
      </c>
      <c r="AD36" s="487">
        <f t="shared" si="17"/>
        <v>0</v>
      </c>
      <c r="AE36" s="487">
        <f t="shared" si="17"/>
        <v>0</v>
      </c>
      <c r="AF36" s="487">
        <f t="shared" si="17"/>
        <v>0</v>
      </c>
      <c r="AG36" s="487">
        <f t="shared" si="17"/>
        <v>0</v>
      </c>
    </row>
    <row r="37" spans="1:43" ht="13.5" thickTop="1" x14ac:dyDescent="0.2">
      <c r="A37" s="2"/>
      <c r="B37" s="17" t="s">
        <v>53</v>
      </c>
      <c r="C37" s="488">
        <f>SUM(D37:AG37)</f>
        <v>272092688.10606354</v>
      </c>
      <c r="D37" s="488">
        <f t="shared" ref="D37:AG37" si="18">SUM(D34,D36)</f>
        <v>4599498.7706820806</v>
      </c>
      <c r="E37" s="488">
        <f t="shared" si="18"/>
        <v>4807184.9321360383</v>
      </c>
      <c r="F37" s="488">
        <f t="shared" si="18"/>
        <v>4980632.069737142</v>
      </c>
      <c r="G37" s="488">
        <f t="shared" si="18"/>
        <v>6979992.9826622773</v>
      </c>
      <c r="H37" s="488">
        <f t="shared" si="18"/>
        <v>7520477.1027379576</v>
      </c>
      <c r="I37" s="488">
        <f t="shared" si="18"/>
        <v>7615945.0716675967</v>
      </c>
      <c r="J37" s="488">
        <f t="shared" si="18"/>
        <v>7713496.0671508135</v>
      </c>
      <c r="K37" s="488">
        <f t="shared" si="18"/>
        <v>7813175.5389826708</v>
      </c>
      <c r="L37" s="488">
        <f t="shared" si="18"/>
        <v>7915029.9286325164</v>
      </c>
      <c r="M37" s="488">
        <f t="shared" si="18"/>
        <v>8019106.6908814441</v>
      </c>
      <c r="N37" s="488">
        <f t="shared" si="18"/>
        <v>8125454.3159318473</v>
      </c>
      <c r="O37" s="488">
        <f t="shared" si="18"/>
        <v>8234122.3519994076</v>
      </c>
      <c r="P37" s="488">
        <f t="shared" si="18"/>
        <v>8345161.4283979991</v>
      </c>
      <c r="Q37" s="488">
        <f t="shared" si="18"/>
        <v>8458623.2791282982</v>
      </c>
      <c r="R37" s="488">
        <f t="shared" si="18"/>
        <v>8574560.7669810727</v>
      </c>
      <c r="S37" s="488">
        <f t="shared" si="18"/>
        <v>8693027.9081663713</v>
      </c>
      <c r="T37" s="488">
        <f t="shared" si="18"/>
        <v>8814079.8974801265</v>
      </c>
      <c r="U37" s="488">
        <f t="shared" si="18"/>
        <v>8937773.134019848</v>
      </c>
      <c r="V37" s="488">
        <f t="shared" si="18"/>
        <v>10144165.247461414</v>
      </c>
      <c r="W37" s="488">
        <f t="shared" si="18"/>
        <v>9733315.1249092035</v>
      </c>
      <c r="X37" s="488">
        <f t="shared" si="18"/>
        <v>9325282.938332079</v>
      </c>
      <c r="Y37" s="488">
        <f t="shared" si="18"/>
        <v>9460130.1725979801</v>
      </c>
      <c r="Z37" s="488">
        <f t="shared" si="18"/>
        <v>15057919.654120229</v>
      </c>
      <c r="AA37" s="488">
        <f t="shared" si="18"/>
        <v>20658715.580128863</v>
      </c>
      <c r="AB37" s="488">
        <f t="shared" si="18"/>
        <v>9882583.5485806242</v>
      </c>
      <c r="AC37" s="488">
        <f t="shared" si="18"/>
        <v>10029590.588721607</v>
      </c>
      <c r="AD37" s="488">
        <f t="shared" si="18"/>
        <v>10179805.192316696</v>
      </c>
      <c r="AE37" s="488">
        <f t="shared" si="18"/>
        <v>10333297.345560446</v>
      </c>
      <c r="AF37" s="488">
        <f t="shared" si="18"/>
        <v>10490138.56168421</v>
      </c>
      <c r="AG37" s="488">
        <f t="shared" si="18"/>
        <v>10650401.91427473</v>
      </c>
    </row>
    <row r="40" spans="1:43" x14ac:dyDescent="0.2">
      <c r="C40" s="431"/>
    </row>
    <row r="41" spans="1:43" x14ac:dyDescent="0.2">
      <c r="E41" s="431"/>
      <c r="I41" s="438"/>
    </row>
    <row r="42" spans="1:43" s="446" customFormat="1" x14ac:dyDescent="0.2">
      <c r="A42" s="413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</row>
    <row r="51" spans="1:43" x14ac:dyDescent="0.2">
      <c r="AO51" s="446"/>
      <c r="AP51" s="446"/>
      <c r="AQ51" s="446"/>
    </row>
    <row r="59" spans="1:43" s="446" customFormat="1" x14ac:dyDescent="0.2">
      <c r="A59" s="413"/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</row>
    <row r="69" spans="1:43" x14ac:dyDescent="0.2">
      <c r="AO69" s="446"/>
      <c r="AP69" s="446"/>
      <c r="AQ69" s="446"/>
    </row>
    <row r="76" spans="1:43" x14ac:dyDescent="0.2">
      <c r="AO76" s="446"/>
      <c r="AP76" s="446"/>
      <c r="AQ76" s="446"/>
    </row>
    <row r="77" spans="1:43" s="446" customFormat="1" x14ac:dyDescent="0.2">
      <c r="A77" s="413"/>
      <c r="B77" s="413"/>
      <c r="C77" s="413"/>
      <c r="D77" s="413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413"/>
      <c r="AA77" s="413"/>
      <c r="AB77" s="413"/>
      <c r="AC77" s="413"/>
      <c r="AD77" s="413"/>
      <c r="AE77" s="413"/>
      <c r="AF77" s="413"/>
      <c r="AG77" s="413"/>
      <c r="AH77" s="413"/>
      <c r="AI77" s="413"/>
      <c r="AJ77" s="413"/>
      <c r="AK77" s="413"/>
      <c r="AL77" s="413"/>
      <c r="AM77" s="413"/>
      <c r="AN77" s="413"/>
      <c r="AO77" s="413"/>
      <c r="AP77" s="413"/>
      <c r="AQ77" s="413"/>
    </row>
    <row r="84" spans="1:43" s="446" customFormat="1" x14ac:dyDescent="0.2">
      <c r="A84" s="413"/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  <c r="T84" s="413"/>
      <c r="U84" s="413"/>
      <c r="V84" s="413"/>
      <c r="W84" s="413"/>
      <c r="X84" s="413"/>
      <c r="Y84" s="413"/>
      <c r="Z84" s="413"/>
      <c r="AA84" s="413"/>
      <c r="AB84" s="413"/>
      <c r="AC84" s="413"/>
      <c r="AD84" s="413"/>
      <c r="AE84" s="413"/>
      <c r="AF84" s="413"/>
      <c r="AG84" s="413"/>
      <c r="AH84" s="413"/>
      <c r="AI84" s="413"/>
      <c r="AJ84" s="413"/>
      <c r="AK84" s="413"/>
      <c r="AL84" s="413"/>
      <c r="AM84" s="413"/>
      <c r="AN84" s="413"/>
      <c r="AO84" s="413"/>
      <c r="AP84" s="413"/>
      <c r="AQ84" s="413"/>
    </row>
    <row r="92" spans="1:43" x14ac:dyDescent="0.2">
      <c r="AO92" s="446"/>
      <c r="AP92" s="446"/>
      <c r="AQ92" s="446"/>
    </row>
    <row r="100" spans="1:43" s="446" customFormat="1" x14ac:dyDescent="0.2">
      <c r="A100" s="413"/>
      <c r="B100" s="413"/>
      <c r="C100" s="413"/>
      <c r="D100" s="413"/>
      <c r="E100" s="413"/>
      <c r="F100" s="413"/>
      <c r="G100" s="413"/>
      <c r="H100" s="413"/>
      <c r="I100" s="413"/>
      <c r="J100" s="413"/>
      <c r="K100" s="413"/>
      <c r="L100" s="413"/>
      <c r="M100" s="413"/>
      <c r="N100" s="413"/>
      <c r="O100" s="413"/>
      <c r="P100" s="413"/>
      <c r="Q100" s="413"/>
      <c r="R100" s="413"/>
      <c r="S100" s="413"/>
      <c r="T100" s="413"/>
      <c r="U100" s="413"/>
      <c r="V100" s="413"/>
      <c r="W100" s="413"/>
      <c r="X100" s="413"/>
      <c r="Y100" s="413"/>
      <c r="Z100" s="413"/>
      <c r="AA100" s="413"/>
      <c r="AB100" s="413"/>
      <c r="AC100" s="413"/>
      <c r="AD100" s="413"/>
      <c r="AE100" s="413"/>
      <c r="AF100" s="413"/>
      <c r="AG100" s="413"/>
      <c r="AH100" s="413"/>
      <c r="AI100" s="413"/>
      <c r="AJ100" s="413"/>
      <c r="AK100" s="413"/>
      <c r="AL100" s="413"/>
      <c r="AM100" s="413"/>
      <c r="AN100" s="413"/>
      <c r="AO100" s="413"/>
      <c r="AP100" s="413"/>
      <c r="AQ100" s="413"/>
    </row>
  </sheetData>
  <sheetProtection algorithmName="SHA-512" hashValue="TBOJFSXI8l4YOyvCuXoWrwPdVuXBywL3O5FUn3LLenOu1o6OROyJz+/megZ+fWeYQIlEleZA19PPabiMIWERJQ==" saltValue="rClgvFXoQEw+LZ+5SPNAQA==" spinCount="100000" sheet="1" formatCells="0" formatColumns="0" formatRows="0" insertColumns="0" insertRows="0" insertHyperlinks="0" deleteColumns="0" deleteRows="0" sort="0" autoFilter="0" pivotTables="0"/>
  <mergeCells count="9">
    <mergeCell ref="B11:AM11"/>
    <mergeCell ref="B12:B15"/>
    <mergeCell ref="C12:C14"/>
    <mergeCell ref="D12:D15"/>
    <mergeCell ref="E12:E15"/>
    <mergeCell ref="F12:F15"/>
    <mergeCell ref="G12:G15"/>
    <mergeCell ref="H12:H15"/>
    <mergeCell ref="C15:C1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E296B-E953-4B43-9A06-06671611C7FE}">
  <dimension ref="A1:AQ100"/>
  <sheetViews>
    <sheetView topLeftCell="N10" zoomScaleNormal="100" workbookViewId="0">
      <selection activeCell="D33" sqref="D33:AG33"/>
    </sheetView>
  </sheetViews>
  <sheetFormatPr defaultColWidth="8.7109375" defaultRowHeight="12.75" x14ac:dyDescent="0.2"/>
  <cols>
    <col min="1" max="1" width="1.5703125" style="413" customWidth="1"/>
    <col min="2" max="2" width="37.28515625" style="413" customWidth="1"/>
    <col min="3" max="3" width="15.5703125" style="413" customWidth="1"/>
    <col min="4" max="4" width="10.5703125" style="413" bestFit="1" customWidth="1"/>
    <col min="5" max="5" width="13.7109375" style="413" bestFit="1" customWidth="1"/>
    <col min="6" max="6" width="13.7109375" style="413" customWidth="1"/>
    <col min="7" max="8" width="14.28515625" style="413" customWidth="1"/>
    <col min="9" max="9" width="17.28515625" style="413" customWidth="1"/>
    <col min="10" max="14" width="12.28515625" style="413" customWidth="1"/>
    <col min="15" max="15" width="13.5703125" style="413" customWidth="1"/>
    <col min="16" max="39" width="12.28515625" style="413" customWidth="1"/>
    <col min="40" max="16384" width="8.7109375" style="413"/>
  </cols>
  <sheetData>
    <row r="1" spans="1:39" ht="13.5" thickBot="1" x14ac:dyDescent="0.25"/>
    <row r="2" spans="1:39" x14ac:dyDescent="0.2">
      <c r="B2" s="414" t="s">
        <v>489</v>
      </c>
      <c r="C2" s="415" t="s">
        <v>490</v>
      </c>
      <c r="D2" s="415" t="s">
        <v>491</v>
      </c>
      <c r="E2" s="415" t="s">
        <v>492</v>
      </c>
      <c r="F2" s="415"/>
      <c r="G2" s="415" t="s">
        <v>493</v>
      </c>
      <c r="H2" s="415" t="s">
        <v>495</v>
      </c>
      <c r="I2"/>
      <c r="J2"/>
      <c r="K2"/>
    </row>
    <row r="3" spans="1:39" x14ac:dyDescent="0.2">
      <c r="B3" s="416" t="s">
        <v>496</v>
      </c>
      <c r="C3" s="417" t="s">
        <v>497</v>
      </c>
      <c r="D3" s="418">
        <v>2</v>
      </c>
      <c r="E3" s="418">
        <v>363</v>
      </c>
      <c r="F3" s="418">
        <v>802</v>
      </c>
      <c r="G3" s="418">
        <v>582252</v>
      </c>
      <c r="H3" s="420"/>
      <c r="I3"/>
      <c r="J3"/>
      <c r="K3"/>
    </row>
    <row r="4" spans="1:39" x14ac:dyDescent="0.2">
      <c r="B4" s="416" t="s">
        <v>496</v>
      </c>
      <c r="C4" s="417" t="s">
        <v>497</v>
      </c>
      <c r="D4" s="418">
        <v>2</v>
      </c>
      <c r="E4" s="418">
        <v>363</v>
      </c>
      <c r="F4" s="418">
        <v>802</v>
      </c>
      <c r="G4" s="418">
        <v>582252</v>
      </c>
      <c r="H4" s="420"/>
      <c r="I4"/>
      <c r="J4"/>
      <c r="K4"/>
    </row>
    <row r="5" spans="1:39" x14ac:dyDescent="0.2">
      <c r="B5" s="416" t="s">
        <v>499</v>
      </c>
      <c r="C5" s="417" t="s">
        <v>497</v>
      </c>
      <c r="D5" s="418">
        <v>2</v>
      </c>
      <c r="E5" s="418">
        <v>307</v>
      </c>
      <c r="F5" s="418">
        <v>839.947</v>
      </c>
      <c r="G5" s="418">
        <v>515727.45799999998</v>
      </c>
      <c r="H5" s="420"/>
      <c r="I5"/>
      <c r="J5"/>
      <c r="K5"/>
    </row>
    <row r="6" spans="1:39" x14ac:dyDescent="0.2">
      <c r="B6" s="416" t="s">
        <v>521</v>
      </c>
      <c r="C6" s="417" t="s">
        <v>497</v>
      </c>
      <c r="D6" s="418">
        <v>12</v>
      </c>
      <c r="E6" s="418">
        <v>363</v>
      </c>
      <c r="F6" s="418">
        <v>605.20000000000005</v>
      </c>
      <c r="G6" s="418">
        <v>2636251.2000000002</v>
      </c>
      <c r="H6" s="421"/>
      <c r="I6"/>
      <c r="J6"/>
      <c r="K6"/>
    </row>
    <row r="7" spans="1:39" ht="13.5" thickBot="1" x14ac:dyDescent="0.25">
      <c r="B7" s="489" t="s">
        <v>502</v>
      </c>
      <c r="C7" s="490"/>
      <c r="D7" s="491">
        <v>18</v>
      </c>
      <c r="E7" s="492">
        <v>1396</v>
      </c>
      <c r="F7" s="492">
        <v>3049.1469999999999</v>
      </c>
      <c r="G7" s="493">
        <v>4316482.6579999998</v>
      </c>
      <c r="H7" s="494"/>
      <c r="I7"/>
      <c r="J7"/>
      <c r="K7"/>
    </row>
    <row r="8" spans="1:39" ht="13.5" thickBot="1" x14ac:dyDescent="0.25">
      <c r="B8" s="495" t="s">
        <v>503</v>
      </c>
      <c r="C8" s="496"/>
      <c r="D8" s="497"/>
      <c r="E8" s="498">
        <v>349</v>
      </c>
      <c r="F8" s="499"/>
      <c r="G8" s="500">
        <v>656.99888249619482</v>
      </c>
      <c r="H8" s="501"/>
      <c r="I8"/>
      <c r="J8"/>
      <c r="K8"/>
      <c r="L8" s="431"/>
    </row>
    <row r="9" spans="1:39" x14ac:dyDescent="0.2">
      <c r="B9"/>
      <c r="C9"/>
      <c r="D9"/>
      <c r="E9"/>
      <c r="F9"/>
      <c r="G9"/>
      <c r="H9"/>
      <c r="I9"/>
      <c r="J9" s="438"/>
      <c r="K9" s="438"/>
      <c r="L9" s="438"/>
      <c r="O9" s="431"/>
    </row>
    <row r="10" spans="1:39" x14ac:dyDescent="0.2">
      <c r="J10" s="438"/>
      <c r="K10" s="438"/>
      <c r="L10" s="438"/>
      <c r="M10" s="431"/>
      <c r="N10" s="439"/>
    </row>
    <row r="11" spans="1:39" ht="13.5" thickBot="1" x14ac:dyDescent="0.25">
      <c r="B11" s="576"/>
      <c r="C11" s="577"/>
      <c r="D11" s="576"/>
      <c r="E11" s="576"/>
      <c r="F11" s="576"/>
      <c r="G11" s="576"/>
      <c r="H11" s="576"/>
      <c r="I11" s="577"/>
      <c r="J11" s="577"/>
      <c r="K11" s="577"/>
      <c r="L11" s="577"/>
      <c r="M11" s="577"/>
      <c r="N11" s="577"/>
      <c r="O11" s="577"/>
      <c r="P11" s="577"/>
      <c r="Q11" s="577"/>
      <c r="R11" s="577"/>
      <c r="S11" s="577"/>
      <c r="T11" s="577"/>
      <c r="U11" s="577"/>
      <c r="V11" s="577"/>
      <c r="W11" s="577"/>
      <c r="X11" s="577"/>
      <c r="Y11" s="577"/>
      <c r="Z11" s="577"/>
      <c r="AA11" s="577"/>
      <c r="AB11" s="577"/>
      <c r="AC11" s="577"/>
      <c r="AD11" s="577"/>
      <c r="AE11" s="577"/>
      <c r="AF11" s="577"/>
      <c r="AG11" s="577"/>
      <c r="AH11" s="577"/>
      <c r="AI11" s="577"/>
      <c r="AJ11" s="577"/>
      <c r="AK11" s="577"/>
      <c r="AL11" s="577"/>
      <c r="AM11" s="577"/>
    </row>
    <row r="12" spans="1:39" ht="13.15" customHeight="1" x14ac:dyDescent="0.2">
      <c r="B12" s="578" t="s">
        <v>504</v>
      </c>
      <c r="C12" s="580" t="s">
        <v>530</v>
      </c>
      <c r="D12" s="582" t="s">
        <v>506</v>
      </c>
      <c r="E12" s="582" t="s">
        <v>507</v>
      </c>
      <c r="F12" s="582" t="s">
        <v>507</v>
      </c>
      <c r="G12" s="582" t="s">
        <v>523</v>
      </c>
      <c r="H12" s="582" t="s">
        <v>531</v>
      </c>
      <c r="I12" s="440" t="s">
        <v>509</v>
      </c>
      <c r="J12" s="440">
        <v>2023</v>
      </c>
      <c r="K12" s="441">
        <f>J12+1</f>
        <v>2024</v>
      </c>
      <c r="L12" s="441">
        <f>K12+1</f>
        <v>2025</v>
      </c>
      <c r="M12" s="441">
        <f t="shared" ref="M12:AK12" si="0">L12+1</f>
        <v>2026</v>
      </c>
      <c r="N12" s="441">
        <f t="shared" si="0"/>
        <v>2027</v>
      </c>
      <c r="O12" s="441">
        <f t="shared" si="0"/>
        <v>2028</v>
      </c>
      <c r="P12" s="441">
        <f t="shared" si="0"/>
        <v>2029</v>
      </c>
      <c r="Q12" s="441">
        <f t="shared" si="0"/>
        <v>2030</v>
      </c>
      <c r="R12" s="441">
        <f t="shared" si="0"/>
        <v>2031</v>
      </c>
      <c r="S12" s="441">
        <f t="shared" si="0"/>
        <v>2032</v>
      </c>
      <c r="T12" s="441">
        <f t="shared" si="0"/>
        <v>2033</v>
      </c>
      <c r="U12" s="441">
        <f t="shared" si="0"/>
        <v>2034</v>
      </c>
      <c r="V12" s="441">
        <f t="shared" si="0"/>
        <v>2035</v>
      </c>
      <c r="W12" s="441">
        <f t="shared" si="0"/>
        <v>2036</v>
      </c>
      <c r="X12" s="441">
        <f t="shared" si="0"/>
        <v>2037</v>
      </c>
      <c r="Y12" s="441">
        <f t="shared" si="0"/>
        <v>2038</v>
      </c>
      <c r="Z12" s="441">
        <f t="shared" si="0"/>
        <v>2039</v>
      </c>
      <c r="AA12" s="441">
        <f t="shared" si="0"/>
        <v>2040</v>
      </c>
      <c r="AB12" s="441">
        <f t="shared" si="0"/>
        <v>2041</v>
      </c>
      <c r="AC12" s="441">
        <f t="shared" si="0"/>
        <v>2042</v>
      </c>
      <c r="AD12" s="441">
        <f t="shared" si="0"/>
        <v>2043</v>
      </c>
      <c r="AE12" s="441">
        <f t="shared" si="0"/>
        <v>2044</v>
      </c>
      <c r="AF12" s="441">
        <f t="shared" si="0"/>
        <v>2045</v>
      </c>
      <c r="AG12" s="441">
        <f t="shared" si="0"/>
        <v>2046</v>
      </c>
      <c r="AH12" s="441">
        <f t="shared" si="0"/>
        <v>2047</v>
      </c>
      <c r="AI12" s="441">
        <f t="shared" si="0"/>
        <v>2048</v>
      </c>
      <c r="AJ12" s="441">
        <f t="shared" si="0"/>
        <v>2049</v>
      </c>
      <c r="AK12" s="441">
        <f t="shared" si="0"/>
        <v>2050</v>
      </c>
      <c r="AL12" s="441">
        <f>AK12+1</f>
        <v>2051</v>
      </c>
      <c r="AM12" s="441">
        <f>AL12+1</f>
        <v>2052</v>
      </c>
    </row>
    <row r="13" spans="1:39" ht="13.15" customHeight="1" x14ac:dyDescent="0.2">
      <c r="B13" s="579"/>
      <c r="C13" s="584"/>
      <c r="D13" s="583"/>
      <c r="E13" s="583"/>
      <c r="F13" s="583"/>
      <c r="G13" s="583"/>
      <c r="H13" s="583"/>
      <c r="I13" s="502" t="s">
        <v>525</v>
      </c>
      <c r="J13" s="503">
        <v>20</v>
      </c>
      <c r="K13" s="504">
        <v>20</v>
      </c>
      <c r="L13" s="504">
        <v>8</v>
      </c>
      <c r="M13" s="504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5"/>
      <c r="AL13" s="505"/>
      <c r="AM13" s="505"/>
    </row>
    <row r="14" spans="1:39" ht="12.4" customHeight="1" thickBot="1" x14ac:dyDescent="0.25">
      <c r="B14" s="579"/>
      <c r="C14" s="581"/>
      <c r="D14" s="583"/>
      <c r="E14" s="583"/>
      <c r="F14" s="583"/>
      <c r="G14" s="583"/>
      <c r="H14" s="583"/>
      <c r="I14" s="442" t="s">
        <v>526</v>
      </c>
      <c r="J14" s="443"/>
      <c r="K14" s="443"/>
      <c r="L14" s="443">
        <v>12</v>
      </c>
      <c r="M14" s="443">
        <v>18</v>
      </c>
      <c r="N14" s="443">
        <v>18</v>
      </c>
      <c r="O14" s="443">
        <v>18</v>
      </c>
      <c r="P14" s="443">
        <v>18</v>
      </c>
      <c r="Q14" s="443">
        <v>18</v>
      </c>
      <c r="R14" s="443">
        <v>18</v>
      </c>
      <c r="S14" s="443">
        <v>18</v>
      </c>
      <c r="T14" s="443">
        <v>18</v>
      </c>
      <c r="U14" s="443">
        <v>18</v>
      </c>
      <c r="V14" s="443">
        <v>18</v>
      </c>
      <c r="W14" s="443">
        <v>18</v>
      </c>
      <c r="X14" s="443">
        <v>18</v>
      </c>
      <c r="Y14" s="443">
        <v>18</v>
      </c>
      <c r="Z14" s="443">
        <v>18</v>
      </c>
      <c r="AA14" s="443">
        <v>18</v>
      </c>
      <c r="AB14" s="443">
        <v>18</v>
      </c>
      <c r="AC14" s="443">
        <v>18</v>
      </c>
      <c r="AD14" s="443">
        <v>18</v>
      </c>
      <c r="AE14" s="443">
        <v>18</v>
      </c>
      <c r="AF14" s="443">
        <v>18</v>
      </c>
      <c r="AG14" s="443">
        <v>18</v>
      </c>
      <c r="AH14" s="443">
        <v>18</v>
      </c>
      <c r="AI14" s="443">
        <v>18</v>
      </c>
      <c r="AJ14" s="443">
        <v>18</v>
      </c>
      <c r="AK14" s="443">
        <v>18</v>
      </c>
      <c r="AL14" s="443">
        <v>18</v>
      </c>
      <c r="AM14" s="443">
        <v>18</v>
      </c>
    </row>
    <row r="15" spans="1:39" s="446" customFormat="1" ht="13.15" customHeight="1" x14ac:dyDescent="0.2">
      <c r="A15" s="413"/>
      <c r="B15" s="579"/>
      <c r="C15" s="580" t="s">
        <v>532</v>
      </c>
      <c r="D15" s="583"/>
      <c r="E15" s="583"/>
      <c r="F15" s="583"/>
      <c r="G15" s="583"/>
      <c r="H15" s="583"/>
      <c r="I15" s="444" t="s">
        <v>512</v>
      </c>
      <c r="J15" s="445">
        <v>1.0972776411419201</v>
      </c>
      <c r="K15" s="445">
        <v>1.0548467771538801</v>
      </c>
      <c r="L15" s="445">
        <v>1.0434231485458401</v>
      </c>
      <c r="M15" s="445">
        <v>1.0218191145881901</v>
      </c>
      <c r="N15" s="445">
        <v>1.0218191145881901</v>
      </c>
      <c r="O15" s="445">
        <v>1.0218191145881901</v>
      </c>
      <c r="P15" s="445">
        <v>1.0218191145881901</v>
      </c>
      <c r="Q15" s="445">
        <v>1.0218191145881901</v>
      </c>
      <c r="R15" s="445">
        <v>1.0218191145881901</v>
      </c>
      <c r="S15" s="445">
        <v>1.0218191145881901</v>
      </c>
      <c r="T15" s="445">
        <v>1.0218191145881901</v>
      </c>
      <c r="U15" s="445">
        <v>1.0218191145881901</v>
      </c>
      <c r="V15" s="445">
        <v>1.0218191145881901</v>
      </c>
      <c r="W15" s="445">
        <v>1.0218191145881901</v>
      </c>
      <c r="X15" s="445">
        <v>1.0218191145881901</v>
      </c>
      <c r="Y15" s="445">
        <v>1.0218191145881901</v>
      </c>
      <c r="Z15" s="445">
        <v>1.0218191145881901</v>
      </c>
      <c r="AA15" s="445">
        <v>1.0218191145881901</v>
      </c>
      <c r="AB15" s="445">
        <v>1.0218191145881901</v>
      </c>
      <c r="AC15" s="445">
        <v>1.0218191145881901</v>
      </c>
      <c r="AD15" s="445">
        <v>1.0218191145881901</v>
      </c>
      <c r="AE15" s="445">
        <v>1.0218191145881901</v>
      </c>
      <c r="AF15" s="445">
        <v>1.0218191145881901</v>
      </c>
      <c r="AG15" s="445">
        <v>1.0218191145881901</v>
      </c>
      <c r="AH15" s="445">
        <v>1.0218191145881901</v>
      </c>
      <c r="AI15" s="445">
        <v>1.0218191145881901</v>
      </c>
      <c r="AJ15" s="445">
        <v>1.0218191145881901</v>
      </c>
      <c r="AK15" s="445">
        <v>1.0218191145881901</v>
      </c>
      <c r="AL15" s="445">
        <v>1.0218191145881901</v>
      </c>
      <c r="AM15" s="445">
        <v>1.0218191145881901</v>
      </c>
    </row>
    <row r="16" spans="1:39" s="446" customFormat="1" ht="16.5" thickBot="1" x14ac:dyDescent="0.25">
      <c r="A16" s="413"/>
      <c r="B16" s="447"/>
      <c r="C16" s="581"/>
      <c r="D16" s="448"/>
      <c r="E16" s="448" t="s">
        <v>528</v>
      </c>
      <c r="F16" s="448" t="s">
        <v>533</v>
      </c>
      <c r="G16" s="448"/>
      <c r="H16" s="448"/>
      <c r="I16" s="449" t="s">
        <v>513</v>
      </c>
      <c r="J16" s="450">
        <f>1*J15</f>
        <v>1.0972776411419201</v>
      </c>
      <c r="K16" s="451">
        <f>J16*K15</f>
        <v>1.1574597834015661</v>
      </c>
      <c r="L16" s="451">
        <f t="shared" ref="L16" si="1">K16*L15</f>
        <v>1.2077203315120482</v>
      </c>
      <c r="M16" s="451">
        <f>L16*M15</f>
        <v>1.2340717198157964</v>
      </c>
      <c r="N16" s="451">
        <f>M16*N15</f>
        <v>1.2609980720805021</v>
      </c>
      <c r="O16" s="451">
        <f>N16*O15</f>
        <v>1.2885119335107134</v>
      </c>
      <c r="P16" s="451">
        <f t="shared" ref="P16:AM16" si="2">O16*P15</f>
        <v>1.3166261230362339</v>
      </c>
      <c r="Q16" s="451">
        <f t="shared" si="2"/>
        <v>1.345353739284566</v>
      </c>
      <c r="R16" s="451">
        <f t="shared" si="2"/>
        <v>1.374708166683666</v>
      </c>
      <c r="S16" s="451">
        <f t="shared" si="2"/>
        <v>1.4047030816978576</v>
      </c>
      <c r="T16" s="451">
        <f t="shared" si="2"/>
        <v>1.4353524591998068</v>
      </c>
      <c r="U16" s="451">
        <f t="shared" si="2"/>
        <v>1.4666705789815278</v>
      </c>
      <c r="V16" s="451">
        <f t="shared" si="2"/>
        <v>1.4986720324074527</v>
      </c>
      <c r="W16" s="451">
        <f t="shared" si="2"/>
        <v>1.5313717292126667</v>
      </c>
      <c r="X16" s="451">
        <f t="shared" si="2"/>
        <v>1.5647849044494726</v>
      </c>
      <c r="Y16" s="451">
        <f t="shared" si="2"/>
        <v>1.5989271255855257</v>
      </c>
      <c r="Z16" s="451">
        <f t="shared" si="2"/>
        <v>1.6338142997568417</v>
      </c>
      <c r="AA16" s="451">
        <f t="shared" si="2"/>
        <v>1.6694626811790598</v>
      </c>
      <c r="AB16" s="451">
        <f t="shared" si="2"/>
        <v>1.7058888787204127</v>
      </c>
      <c r="AC16" s="451">
        <f t="shared" si="2"/>
        <v>1.7431098636399325</v>
      </c>
      <c r="AD16" s="451">
        <f t="shared" si="2"/>
        <v>1.7811429774944965</v>
      </c>
      <c r="AE16" s="451">
        <f t="shared" si="2"/>
        <v>1.820005940218399</v>
      </c>
      <c r="AF16" s="451">
        <f t="shared" si="2"/>
        <v>1.859716858379211</v>
      </c>
      <c r="AG16" s="451">
        <f t="shared" si="2"/>
        <v>1.9002942336137758</v>
      </c>
      <c r="AH16" s="451">
        <f t="shared" si="2"/>
        <v>1.9417569712482716</v>
      </c>
      <c r="AI16" s="451">
        <f t="shared" si="2"/>
        <v>1.9841243891063545</v>
      </c>
      <c r="AJ16" s="451">
        <f t="shared" si="2"/>
        <v>2.0274162265094886</v>
      </c>
      <c r="AK16" s="451">
        <f t="shared" si="2"/>
        <v>2.071652653473655</v>
      </c>
      <c r="AL16" s="451">
        <f t="shared" si="2"/>
        <v>2.1168542801067249</v>
      </c>
      <c r="AM16" s="451">
        <f t="shared" si="2"/>
        <v>2.1630421662108743</v>
      </c>
    </row>
    <row r="17" spans="1:43" x14ac:dyDescent="0.2">
      <c r="B17" s="452" t="s">
        <v>514</v>
      </c>
      <c r="C17" s="453" t="s">
        <v>515</v>
      </c>
      <c r="D17" s="454">
        <v>0.16132344874148152</v>
      </c>
      <c r="E17" s="455">
        <v>172198.71885534245</v>
      </c>
      <c r="F17" s="506"/>
      <c r="G17" s="507">
        <f>D17*E17</f>
        <v>27779.691194608626</v>
      </c>
      <c r="H17" s="508"/>
      <c r="I17" s="457"/>
      <c r="J17" s="458">
        <f>($G$17*J16)*J13</f>
        <v>609640.68051342247</v>
      </c>
      <c r="K17" s="458">
        <f>($G$17*K16)*K13</f>
        <v>643077.50706148183</v>
      </c>
      <c r="L17" s="458">
        <f>($G$17*L16)*L13</f>
        <v>268400.78287084046</v>
      </c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  <c r="AF17" s="465"/>
      <c r="AG17" s="465"/>
      <c r="AH17" s="465"/>
      <c r="AI17" s="465"/>
      <c r="AJ17" s="465"/>
      <c r="AK17" s="465"/>
      <c r="AL17" s="465"/>
      <c r="AM17" s="465"/>
      <c r="AN17" s="446"/>
      <c r="AO17" s="446"/>
      <c r="AP17" s="446"/>
      <c r="AQ17" s="446"/>
    </row>
    <row r="18" spans="1:43" x14ac:dyDescent="0.2">
      <c r="B18" s="459" t="s">
        <v>516</v>
      </c>
      <c r="C18" s="460" t="s">
        <v>515</v>
      </c>
      <c r="D18" s="509">
        <v>0.52600000000000002</v>
      </c>
      <c r="E18" s="462"/>
      <c r="F18" s="510">
        <f>$E$8*$G$8</f>
        <v>229292.60999117198</v>
      </c>
      <c r="G18" s="512"/>
      <c r="H18" s="467">
        <f>D18*F18</f>
        <v>120607.91285535647</v>
      </c>
      <c r="I18" s="464"/>
      <c r="J18" s="465"/>
      <c r="K18" s="465"/>
      <c r="L18" s="458">
        <f>$H$18*L14</f>
        <v>1447294.9542642776</v>
      </c>
      <c r="M18" s="458">
        <f>$H$18*M14</f>
        <v>2170942.4313964164</v>
      </c>
      <c r="N18" s="458">
        <f t="shared" ref="N18:AM18" si="3">$H$18*N14</f>
        <v>2170942.4313964164</v>
      </c>
      <c r="O18" s="458">
        <f t="shared" si="3"/>
        <v>2170942.4313964164</v>
      </c>
      <c r="P18" s="458">
        <f t="shared" si="3"/>
        <v>2170942.4313964164</v>
      </c>
      <c r="Q18" s="458">
        <f t="shared" si="3"/>
        <v>2170942.4313964164</v>
      </c>
      <c r="R18" s="458">
        <f t="shared" si="3"/>
        <v>2170942.4313964164</v>
      </c>
      <c r="S18" s="458">
        <f t="shared" si="3"/>
        <v>2170942.4313964164</v>
      </c>
      <c r="T18" s="458">
        <f t="shared" si="3"/>
        <v>2170942.4313964164</v>
      </c>
      <c r="U18" s="458">
        <f t="shared" si="3"/>
        <v>2170942.4313964164</v>
      </c>
      <c r="V18" s="458">
        <f t="shared" si="3"/>
        <v>2170942.4313964164</v>
      </c>
      <c r="W18" s="458">
        <f t="shared" si="3"/>
        <v>2170942.4313964164</v>
      </c>
      <c r="X18" s="458">
        <f t="shared" si="3"/>
        <v>2170942.4313964164</v>
      </c>
      <c r="Y18" s="458">
        <f t="shared" si="3"/>
        <v>2170942.4313964164</v>
      </c>
      <c r="Z18" s="458">
        <f t="shared" si="3"/>
        <v>2170942.4313964164</v>
      </c>
      <c r="AA18" s="458">
        <f t="shared" si="3"/>
        <v>2170942.4313964164</v>
      </c>
      <c r="AB18" s="458">
        <f t="shared" si="3"/>
        <v>2170942.4313964164</v>
      </c>
      <c r="AC18" s="458">
        <f t="shared" si="3"/>
        <v>2170942.4313964164</v>
      </c>
      <c r="AD18" s="458">
        <f t="shared" si="3"/>
        <v>2170942.4313964164</v>
      </c>
      <c r="AE18" s="458">
        <f t="shared" si="3"/>
        <v>2170942.4313964164</v>
      </c>
      <c r="AF18" s="458">
        <f t="shared" si="3"/>
        <v>2170942.4313964164</v>
      </c>
      <c r="AG18" s="458">
        <f t="shared" si="3"/>
        <v>2170942.4313964164</v>
      </c>
      <c r="AH18" s="458">
        <f t="shared" si="3"/>
        <v>2170942.4313964164</v>
      </c>
      <c r="AI18" s="458">
        <f t="shared" si="3"/>
        <v>2170942.4313964164</v>
      </c>
      <c r="AJ18" s="458">
        <f t="shared" si="3"/>
        <v>2170942.4313964164</v>
      </c>
      <c r="AK18" s="458">
        <f t="shared" si="3"/>
        <v>2170942.4313964164</v>
      </c>
      <c r="AL18" s="458">
        <f t="shared" si="3"/>
        <v>2170942.4313964164</v>
      </c>
      <c r="AM18" s="458">
        <f t="shared" si="3"/>
        <v>2170942.4313964164</v>
      </c>
      <c r="AN18" s="446"/>
      <c r="AO18" s="446"/>
      <c r="AP18" s="446"/>
      <c r="AQ18" s="446"/>
    </row>
    <row r="19" spans="1:43" x14ac:dyDescent="0.2">
      <c r="A19" s="446"/>
      <c r="B19" s="459" t="s">
        <v>517</v>
      </c>
      <c r="C19" s="460" t="s">
        <v>515</v>
      </c>
      <c r="D19" s="466">
        <v>0.10113886630280072</v>
      </c>
      <c r="E19" s="467">
        <v>172198.71885534245</v>
      </c>
      <c r="F19" s="510">
        <f>$E$8*$G$8</f>
        <v>229292.60999117198</v>
      </c>
      <c r="G19" s="510">
        <f>D19*E19</f>
        <v>17415.983203824049</v>
      </c>
      <c r="H19" s="511">
        <f t="shared" ref="H19:H22" si="4">D19*F19</f>
        <v>23190.394626117373</v>
      </c>
      <c r="I19" s="464"/>
      <c r="J19" s="458">
        <f>($G$19*J16)*J13</f>
        <v>382203.37936118705</v>
      </c>
      <c r="K19" s="458">
        <f t="shared" ref="K19" si="5">($G$19*K16)*K13</f>
        <v>403166.00293646997</v>
      </c>
      <c r="L19" s="458">
        <f>(($G$19*L16)*L13)+(($H$19*L16)*L14)</f>
        <v>504359.22909724154</v>
      </c>
      <c r="M19" s="458">
        <f>($H$19*M16)*M14</f>
        <v>515134.98323027405</v>
      </c>
      <c r="N19" s="458">
        <f>($H$19*N16)*N14</f>
        <v>526374.77245776076</v>
      </c>
      <c r="O19" s="458">
        <f t="shared" ref="O19:AM19" si="6">($H$19*O16)*O14</f>
        <v>537859.80393434921</v>
      </c>
      <c r="P19" s="458">
        <f t="shared" si="6"/>
        <v>549595.42862877424</v>
      </c>
      <c r="Q19" s="458">
        <f t="shared" si="6"/>
        <v>561587.11426317086</v>
      </c>
      <c r="R19" s="458">
        <f t="shared" si="6"/>
        <v>573840.44786053</v>
      </c>
      <c r="S19" s="458">
        <f t="shared" si="6"/>
        <v>586361.13834773726</v>
      </c>
      <c r="T19" s="458">
        <f t="shared" si="6"/>
        <v>599155.01921540801</v>
      </c>
      <c r="U19" s="458">
        <f t="shared" si="6"/>
        <v>612228.05123575823</v>
      </c>
      <c r="V19" s="458">
        <f t="shared" si="6"/>
        <v>625586.32523977559</v>
      </c>
      <c r="W19" s="458">
        <f t="shared" si="6"/>
        <v>639236.06495498691</v>
      </c>
      <c r="X19" s="458">
        <f t="shared" si="6"/>
        <v>653183.62990514352</v>
      </c>
      <c r="Y19" s="458">
        <f t="shared" si="6"/>
        <v>667435.51837317378</v>
      </c>
      <c r="Z19" s="458">
        <f t="shared" si="6"/>
        <v>681998.37042878603</v>
      </c>
      <c r="AA19" s="458">
        <f t="shared" si="6"/>
        <v>696878.97102213069</v>
      </c>
      <c r="AB19" s="458">
        <f t="shared" si="6"/>
        <v>712084.25314496248</v>
      </c>
      <c r="AC19" s="458">
        <f t="shared" si="6"/>
        <v>727621.30106077809</v>
      </c>
      <c r="AD19" s="458">
        <f t="shared" si="6"/>
        <v>743497.35360543127</v>
      </c>
      <c r="AE19" s="458">
        <f t="shared" si="6"/>
        <v>759719.80755976425</v>
      </c>
      <c r="AF19" s="458">
        <f t="shared" si="6"/>
        <v>776296.22109582846</v>
      </c>
      <c r="AG19" s="458">
        <f t="shared" si="6"/>
        <v>793234.3172982973</v>
      </c>
      <c r="AH19" s="458">
        <f t="shared" si="6"/>
        <v>810541.98776271357</v>
      </c>
      <c r="AI19" s="458">
        <f t="shared" si="6"/>
        <v>828227.29627224745</v>
      </c>
      <c r="AJ19" s="458">
        <f t="shared" si="6"/>
        <v>846298.48255467857</v>
      </c>
      <c r="AK19" s="458">
        <f>($H$19*AK16)*AK14</f>
        <v>864763.96612135042</v>
      </c>
      <c r="AL19" s="458">
        <f t="shared" si="6"/>
        <v>883632.35018989001</v>
      </c>
      <c r="AM19" s="458">
        <f t="shared" si="6"/>
        <v>902912.42569251498</v>
      </c>
    </row>
    <row r="20" spans="1:43" x14ac:dyDescent="0.2">
      <c r="B20" s="459" t="s">
        <v>284</v>
      </c>
      <c r="C20" s="460" t="s">
        <v>515</v>
      </c>
      <c r="D20" s="469"/>
      <c r="E20" s="470"/>
      <c r="F20" s="512"/>
      <c r="G20" s="512"/>
      <c r="H20" s="470"/>
      <c r="I20" s="464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5"/>
      <c r="AK20" s="465"/>
      <c r="AL20" s="465"/>
      <c r="AM20" s="465"/>
    </row>
    <row r="21" spans="1:43" x14ac:dyDescent="0.2">
      <c r="B21" s="459" t="s">
        <v>287</v>
      </c>
      <c r="C21" s="460" t="s">
        <v>515</v>
      </c>
      <c r="D21" s="469"/>
      <c r="E21" s="470"/>
      <c r="F21" s="512"/>
      <c r="G21" s="512"/>
      <c r="H21" s="470"/>
      <c r="I21" s="464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  <c r="AL21" s="465"/>
      <c r="AM21" s="465"/>
    </row>
    <row r="22" spans="1:43" x14ac:dyDescent="0.2">
      <c r="B22" s="459" t="s">
        <v>518</v>
      </c>
      <c r="C22" s="460" t="s">
        <v>515</v>
      </c>
      <c r="D22" s="466">
        <v>5.8272533477451517E-2</v>
      </c>
      <c r="E22" s="467">
        <v>172198.71885534245</v>
      </c>
      <c r="F22" s="510">
        <f>$E$8*$G$8</f>
        <v>229292.60999117198</v>
      </c>
      <c r="G22" s="510">
        <f>D22*E22</f>
        <v>10034.455609272205</v>
      </c>
      <c r="H22" s="511">
        <f t="shared" si="4"/>
        <v>13361.461291842803</v>
      </c>
      <c r="I22" s="464"/>
      <c r="J22" s="458">
        <f>($G$22*J16)*J13</f>
        <v>220211.67562171028</v>
      </c>
      <c r="K22" s="458">
        <f t="shared" ref="K22" si="7">($G$22*K16)*K13</f>
        <v>232289.57632121674</v>
      </c>
      <c r="L22" s="458">
        <f>(($G$22*L16)*L13)+(($H$22*L16)*L14)</f>
        <v>290593.42997022276</v>
      </c>
      <c r="M22" s="458">
        <f>($H$22*M16)*M14</f>
        <v>296802.02728217957</v>
      </c>
      <c r="N22" s="458">
        <f>($H$22*N16)*N14</f>
        <v>303277.98472545657</v>
      </c>
      <c r="O22" s="458">
        <f t="shared" ref="O22:AM22" si="8">($H$22*O16)*O14</f>
        <v>309895.24182625662</v>
      </c>
      <c r="P22" s="458">
        <f t="shared" si="8"/>
        <v>316656.88161799859</v>
      </c>
      <c r="Q22" s="458">
        <f t="shared" si="8"/>
        <v>323566.0544031607</v>
      </c>
      <c r="R22" s="458">
        <f t="shared" si="8"/>
        <v>330625.97922103177</v>
      </c>
      <c r="S22" s="458">
        <f t="shared" si="8"/>
        <v>337839.94534748804</v>
      </c>
      <c r="T22" s="458">
        <f t="shared" si="8"/>
        <v>345211.3138274927</v>
      </c>
      <c r="U22" s="458">
        <f t="shared" si="8"/>
        <v>352743.51904103439</v>
      </c>
      <c r="V22" s="458">
        <f t="shared" si="8"/>
        <v>360440.07030323212</v>
      </c>
      <c r="W22" s="458">
        <f t="shared" si="8"/>
        <v>368304.55349935364</v>
      </c>
      <c r="X22" s="458">
        <f t="shared" si="8"/>
        <v>376340.63275550824</v>
      </c>
      <c r="Y22" s="458">
        <f t="shared" si="8"/>
        <v>384552.05214579258</v>
      </c>
      <c r="Z22" s="458">
        <f t="shared" si="8"/>
        <v>392942.63743668527</v>
      </c>
      <c r="AA22" s="458">
        <f t="shared" si="8"/>
        <v>401516.29786950198</v>
      </c>
      <c r="AB22" s="458">
        <f t="shared" si="8"/>
        <v>410277.02798174252</v>
      </c>
      <c r="AC22" s="458">
        <f t="shared" si="8"/>
        <v>419228.90946817817</v>
      </c>
      <c r="AD22" s="458">
        <f t="shared" si="8"/>
        <v>428376.11308254633</v>
      </c>
      <c r="AE22" s="458">
        <f t="shared" si="8"/>
        <v>437722.90058073786</v>
      </c>
      <c r="AF22" s="458">
        <f t="shared" si="8"/>
        <v>447273.62670638401</v>
      </c>
      <c r="AG22" s="458">
        <f t="shared" si="8"/>
        <v>457032.74121976591</v>
      </c>
      <c r="AH22" s="458">
        <f t="shared" si="8"/>
        <v>467004.79097099463</v>
      </c>
      <c r="AI22" s="458">
        <f t="shared" si="8"/>
        <v>477194.42201842443</v>
      </c>
      <c r="AJ22" s="458">
        <f t="shared" si="8"/>
        <v>487606.38179328956</v>
      </c>
      <c r="AK22" s="458">
        <f t="shared" si="8"/>
        <v>498245.52131157008</v>
      </c>
      <c r="AL22" s="458">
        <f t="shared" si="8"/>
        <v>509116.7974341198</v>
      </c>
      <c r="AM22" s="458">
        <f t="shared" si="8"/>
        <v>520225.27517610724</v>
      </c>
    </row>
    <row r="23" spans="1:43" x14ac:dyDescent="0.2">
      <c r="B23" s="459" t="s">
        <v>519</v>
      </c>
      <c r="C23" s="460" t="s">
        <v>515</v>
      </c>
      <c r="D23" s="471"/>
      <c r="E23" s="470"/>
      <c r="F23" s="512"/>
      <c r="G23" s="512"/>
      <c r="H23" s="470"/>
      <c r="I23" s="464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  <c r="AD23" s="465"/>
      <c r="AE23" s="465"/>
      <c r="AF23" s="465"/>
      <c r="AG23" s="465"/>
      <c r="AH23" s="465"/>
      <c r="AI23" s="465"/>
      <c r="AJ23" s="465"/>
      <c r="AK23" s="465"/>
      <c r="AL23" s="465"/>
      <c r="AM23" s="465"/>
    </row>
    <row r="24" spans="1:43" s="446" customFormat="1" x14ac:dyDescent="0.2">
      <c r="A24" s="413"/>
      <c r="B24" s="459" t="s">
        <v>330</v>
      </c>
      <c r="C24" s="460" t="s">
        <v>515</v>
      </c>
      <c r="D24" s="466">
        <v>0.23601731887373034</v>
      </c>
      <c r="E24" s="467">
        <v>172198.71885534245</v>
      </c>
      <c r="F24" s="510">
        <f>$E$8*$G$8</f>
        <v>229292.60999117198</v>
      </c>
      <c r="G24" s="510">
        <f>D24*E24</f>
        <v>40641.879937729202</v>
      </c>
      <c r="H24" s="511">
        <f t="shared" ref="H24:H25" si="9">D24*F24</f>
        <v>54117.027047676325</v>
      </c>
      <c r="I24" s="464"/>
      <c r="J24" s="458">
        <f>$G$24*J13</f>
        <v>812837.59875458409</v>
      </c>
      <c r="K24" s="458">
        <f t="shared" ref="K24" si="10">$G$24*K13</f>
        <v>812837.59875458409</v>
      </c>
      <c r="L24" s="458">
        <f>($G$24*L13)+($H$24*L14)</f>
        <v>974539.36407394952</v>
      </c>
      <c r="M24" s="458">
        <f>$H$24*M14</f>
        <v>974106.48685817386</v>
      </c>
      <c r="N24" s="458">
        <f>$H$24*N14</f>
        <v>974106.48685817386</v>
      </c>
      <c r="O24" s="458">
        <f t="shared" ref="O24:AM24" si="11">$H$24*O14</f>
        <v>974106.48685817386</v>
      </c>
      <c r="P24" s="458">
        <f t="shared" si="11"/>
        <v>974106.48685817386</v>
      </c>
      <c r="Q24" s="458">
        <f t="shared" si="11"/>
        <v>974106.48685817386</v>
      </c>
      <c r="R24" s="458">
        <f t="shared" si="11"/>
        <v>974106.48685817386</v>
      </c>
      <c r="S24" s="458">
        <f t="shared" si="11"/>
        <v>974106.48685817386</v>
      </c>
      <c r="T24" s="458">
        <f t="shared" si="11"/>
        <v>974106.48685817386</v>
      </c>
      <c r="U24" s="458">
        <f t="shared" si="11"/>
        <v>974106.48685817386</v>
      </c>
      <c r="V24" s="458">
        <f t="shared" si="11"/>
        <v>974106.48685817386</v>
      </c>
      <c r="W24" s="458">
        <f t="shared" si="11"/>
        <v>974106.48685817386</v>
      </c>
      <c r="X24" s="458">
        <f t="shared" si="11"/>
        <v>974106.48685817386</v>
      </c>
      <c r="Y24" s="458">
        <f t="shared" si="11"/>
        <v>974106.48685817386</v>
      </c>
      <c r="Z24" s="458">
        <f t="shared" si="11"/>
        <v>974106.48685817386</v>
      </c>
      <c r="AA24" s="458">
        <f t="shared" si="11"/>
        <v>974106.48685817386</v>
      </c>
      <c r="AB24" s="458">
        <f t="shared" si="11"/>
        <v>974106.48685817386</v>
      </c>
      <c r="AC24" s="458">
        <f t="shared" si="11"/>
        <v>974106.48685817386</v>
      </c>
      <c r="AD24" s="458">
        <f t="shared" si="11"/>
        <v>974106.48685817386</v>
      </c>
      <c r="AE24" s="458">
        <f t="shared" si="11"/>
        <v>974106.48685817386</v>
      </c>
      <c r="AF24" s="458">
        <f t="shared" si="11"/>
        <v>974106.48685817386</v>
      </c>
      <c r="AG24" s="458">
        <f t="shared" si="11"/>
        <v>974106.48685817386</v>
      </c>
      <c r="AH24" s="458">
        <f t="shared" si="11"/>
        <v>974106.48685817386</v>
      </c>
      <c r="AI24" s="458">
        <f t="shared" si="11"/>
        <v>974106.48685817386</v>
      </c>
      <c r="AJ24" s="458">
        <f t="shared" si="11"/>
        <v>974106.48685817386</v>
      </c>
      <c r="AK24" s="458">
        <f t="shared" si="11"/>
        <v>974106.48685817386</v>
      </c>
      <c r="AL24" s="458">
        <f t="shared" si="11"/>
        <v>974106.48685817386</v>
      </c>
      <c r="AM24" s="458">
        <f t="shared" si="11"/>
        <v>974106.48685817386</v>
      </c>
      <c r="AN24" s="413"/>
      <c r="AO24" s="413"/>
      <c r="AP24" s="413"/>
      <c r="AQ24" s="413"/>
    </row>
    <row r="25" spans="1:43" s="446" customFormat="1" ht="13.5" thickBot="1" x14ac:dyDescent="0.25">
      <c r="A25" s="413"/>
      <c r="B25" s="472" t="s">
        <v>520</v>
      </c>
      <c r="C25" s="473" t="s">
        <v>515</v>
      </c>
      <c r="D25" s="474">
        <v>0.68129349210071299</v>
      </c>
      <c r="E25" s="475">
        <v>172198.71885534245</v>
      </c>
      <c r="F25" s="513">
        <f>$E$8*$G$8</f>
        <v>229292.60999117198</v>
      </c>
      <c r="G25" s="513">
        <f>D25*E25</f>
        <v>117317.86650422515</v>
      </c>
      <c r="H25" s="511">
        <f t="shared" si="9"/>
        <v>156215.56297377238</v>
      </c>
      <c r="I25" s="464"/>
      <c r="J25" s="477">
        <f>($G$25*J16)*J13</f>
        <v>2574605.436431177</v>
      </c>
      <c r="K25" s="477">
        <f t="shared" ref="K25" si="12">($G$25*K16)*K13</f>
        <v>2715814.2470622859</v>
      </c>
      <c r="L25" s="477">
        <f>(($G$25*L16)*L13)+(($H$25*L16)*L14)</f>
        <v>3397473.9190384597</v>
      </c>
      <c r="M25" s="477">
        <f>($H$25*M16)*M14</f>
        <v>3470061.7522986503</v>
      </c>
      <c r="N25" s="477">
        <f>($H$25*N16)*N14</f>
        <v>3545775.42730015</v>
      </c>
      <c r="O25" s="477">
        <f t="shared" ref="O25:AM25" si="13">($H$25*O16)*O14</f>
        <v>3623141.1076524011</v>
      </c>
      <c r="P25" s="477">
        <f t="shared" si="13"/>
        <v>3702194.8386494503</v>
      </c>
      <c r="Q25" s="477">
        <f t="shared" si="13"/>
        <v>3782973.4520617491</v>
      </c>
      <c r="R25" s="477">
        <f t="shared" si="13"/>
        <v>3865514.5832963651</v>
      </c>
      <c r="S25" s="477">
        <f t="shared" si="13"/>
        <v>3949856.6889316281</v>
      </c>
      <c r="T25" s="477">
        <f t="shared" si="13"/>
        <v>4036039.0646343566</v>
      </c>
      <c r="U25" s="477">
        <f t="shared" si="13"/>
        <v>4124101.8634680249</v>
      </c>
      <c r="V25" s="477">
        <f t="shared" si="13"/>
        <v>4214086.1146004014</v>
      </c>
      <c r="W25" s="477">
        <f t="shared" si="13"/>
        <v>4306033.7424193686</v>
      </c>
      <c r="X25" s="477">
        <f t="shared" si="13"/>
        <v>4399987.5860658297</v>
      </c>
      <c r="Y25" s="477">
        <f t="shared" si="13"/>
        <v>4495991.4193928139</v>
      </c>
      <c r="Z25" s="477">
        <f t="shared" si="13"/>
        <v>4594089.971360065</v>
      </c>
      <c r="AA25" s="477">
        <f t="shared" si="13"/>
        <v>4694328.9468736257</v>
      </c>
      <c r="AB25" s="477">
        <f t="shared" si="13"/>
        <v>4796755.0480801184</v>
      </c>
      <c r="AC25" s="477">
        <f t="shared" si="13"/>
        <v>4901415.996125658</v>
      </c>
      <c r="AD25" s="477">
        <f t="shared" si="13"/>
        <v>5008360.5533895111</v>
      </c>
      <c r="AE25" s="477">
        <f t="shared" si="13"/>
        <v>5117638.5462028878</v>
      </c>
      <c r="AF25" s="477">
        <f t="shared" si="13"/>
        <v>5229300.8880634271</v>
      </c>
      <c r="AG25" s="477">
        <f t="shared" si="13"/>
        <v>5343399.6033562087</v>
      </c>
      <c r="AH25" s="477">
        <f t="shared" si="13"/>
        <v>5459987.8515923256</v>
      </c>
      <c r="AI25" s="477">
        <f t="shared" si="13"/>
        <v>5579119.9521763446</v>
      </c>
      <c r="AJ25" s="477">
        <f t="shared" si="13"/>
        <v>5700851.4097141381</v>
      </c>
      <c r="AK25" s="477">
        <f t="shared" si="13"/>
        <v>5825238.9398729354</v>
      </c>
      <c r="AL25" s="477">
        <f t="shared" si="13"/>
        <v>5952340.49580561</v>
      </c>
      <c r="AM25" s="477">
        <f t="shared" si="13"/>
        <v>6082215.2951515168</v>
      </c>
      <c r="AN25" s="413"/>
      <c r="AO25" s="413"/>
      <c r="AP25" s="413"/>
      <c r="AQ25" s="413"/>
    </row>
    <row r="26" spans="1:43" s="446" customFormat="1" ht="13.5" thickBot="1" x14ac:dyDescent="0.25">
      <c r="A26" s="413"/>
      <c r="B26" s="478" t="s">
        <v>353</v>
      </c>
      <c r="C26" s="479" t="s">
        <v>0</v>
      </c>
      <c r="D26" s="464"/>
      <c r="E26" s="480"/>
      <c r="F26" s="480"/>
      <c r="G26" s="480"/>
      <c r="H26" s="481"/>
      <c r="I26" s="481"/>
      <c r="J26" s="482">
        <f>SUM(J17:J25)</f>
        <v>4599498.7706820806</v>
      </c>
      <c r="K26" s="482">
        <f t="shared" ref="K26:AM26" si="14">SUM(K17:K25)</f>
        <v>4807184.9321360383</v>
      </c>
      <c r="L26" s="482">
        <f t="shared" si="14"/>
        <v>6882661.6793149915</v>
      </c>
      <c r="M26" s="482">
        <f t="shared" si="14"/>
        <v>7427047.6810656935</v>
      </c>
      <c r="N26" s="483">
        <f t="shared" si="14"/>
        <v>7520477.1027379576</v>
      </c>
      <c r="O26" s="483">
        <f t="shared" si="14"/>
        <v>7615945.0716675967</v>
      </c>
      <c r="P26" s="483">
        <f t="shared" si="14"/>
        <v>7713496.0671508135</v>
      </c>
      <c r="Q26" s="483">
        <f t="shared" si="14"/>
        <v>7813175.5389826708</v>
      </c>
      <c r="R26" s="483">
        <f t="shared" si="14"/>
        <v>7915029.9286325164</v>
      </c>
      <c r="S26" s="483">
        <f t="shared" si="14"/>
        <v>8019106.6908814441</v>
      </c>
      <c r="T26" s="483">
        <f t="shared" si="14"/>
        <v>8125454.3159318473</v>
      </c>
      <c r="U26" s="483">
        <f t="shared" si="14"/>
        <v>8234122.3519994076</v>
      </c>
      <c r="V26" s="483">
        <f t="shared" si="14"/>
        <v>8345161.4283979991</v>
      </c>
      <c r="W26" s="483">
        <f t="shared" si="14"/>
        <v>8458623.2791282982</v>
      </c>
      <c r="X26" s="483">
        <f t="shared" si="14"/>
        <v>8574560.7669810727</v>
      </c>
      <c r="Y26" s="483">
        <f t="shared" si="14"/>
        <v>8693027.9081663713</v>
      </c>
      <c r="Z26" s="483">
        <f t="shared" si="14"/>
        <v>8814079.8974801265</v>
      </c>
      <c r="AA26" s="483">
        <f t="shared" si="14"/>
        <v>8937773.134019848</v>
      </c>
      <c r="AB26" s="483">
        <f t="shared" si="14"/>
        <v>9064165.247461414</v>
      </c>
      <c r="AC26" s="483">
        <f t="shared" si="14"/>
        <v>9193315.1249092035</v>
      </c>
      <c r="AD26" s="483">
        <f t="shared" si="14"/>
        <v>9325282.938332079</v>
      </c>
      <c r="AE26" s="483">
        <f t="shared" si="14"/>
        <v>9460130.1725979801</v>
      </c>
      <c r="AF26" s="483">
        <f t="shared" si="14"/>
        <v>9597919.6541202292</v>
      </c>
      <c r="AG26" s="483">
        <f t="shared" si="14"/>
        <v>9738715.5801288635</v>
      </c>
      <c r="AH26" s="483">
        <f t="shared" si="14"/>
        <v>9882583.5485806242</v>
      </c>
      <c r="AI26" s="483">
        <f t="shared" si="14"/>
        <v>10029590.588721607</v>
      </c>
      <c r="AJ26" s="483">
        <f t="shared" si="14"/>
        <v>10179805.192316696</v>
      </c>
      <c r="AK26" s="483">
        <f t="shared" si="14"/>
        <v>10333297.345560446</v>
      </c>
      <c r="AL26" s="483">
        <f t="shared" si="14"/>
        <v>10490138.56168421</v>
      </c>
      <c r="AM26" s="484">
        <f t="shared" si="14"/>
        <v>10650401.91427473</v>
      </c>
      <c r="AN26" s="413"/>
      <c r="AO26" s="413"/>
      <c r="AP26" s="413"/>
      <c r="AQ26" s="413"/>
    </row>
    <row r="27" spans="1:43" x14ac:dyDescent="0.2">
      <c r="J27" s="438"/>
      <c r="M27" s="438"/>
    </row>
    <row r="28" spans="1:43" x14ac:dyDescent="0.2">
      <c r="K28" s="438"/>
    </row>
    <row r="29" spans="1:43" x14ac:dyDescent="0.2">
      <c r="A29" s="2"/>
      <c r="B29" s="2"/>
      <c r="C29" s="3"/>
      <c r="D29" s="3" t="s">
        <v>10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43" x14ac:dyDescent="0.2">
      <c r="A30" s="2"/>
      <c r="B30" s="4" t="s">
        <v>57</v>
      </c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</row>
    <row r="31" spans="1:43" x14ac:dyDescent="0.2">
      <c r="A31" s="2"/>
      <c r="B31" s="6" t="s">
        <v>32</v>
      </c>
      <c r="C31" s="6" t="s">
        <v>9</v>
      </c>
      <c r="D31" s="7">
        <v>2023</v>
      </c>
      <c r="E31" s="7">
        <f>$D$31+D30</f>
        <v>2024</v>
      </c>
      <c r="F31" s="7">
        <f>$D$31+E30</f>
        <v>2025</v>
      </c>
      <c r="G31" s="7">
        <f>$D$31+F30</f>
        <v>2026</v>
      </c>
      <c r="H31" s="7">
        <f t="shared" ref="H31:AG31" si="15">$D$31+G30</f>
        <v>2027</v>
      </c>
      <c r="I31" s="7">
        <f t="shared" si="15"/>
        <v>2028</v>
      </c>
      <c r="J31" s="7">
        <f t="shared" si="15"/>
        <v>2029</v>
      </c>
      <c r="K31" s="7">
        <f t="shared" si="15"/>
        <v>2030</v>
      </c>
      <c r="L31" s="7">
        <f t="shared" si="15"/>
        <v>2031</v>
      </c>
      <c r="M31" s="7">
        <f t="shared" si="15"/>
        <v>2032</v>
      </c>
      <c r="N31" s="7">
        <f t="shared" si="15"/>
        <v>2033</v>
      </c>
      <c r="O31" s="7">
        <f t="shared" si="15"/>
        <v>2034</v>
      </c>
      <c r="P31" s="7">
        <f t="shared" si="15"/>
        <v>2035</v>
      </c>
      <c r="Q31" s="7">
        <f t="shared" si="15"/>
        <v>2036</v>
      </c>
      <c r="R31" s="7">
        <f t="shared" si="15"/>
        <v>2037</v>
      </c>
      <c r="S31" s="7">
        <f t="shared" si="15"/>
        <v>2038</v>
      </c>
      <c r="T31" s="7">
        <f t="shared" si="15"/>
        <v>2039</v>
      </c>
      <c r="U31" s="7">
        <f t="shared" si="15"/>
        <v>2040</v>
      </c>
      <c r="V31" s="7">
        <f t="shared" si="15"/>
        <v>2041</v>
      </c>
      <c r="W31" s="7">
        <f t="shared" si="15"/>
        <v>2042</v>
      </c>
      <c r="X31" s="7">
        <f t="shared" si="15"/>
        <v>2043</v>
      </c>
      <c r="Y31" s="7">
        <f t="shared" si="15"/>
        <v>2044</v>
      </c>
      <c r="Z31" s="7">
        <f t="shared" si="15"/>
        <v>2045</v>
      </c>
      <c r="AA31" s="7">
        <f t="shared" si="15"/>
        <v>2046</v>
      </c>
      <c r="AB31" s="7">
        <f t="shared" si="15"/>
        <v>2047</v>
      </c>
      <c r="AC31" s="7">
        <f t="shared" si="15"/>
        <v>2048</v>
      </c>
      <c r="AD31" s="7">
        <f t="shared" si="15"/>
        <v>2049</v>
      </c>
      <c r="AE31" s="7">
        <f t="shared" si="15"/>
        <v>2050</v>
      </c>
      <c r="AF31" s="7">
        <f t="shared" si="15"/>
        <v>2051</v>
      </c>
      <c r="AG31" s="7">
        <f t="shared" si="15"/>
        <v>2052</v>
      </c>
    </row>
    <row r="32" spans="1:43" x14ac:dyDescent="0.2">
      <c r="A32" s="2"/>
      <c r="B32" s="3" t="s">
        <v>353</v>
      </c>
      <c r="C32" s="129">
        <f>SUM(D32:AG32)</f>
        <v>256441772.41404486</v>
      </c>
      <c r="D32" s="485">
        <f t="shared" ref="D32:AG32" si="16">J26</f>
        <v>4599498.7706820806</v>
      </c>
      <c r="E32" s="485">
        <f t="shared" si="16"/>
        <v>4807184.9321360383</v>
      </c>
      <c r="F32" s="485">
        <f t="shared" si="16"/>
        <v>6882661.6793149915</v>
      </c>
      <c r="G32" s="514">
        <f t="shared" si="16"/>
        <v>7427047.6810656935</v>
      </c>
      <c r="H32" s="485">
        <f t="shared" si="16"/>
        <v>7520477.1027379576</v>
      </c>
      <c r="I32" s="485">
        <f t="shared" si="16"/>
        <v>7615945.0716675967</v>
      </c>
      <c r="J32" s="485">
        <f t="shared" si="16"/>
        <v>7713496.0671508135</v>
      </c>
      <c r="K32" s="485">
        <f t="shared" si="16"/>
        <v>7813175.5389826708</v>
      </c>
      <c r="L32" s="485">
        <f t="shared" si="16"/>
        <v>7915029.9286325164</v>
      </c>
      <c r="M32" s="485">
        <f t="shared" si="16"/>
        <v>8019106.6908814441</v>
      </c>
      <c r="N32" s="485">
        <f t="shared" si="16"/>
        <v>8125454.3159318473</v>
      </c>
      <c r="O32" s="485">
        <f t="shared" si="16"/>
        <v>8234122.3519994076</v>
      </c>
      <c r="P32" s="485">
        <f t="shared" si="16"/>
        <v>8345161.4283979991</v>
      </c>
      <c r="Q32" s="485">
        <f t="shared" si="16"/>
        <v>8458623.2791282982</v>
      </c>
      <c r="R32" s="485">
        <f t="shared" si="16"/>
        <v>8574560.7669810727</v>
      </c>
      <c r="S32" s="485">
        <f t="shared" si="16"/>
        <v>8693027.9081663713</v>
      </c>
      <c r="T32" s="485">
        <f t="shared" si="16"/>
        <v>8814079.8974801265</v>
      </c>
      <c r="U32" s="485">
        <f t="shared" si="16"/>
        <v>8937773.134019848</v>
      </c>
      <c r="V32" s="485">
        <f t="shared" si="16"/>
        <v>9064165.247461414</v>
      </c>
      <c r="W32" s="485">
        <f t="shared" si="16"/>
        <v>9193315.1249092035</v>
      </c>
      <c r="X32" s="485">
        <f t="shared" si="16"/>
        <v>9325282.938332079</v>
      </c>
      <c r="Y32" s="485">
        <f t="shared" si="16"/>
        <v>9460130.1725979801</v>
      </c>
      <c r="Z32" s="485">
        <f t="shared" si="16"/>
        <v>9597919.6541202292</v>
      </c>
      <c r="AA32" s="485">
        <f t="shared" si="16"/>
        <v>9738715.5801288635</v>
      </c>
      <c r="AB32" s="485">
        <f t="shared" si="16"/>
        <v>9882583.5485806242</v>
      </c>
      <c r="AC32" s="485">
        <f t="shared" si="16"/>
        <v>10029590.588721607</v>
      </c>
      <c r="AD32" s="485">
        <f t="shared" si="16"/>
        <v>10179805.192316696</v>
      </c>
      <c r="AE32" s="485">
        <f t="shared" si="16"/>
        <v>10333297.345560446</v>
      </c>
      <c r="AF32" s="485">
        <f t="shared" si="16"/>
        <v>10490138.56168421</v>
      </c>
      <c r="AG32" s="485">
        <f t="shared" si="16"/>
        <v>10650401.91427473</v>
      </c>
    </row>
    <row r="33" spans="1:43" x14ac:dyDescent="0.2">
      <c r="A33" s="2"/>
      <c r="B33" s="3" t="s">
        <v>351</v>
      </c>
      <c r="C33" s="129">
        <f>SUM(D33:AG33)</f>
        <v>18000000</v>
      </c>
      <c r="D33" s="186">
        <v>0</v>
      </c>
      <c r="E33" s="186">
        <v>0</v>
      </c>
      <c r="F33" s="186">
        <v>0</v>
      </c>
      <c r="G33" s="186">
        <v>0</v>
      </c>
      <c r="H33" s="186">
        <v>0</v>
      </c>
      <c r="I33" s="186">
        <v>0</v>
      </c>
      <c r="J33" s="186">
        <v>0</v>
      </c>
      <c r="K33" s="186">
        <v>0</v>
      </c>
      <c r="L33" s="186">
        <v>0</v>
      </c>
      <c r="M33" s="186">
        <v>0</v>
      </c>
      <c r="N33" s="186">
        <v>0</v>
      </c>
      <c r="O33" s="186">
        <v>0</v>
      </c>
      <c r="P33" s="186">
        <v>0</v>
      </c>
      <c r="Q33" s="186">
        <v>0</v>
      </c>
      <c r="R33" s="186">
        <v>1080000</v>
      </c>
      <c r="S33" s="186">
        <v>540000</v>
      </c>
      <c r="T33" s="186">
        <v>0</v>
      </c>
      <c r="U33" s="186">
        <v>0</v>
      </c>
      <c r="V33" s="186">
        <v>0</v>
      </c>
      <c r="W33" s="186">
        <v>0</v>
      </c>
      <c r="X33" s="186">
        <v>10920000</v>
      </c>
      <c r="Y33" s="186">
        <v>5460000</v>
      </c>
      <c r="Z33" s="186">
        <v>0</v>
      </c>
      <c r="AA33" s="186">
        <v>0</v>
      </c>
      <c r="AB33" s="186">
        <v>0</v>
      </c>
      <c r="AC33" s="186">
        <v>0</v>
      </c>
      <c r="AD33" s="186">
        <v>0</v>
      </c>
      <c r="AE33" s="186">
        <v>0</v>
      </c>
      <c r="AF33" s="186">
        <v>0</v>
      </c>
      <c r="AG33" s="186">
        <v>0</v>
      </c>
    </row>
    <row r="34" spans="1:43" x14ac:dyDescent="0.2">
      <c r="A34" s="2"/>
      <c r="B34" s="4" t="s">
        <v>350</v>
      </c>
      <c r="C34" s="2"/>
      <c r="D34" s="486">
        <f t="shared" ref="D34:AG34" si="17">SUM(D32:D33)</f>
        <v>4599498.7706820806</v>
      </c>
      <c r="E34" s="486">
        <f t="shared" si="17"/>
        <v>4807184.9321360383</v>
      </c>
      <c r="F34" s="486">
        <f t="shared" si="17"/>
        <v>6882661.6793149915</v>
      </c>
      <c r="G34" s="486">
        <f t="shared" si="17"/>
        <v>7427047.6810656935</v>
      </c>
      <c r="H34" s="486">
        <f t="shared" si="17"/>
        <v>7520477.1027379576</v>
      </c>
      <c r="I34" s="486">
        <f t="shared" si="17"/>
        <v>7615945.0716675967</v>
      </c>
      <c r="J34" s="486">
        <f t="shared" si="17"/>
        <v>7713496.0671508135</v>
      </c>
      <c r="K34" s="486">
        <f t="shared" si="17"/>
        <v>7813175.5389826708</v>
      </c>
      <c r="L34" s="486">
        <f t="shared" si="17"/>
        <v>7915029.9286325164</v>
      </c>
      <c r="M34" s="486">
        <f t="shared" si="17"/>
        <v>8019106.6908814441</v>
      </c>
      <c r="N34" s="486">
        <f t="shared" si="17"/>
        <v>8125454.3159318473</v>
      </c>
      <c r="O34" s="486">
        <f t="shared" si="17"/>
        <v>8234122.3519994076</v>
      </c>
      <c r="P34" s="486">
        <f t="shared" si="17"/>
        <v>8345161.4283979991</v>
      </c>
      <c r="Q34" s="486">
        <f t="shared" si="17"/>
        <v>8458623.2791282982</v>
      </c>
      <c r="R34" s="486">
        <f t="shared" si="17"/>
        <v>9654560.7669810727</v>
      </c>
      <c r="S34" s="486">
        <f t="shared" si="17"/>
        <v>9233027.9081663713</v>
      </c>
      <c r="T34" s="486">
        <f t="shared" si="17"/>
        <v>8814079.8974801265</v>
      </c>
      <c r="U34" s="486">
        <f t="shared" si="17"/>
        <v>8937773.134019848</v>
      </c>
      <c r="V34" s="486">
        <f t="shared" si="17"/>
        <v>9064165.247461414</v>
      </c>
      <c r="W34" s="486">
        <f t="shared" si="17"/>
        <v>9193315.1249092035</v>
      </c>
      <c r="X34" s="486">
        <f t="shared" si="17"/>
        <v>20245282.938332081</v>
      </c>
      <c r="Y34" s="486">
        <f t="shared" si="17"/>
        <v>14920130.17259798</v>
      </c>
      <c r="Z34" s="486">
        <f t="shared" si="17"/>
        <v>9597919.6541202292</v>
      </c>
      <c r="AA34" s="486">
        <f t="shared" si="17"/>
        <v>9738715.5801288635</v>
      </c>
      <c r="AB34" s="486">
        <f t="shared" si="17"/>
        <v>9882583.5485806242</v>
      </c>
      <c r="AC34" s="486">
        <f t="shared" si="17"/>
        <v>10029590.588721607</v>
      </c>
      <c r="AD34" s="486">
        <f t="shared" si="17"/>
        <v>10179805.192316696</v>
      </c>
      <c r="AE34" s="486">
        <f t="shared" si="17"/>
        <v>10333297.345560446</v>
      </c>
      <c r="AF34" s="486">
        <f t="shared" si="17"/>
        <v>10490138.56168421</v>
      </c>
      <c r="AG34" s="486">
        <f t="shared" si="17"/>
        <v>10650401.91427473</v>
      </c>
      <c r="AM34" s="446"/>
      <c r="AN34" s="446"/>
      <c r="AO34" s="446"/>
    </row>
    <row r="35" spans="1:43" x14ac:dyDescent="0.2">
      <c r="A35" s="2"/>
      <c r="B35" s="3" t="s">
        <v>56</v>
      </c>
      <c r="C35" s="2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</row>
    <row r="36" spans="1:43" ht="13.5" thickBot="1" x14ac:dyDescent="0.25">
      <c r="A36" s="2"/>
      <c r="B36" s="16" t="s">
        <v>54</v>
      </c>
      <c r="C36" s="486">
        <f>SUM(D34:AG34)</f>
        <v>274441772.41404486</v>
      </c>
      <c r="D36" s="487">
        <f t="shared" ref="D36:AG36" si="18">SUM(D35:D35)</f>
        <v>0</v>
      </c>
      <c r="E36" s="487">
        <f t="shared" si="18"/>
        <v>0</v>
      </c>
      <c r="F36" s="487">
        <f t="shared" si="18"/>
        <v>0</v>
      </c>
      <c r="G36" s="487">
        <f t="shared" si="18"/>
        <v>0</v>
      </c>
      <c r="H36" s="487">
        <f t="shared" si="18"/>
        <v>0</v>
      </c>
      <c r="I36" s="487">
        <f t="shared" si="18"/>
        <v>0</v>
      </c>
      <c r="J36" s="487">
        <f t="shared" si="18"/>
        <v>0</v>
      </c>
      <c r="K36" s="487">
        <f t="shared" si="18"/>
        <v>0</v>
      </c>
      <c r="L36" s="487">
        <f t="shared" si="18"/>
        <v>0</v>
      </c>
      <c r="M36" s="487">
        <f t="shared" si="18"/>
        <v>0</v>
      </c>
      <c r="N36" s="487">
        <f t="shared" si="18"/>
        <v>0</v>
      </c>
      <c r="O36" s="487">
        <f t="shared" si="18"/>
        <v>0</v>
      </c>
      <c r="P36" s="487">
        <f t="shared" si="18"/>
        <v>0</v>
      </c>
      <c r="Q36" s="487">
        <f t="shared" si="18"/>
        <v>0</v>
      </c>
      <c r="R36" s="487">
        <f t="shared" si="18"/>
        <v>0</v>
      </c>
      <c r="S36" s="487">
        <f t="shared" si="18"/>
        <v>0</v>
      </c>
      <c r="T36" s="487">
        <f t="shared" si="18"/>
        <v>0</v>
      </c>
      <c r="U36" s="487">
        <f t="shared" si="18"/>
        <v>0</v>
      </c>
      <c r="V36" s="487">
        <f t="shared" si="18"/>
        <v>0</v>
      </c>
      <c r="W36" s="487">
        <f t="shared" si="18"/>
        <v>0</v>
      </c>
      <c r="X36" s="487">
        <f t="shared" si="18"/>
        <v>0</v>
      </c>
      <c r="Y36" s="487">
        <f t="shared" si="18"/>
        <v>0</v>
      </c>
      <c r="Z36" s="487">
        <f t="shared" si="18"/>
        <v>0</v>
      </c>
      <c r="AA36" s="487">
        <f t="shared" si="18"/>
        <v>0</v>
      </c>
      <c r="AB36" s="487">
        <f t="shared" si="18"/>
        <v>0</v>
      </c>
      <c r="AC36" s="487">
        <f t="shared" si="18"/>
        <v>0</v>
      </c>
      <c r="AD36" s="487">
        <f t="shared" si="18"/>
        <v>0</v>
      </c>
      <c r="AE36" s="487">
        <f t="shared" si="18"/>
        <v>0</v>
      </c>
      <c r="AF36" s="487">
        <f t="shared" si="18"/>
        <v>0</v>
      </c>
      <c r="AG36" s="487">
        <f t="shared" si="18"/>
        <v>0</v>
      </c>
    </row>
    <row r="37" spans="1:43" ht="13.5" thickTop="1" x14ac:dyDescent="0.2">
      <c r="A37" s="2"/>
      <c r="B37" s="17" t="s">
        <v>53</v>
      </c>
      <c r="C37" s="488">
        <f>SUM(D37:AG37)</f>
        <v>274441772.41404486</v>
      </c>
      <c r="D37" s="488">
        <f t="shared" ref="D37:AG37" si="19">SUM(D34,D36)</f>
        <v>4599498.7706820806</v>
      </c>
      <c r="E37" s="488">
        <f t="shared" si="19"/>
        <v>4807184.9321360383</v>
      </c>
      <c r="F37" s="488">
        <f t="shared" si="19"/>
        <v>6882661.6793149915</v>
      </c>
      <c r="G37" s="488">
        <f t="shared" si="19"/>
        <v>7427047.6810656935</v>
      </c>
      <c r="H37" s="488">
        <f t="shared" si="19"/>
        <v>7520477.1027379576</v>
      </c>
      <c r="I37" s="488">
        <f t="shared" si="19"/>
        <v>7615945.0716675967</v>
      </c>
      <c r="J37" s="488">
        <f t="shared" si="19"/>
        <v>7713496.0671508135</v>
      </c>
      <c r="K37" s="488">
        <f t="shared" si="19"/>
        <v>7813175.5389826708</v>
      </c>
      <c r="L37" s="488">
        <f t="shared" si="19"/>
        <v>7915029.9286325164</v>
      </c>
      <c r="M37" s="488">
        <f t="shared" si="19"/>
        <v>8019106.6908814441</v>
      </c>
      <c r="N37" s="488">
        <f t="shared" si="19"/>
        <v>8125454.3159318473</v>
      </c>
      <c r="O37" s="488">
        <f t="shared" si="19"/>
        <v>8234122.3519994076</v>
      </c>
      <c r="P37" s="488">
        <f t="shared" si="19"/>
        <v>8345161.4283979991</v>
      </c>
      <c r="Q37" s="488">
        <f t="shared" si="19"/>
        <v>8458623.2791282982</v>
      </c>
      <c r="R37" s="488">
        <f t="shared" si="19"/>
        <v>9654560.7669810727</v>
      </c>
      <c r="S37" s="488">
        <f t="shared" si="19"/>
        <v>9233027.9081663713</v>
      </c>
      <c r="T37" s="488">
        <f t="shared" si="19"/>
        <v>8814079.8974801265</v>
      </c>
      <c r="U37" s="488">
        <f t="shared" si="19"/>
        <v>8937773.134019848</v>
      </c>
      <c r="V37" s="488">
        <f t="shared" si="19"/>
        <v>9064165.247461414</v>
      </c>
      <c r="W37" s="488">
        <f t="shared" si="19"/>
        <v>9193315.1249092035</v>
      </c>
      <c r="X37" s="488">
        <f t="shared" si="19"/>
        <v>20245282.938332081</v>
      </c>
      <c r="Y37" s="488">
        <f t="shared" si="19"/>
        <v>14920130.17259798</v>
      </c>
      <c r="Z37" s="488">
        <f t="shared" si="19"/>
        <v>9597919.6541202292</v>
      </c>
      <c r="AA37" s="488">
        <f t="shared" si="19"/>
        <v>9738715.5801288635</v>
      </c>
      <c r="AB37" s="488">
        <f t="shared" si="19"/>
        <v>9882583.5485806242</v>
      </c>
      <c r="AC37" s="488">
        <f t="shared" si="19"/>
        <v>10029590.588721607</v>
      </c>
      <c r="AD37" s="488">
        <f t="shared" si="19"/>
        <v>10179805.192316696</v>
      </c>
      <c r="AE37" s="488">
        <f t="shared" si="19"/>
        <v>10333297.345560446</v>
      </c>
      <c r="AF37" s="488">
        <f t="shared" si="19"/>
        <v>10490138.56168421</v>
      </c>
      <c r="AG37" s="488">
        <f t="shared" si="19"/>
        <v>10650401.91427473</v>
      </c>
    </row>
    <row r="39" spans="1:43" x14ac:dyDescent="0.2">
      <c r="C39" s="431"/>
    </row>
    <row r="40" spans="1:43" x14ac:dyDescent="0.2">
      <c r="E40" s="431"/>
    </row>
    <row r="41" spans="1:43" x14ac:dyDescent="0.2">
      <c r="I41" s="438"/>
    </row>
    <row r="42" spans="1:43" s="446" customFormat="1" x14ac:dyDescent="0.2">
      <c r="A42" s="413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</row>
    <row r="51" spans="1:43" x14ac:dyDescent="0.2">
      <c r="AO51" s="446"/>
      <c r="AP51" s="446"/>
      <c r="AQ51" s="446"/>
    </row>
    <row r="59" spans="1:43" s="446" customFormat="1" x14ac:dyDescent="0.2">
      <c r="A59" s="413"/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</row>
    <row r="69" spans="1:43" x14ac:dyDescent="0.2">
      <c r="AO69" s="446"/>
      <c r="AP69" s="446"/>
      <c r="AQ69" s="446"/>
    </row>
    <row r="76" spans="1:43" x14ac:dyDescent="0.2">
      <c r="AO76" s="446"/>
      <c r="AP76" s="446"/>
      <c r="AQ76" s="446"/>
    </row>
    <row r="77" spans="1:43" s="446" customFormat="1" x14ac:dyDescent="0.2">
      <c r="A77" s="413"/>
      <c r="B77" s="413"/>
      <c r="C77" s="413"/>
      <c r="D77" s="413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413"/>
      <c r="AA77" s="413"/>
      <c r="AB77" s="413"/>
      <c r="AC77" s="413"/>
      <c r="AD77" s="413"/>
      <c r="AE77" s="413"/>
      <c r="AF77" s="413"/>
      <c r="AG77" s="413"/>
      <c r="AH77" s="413"/>
      <c r="AI77" s="413"/>
      <c r="AJ77" s="413"/>
      <c r="AK77" s="413"/>
      <c r="AL77" s="413"/>
      <c r="AM77" s="413"/>
      <c r="AN77" s="413"/>
      <c r="AO77" s="413"/>
      <c r="AP77" s="413"/>
      <c r="AQ77" s="413"/>
    </row>
    <row r="84" spans="1:43" s="446" customFormat="1" x14ac:dyDescent="0.2">
      <c r="A84" s="413"/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  <c r="T84" s="413"/>
      <c r="U84" s="413"/>
      <c r="V84" s="413"/>
      <c r="W84" s="413"/>
      <c r="X84" s="413"/>
      <c r="Y84" s="413"/>
      <c r="Z84" s="413"/>
      <c r="AA84" s="413"/>
      <c r="AB84" s="413"/>
      <c r="AC84" s="413"/>
      <c r="AD84" s="413"/>
      <c r="AE84" s="413"/>
      <c r="AF84" s="413"/>
      <c r="AG84" s="413"/>
      <c r="AH84" s="413"/>
      <c r="AI84" s="413"/>
      <c r="AJ84" s="413"/>
      <c r="AK84" s="413"/>
      <c r="AL84" s="413"/>
      <c r="AM84" s="413"/>
      <c r="AN84" s="413"/>
      <c r="AO84" s="413"/>
      <c r="AP84" s="413"/>
      <c r="AQ84" s="413"/>
    </row>
    <row r="92" spans="1:43" x14ac:dyDescent="0.2">
      <c r="AO92" s="446"/>
      <c r="AP92" s="446"/>
      <c r="AQ92" s="446"/>
    </row>
    <row r="100" spans="1:43" s="446" customFormat="1" x14ac:dyDescent="0.2">
      <c r="A100" s="413"/>
      <c r="B100" s="413"/>
      <c r="C100" s="413"/>
      <c r="D100" s="413"/>
      <c r="E100" s="413"/>
      <c r="F100" s="413"/>
      <c r="G100" s="413"/>
      <c r="H100" s="413"/>
      <c r="I100" s="413"/>
      <c r="J100" s="413"/>
      <c r="K100" s="413"/>
      <c r="L100" s="413"/>
      <c r="M100" s="413"/>
      <c r="N100" s="413"/>
      <c r="O100" s="413"/>
      <c r="P100" s="413"/>
      <c r="Q100" s="413"/>
      <c r="R100" s="413"/>
      <c r="S100" s="413"/>
      <c r="T100" s="413"/>
      <c r="U100" s="413"/>
      <c r="V100" s="413"/>
      <c r="W100" s="413"/>
      <c r="X100" s="413"/>
      <c r="Y100" s="413"/>
      <c r="Z100" s="413"/>
      <c r="AA100" s="413"/>
      <c r="AB100" s="413"/>
      <c r="AC100" s="413"/>
      <c r="AD100" s="413"/>
      <c r="AE100" s="413"/>
      <c r="AF100" s="413"/>
      <c r="AG100" s="413"/>
      <c r="AH100" s="413"/>
      <c r="AI100" s="413"/>
      <c r="AJ100" s="413"/>
      <c r="AK100" s="413"/>
      <c r="AL100" s="413"/>
      <c r="AM100" s="413"/>
      <c r="AN100" s="413"/>
      <c r="AO100" s="413"/>
      <c r="AP100" s="413"/>
      <c r="AQ100" s="413"/>
    </row>
  </sheetData>
  <sheetProtection algorithmName="SHA-512" hashValue="i28pi386ANnuL6iEuNFCtdFF3PZXeNm/lH9fwAEHVEJg4rQpJauXDhA5gDID8mUhlQOXj8GvchcGIBvnVp1XJg==" saltValue="jC7lI1ThxzJ/qeVZPVaFSQ==" spinCount="100000" sheet="1" formatCells="0" formatColumns="0" formatRows="0" insertColumns="0" insertRows="0" insertHyperlinks="0" deleteColumns="0" deleteRows="0" sort="0" autoFilter="0" pivotTables="0"/>
  <mergeCells count="9">
    <mergeCell ref="B11:AM11"/>
    <mergeCell ref="B12:B15"/>
    <mergeCell ref="C12:C14"/>
    <mergeCell ref="D12:D15"/>
    <mergeCell ref="E12:E15"/>
    <mergeCell ref="F12:F15"/>
    <mergeCell ref="G12:G15"/>
    <mergeCell ref="H12:H15"/>
    <mergeCell ref="C15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5050"/>
  </sheetPr>
  <dimension ref="B1:DS270"/>
  <sheetViews>
    <sheetView tabSelected="1" zoomScaleNormal="100" workbookViewId="0"/>
  </sheetViews>
  <sheetFormatPr defaultColWidth="6.7109375" defaultRowHeight="11.25" x14ac:dyDescent="0.2"/>
  <cols>
    <col min="1" max="1" width="2.7109375" style="2" customWidth="1"/>
    <col min="2" max="2" width="50.28515625" style="2" customWidth="1"/>
    <col min="3" max="9" width="13.7109375" style="2" customWidth="1"/>
    <col min="10" max="43" width="7.7109375" style="2" customWidth="1"/>
    <col min="44" max="16384" width="6.7109375" style="2"/>
  </cols>
  <sheetData>
    <row r="1" spans="2:8" ht="12" thickBot="1" x14ac:dyDescent="0.25"/>
    <row r="2" spans="2:8" x14ac:dyDescent="0.2">
      <c r="B2" s="56" t="s">
        <v>2</v>
      </c>
      <c r="C2" s="57"/>
      <c r="D2" s="57"/>
      <c r="E2" s="57"/>
      <c r="F2" s="57"/>
      <c r="G2" s="57"/>
      <c r="H2" s="58"/>
    </row>
    <row r="3" spans="2:8" x14ac:dyDescent="0.2">
      <c r="B3" s="59" t="s">
        <v>362</v>
      </c>
      <c r="C3" s="60"/>
      <c r="D3" s="60"/>
      <c r="E3" s="60"/>
      <c r="F3" s="36"/>
      <c r="H3" s="61"/>
    </row>
    <row r="4" spans="2:8" x14ac:dyDescent="0.2">
      <c r="B4" s="59" t="s">
        <v>364</v>
      </c>
      <c r="C4" s="60"/>
      <c r="D4" s="60"/>
      <c r="E4" s="60"/>
      <c r="F4" s="60"/>
      <c r="G4" s="60"/>
      <c r="H4" s="61"/>
    </row>
    <row r="5" spans="2:8" x14ac:dyDescent="0.2">
      <c r="B5" s="59" t="s">
        <v>86</v>
      </c>
      <c r="C5" s="60"/>
      <c r="D5" s="60"/>
      <c r="E5" s="60"/>
      <c r="F5" s="60"/>
      <c r="G5" s="60"/>
      <c r="H5" s="61"/>
    </row>
    <row r="6" spans="2:8" ht="12" thickBot="1" x14ac:dyDescent="0.25">
      <c r="B6" s="62" t="s">
        <v>361</v>
      </c>
      <c r="C6" s="63"/>
      <c r="D6" s="63"/>
      <c r="E6" s="63"/>
      <c r="F6" s="63"/>
      <c r="G6" s="63"/>
      <c r="H6" s="64"/>
    </row>
    <row r="8" spans="2:8" ht="17.25" customHeight="1" x14ac:dyDescent="0.2">
      <c r="B8" s="523" t="s">
        <v>45</v>
      </c>
      <c r="C8" s="523"/>
    </row>
    <row r="9" spans="2:8" x14ac:dyDescent="0.2">
      <c r="B9" s="23" t="s">
        <v>3</v>
      </c>
      <c r="C9" s="411">
        <v>0.04</v>
      </c>
    </row>
    <row r="10" spans="2:8" x14ac:dyDescent="0.2">
      <c r="B10" s="3" t="s">
        <v>4</v>
      </c>
      <c r="C10" s="412">
        <v>0.05</v>
      </c>
    </row>
    <row r="11" spans="2:8" x14ac:dyDescent="0.2">
      <c r="B11" s="3" t="s">
        <v>5</v>
      </c>
      <c r="C11" s="13">
        <f>C13</f>
        <v>2023</v>
      </c>
      <c r="D11" s="2" t="s">
        <v>8</v>
      </c>
    </row>
    <row r="12" spans="2:8" x14ac:dyDescent="0.2">
      <c r="B12" s="3" t="s">
        <v>222</v>
      </c>
      <c r="C12" s="39">
        <v>30</v>
      </c>
    </row>
    <row r="13" spans="2:8" x14ac:dyDescent="0.2">
      <c r="B13" s="3" t="s">
        <v>323</v>
      </c>
      <c r="C13" s="125">
        <v>2023</v>
      </c>
      <c r="D13" s="2" t="s">
        <v>223</v>
      </c>
    </row>
    <row r="14" spans="2:8" x14ac:dyDescent="0.2">
      <c r="B14" s="3" t="s">
        <v>324</v>
      </c>
      <c r="C14" s="125">
        <v>2026</v>
      </c>
      <c r="D14" s="180" t="s">
        <v>359</v>
      </c>
      <c r="E14" s="181">
        <f>C14+1</f>
        <v>2027</v>
      </c>
      <c r="F14" s="182" t="s">
        <v>360</v>
      </c>
    </row>
    <row r="15" spans="2:8" x14ac:dyDescent="0.2">
      <c r="B15" s="3" t="s">
        <v>224</v>
      </c>
      <c r="C15" s="125"/>
      <c r="F15" s="139" t="s">
        <v>363</v>
      </c>
    </row>
    <row r="16" spans="2:8" x14ac:dyDescent="0.2">
      <c r="B16" s="3" t="s">
        <v>225</v>
      </c>
      <c r="C16" s="13">
        <f>C13+C12-1</f>
        <v>2052</v>
      </c>
    </row>
    <row r="17" spans="2:16" x14ac:dyDescent="0.2">
      <c r="B17" s="3" t="s">
        <v>6</v>
      </c>
      <c r="C17" s="39" t="s">
        <v>0</v>
      </c>
    </row>
    <row r="20" spans="2:16" ht="17.25" customHeight="1" x14ac:dyDescent="0.2">
      <c r="B20" s="152" t="s">
        <v>72</v>
      </c>
      <c r="C20" s="153">
        <v>2010</v>
      </c>
      <c r="D20" s="153">
        <v>2011</v>
      </c>
      <c r="E20" s="153">
        <v>2012</v>
      </c>
      <c r="F20" s="153">
        <v>2013</v>
      </c>
      <c r="G20" s="153">
        <v>2014</v>
      </c>
      <c r="H20" s="154">
        <v>2015</v>
      </c>
      <c r="I20" s="154">
        <v>2016</v>
      </c>
      <c r="J20" s="154">
        <v>2017</v>
      </c>
      <c r="K20" s="154">
        <v>2018</v>
      </c>
      <c r="L20" s="154">
        <v>2019</v>
      </c>
      <c r="M20" s="154">
        <v>2020</v>
      </c>
      <c r="N20" s="154">
        <v>2021</v>
      </c>
      <c r="O20" s="154">
        <v>2022</v>
      </c>
      <c r="P20" s="154">
        <v>2023</v>
      </c>
    </row>
    <row r="21" spans="2:16" x14ac:dyDescent="0.2">
      <c r="B21" s="39" t="s">
        <v>73</v>
      </c>
      <c r="C21" s="67">
        <f>'Cenová inflácia'!E10/100</f>
        <v>9.6309892889521187E-3</v>
      </c>
      <c r="D21" s="67">
        <f>'Cenová inflácia'!F10/100</f>
        <v>3.908765900839728E-2</v>
      </c>
      <c r="E21" s="67">
        <f>'Cenová inflácia'!G10/100</f>
        <v>3.6150362463793551E-2</v>
      </c>
      <c r="F21" s="67">
        <f>'Cenová inflácia'!H10/100</f>
        <v>1.3889746916249779E-2</v>
      </c>
      <c r="G21" s="67">
        <f>'Cenová inflácia'!I10/100</f>
        <v>-6.9055864163058978E-4</v>
      </c>
      <c r="H21" s="67">
        <f>'Cenová inflácia'!J10/100</f>
        <v>-3.2875013973152623E-3</v>
      </c>
      <c r="I21" s="67">
        <f>'Cenová inflácia'!K10/100</f>
        <v>-5.1947654708678348E-3</v>
      </c>
      <c r="J21" s="67">
        <f>'Cenová inflácia'!L10/100</f>
        <v>1.3083863171367671E-2</v>
      </c>
      <c r="K21" s="67">
        <f>'Cenová inflácia'!M10/100</f>
        <v>2.4942252144670052E-2</v>
      </c>
      <c r="L21" s="67">
        <f>'Cenová inflácia'!N10/100</f>
        <v>2.6775097969561568E-2</v>
      </c>
      <c r="M21" s="67">
        <f>'Cenová inflácia'!O10/100</f>
        <v>1.9325023003922803E-2</v>
      </c>
      <c r="N21" s="67">
        <f>'Cenová inflácia'!P10/100</f>
        <v>3.1603780536386905E-2</v>
      </c>
      <c r="O21" s="67">
        <f>'Cenová inflácia'!Q10/100</f>
        <v>0.12780022596737828</v>
      </c>
      <c r="P21" s="67">
        <f>'Cenová inflácia'!R10/100</f>
        <v>9.7998069459672474E-2</v>
      </c>
    </row>
    <row r="22" spans="2:16" x14ac:dyDescent="0.2">
      <c r="B22" s="35" t="s">
        <v>422</v>
      </c>
      <c r="C22" s="40"/>
      <c r="D22" s="40"/>
      <c r="E22" s="41"/>
      <c r="F22" s="41"/>
      <c r="G22" s="41"/>
      <c r="H22" s="42"/>
      <c r="I22" s="42"/>
    </row>
    <row r="23" spans="2:16" x14ac:dyDescent="0.2">
      <c r="B23" s="40"/>
      <c r="C23" s="40"/>
      <c r="D23" s="40"/>
      <c r="E23" s="41"/>
      <c r="F23" s="41"/>
      <c r="G23" s="41"/>
      <c r="H23" s="42"/>
      <c r="I23" s="42"/>
    </row>
    <row r="24" spans="2:16" ht="17.25" customHeight="1" x14ac:dyDescent="0.2">
      <c r="B24" s="531" t="s">
        <v>74</v>
      </c>
      <c r="C24" s="532"/>
      <c r="D24" s="40"/>
      <c r="E24" s="41"/>
      <c r="F24" s="41"/>
      <c r="G24" s="41"/>
      <c r="H24" s="42"/>
      <c r="I24" s="42"/>
    </row>
    <row r="25" spans="2:16" ht="17.25" customHeight="1" x14ac:dyDescent="0.2">
      <c r="B25" s="533"/>
      <c r="C25" s="534"/>
      <c r="D25" s="40"/>
      <c r="E25" s="41"/>
      <c r="F25" s="41"/>
      <c r="G25" s="41"/>
      <c r="H25" s="42"/>
      <c r="I25" s="42"/>
    </row>
    <row r="26" spans="2:16" x14ac:dyDescent="0.2">
      <c r="B26" s="39" t="s">
        <v>424</v>
      </c>
      <c r="C26" s="68">
        <f>1/(1+P21)</f>
        <v>0.91074841369448167</v>
      </c>
      <c r="D26" s="40"/>
      <c r="E26" s="41"/>
      <c r="F26" s="41"/>
      <c r="G26" s="41"/>
      <c r="H26" s="42"/>
      <c r="I26" s="42"/>
    </row>
    <row r="27" spans="2:16" x14ac:dyDescent="0.2">
      <c r="B27" s="39" t="s">
        <v>425</v>
      </c>
      <c r="C27" s="68">
        <f>C26/(1+O21)</f>
        <v>0.80754409577572217</v>
      </c>
      <c r="D27" s="40"/>
      <c r="E27" s="41"/>
      <c r="F27" s="41"/>
      <c r="G27" s="41"/>
      <c r="H27" s="42"/>
      <c r="I27" s="42"/>
    </row>
    <row r="28" spans="2:16" x14ac:dyDescent="0.2">
      <c r="B28" s="39" t="s">
        <v>426</v>
      </c>
      <c r="C28" s="68">
        <f>C27/(1+N21)</f>
        <v>0.78280451372118476</v>
      </c>
      <c r="D28" s="40"/>
      <c r="E28" s="41"/>
      <c r="F28" s="41"/>
      <c r="G28" s="41"/>
      <c r="H28" s="42"/>
      <c r="I28" s="42"/>
    </row>
    <row r="29" spans="2:16" x14ac:dyDescent="0.2">
      <c r="B29" s="39" t="s">
        <v>427</v>
      </c>
      <c r="C29" s="68">
        <f>C28/(1+M21)</f>
        <v>0.76796359949477289</v>
      </c>
      <c r="D29" s="40"/>
      <c r="E29" s="41"/>
      <c r="F29" s="41"/>
      <c r="G29" s="41"/>
      <c r="H29" s="42"/>
      <c r="I29" s="42"/>
    </row>
    <row r="30" spans="2:16" x14ac:dyDescent="0.2">
      <c r="B30" s="39" t="s">
        <v>428</v>
      </c>
      <c r="C30" s="68">
        <f>C29/(1+L21)</f>
        <v>0.74793749966610401</v>
      </c>
      <c r="D30" s="40"/>
      <c r="E30" s="41"/>
      <c r="F30" s="41"/>
      <c r="G30" s="41"/>
      <c r="H30" s="42"/>
      <c r="I30" s="42"/>
    </row>
    <row r="31" spans="2:16" x14ac:dyDescent="0.2">
      <c r="B31" s="39" t="s">
        <v>429</v>
      </c>
      <c r="C31" s="68">
        <f>C30/(1+K21)</f>
        <v>0.72973623450595437</v>
      </c>
      <c r="D31" s="40"/>
      <c r="E31" s="41"/>
      <c r="F31" s="41"/>
      <c r="G31" s="41"/>
      <c r="H31" s="42"/>
      <c r="I31" s="42"/>
    </row>
    <row r="32" spans="2:16" x14ac:dyDescent="0.2">
      <c r="B32" s="39" t="s">
        <v>430</v>
      </c>
      <c r="C32" s="68">
        <f>C31/(1+J21)</f>
        <v>0.72031177381661271</v>
      </c>
      <c r="D32" s="40"/>
      <c r="E32" s="41"/>
      <c r="F32" s="41"/>
      <c r="G32" s="41"/>
      <c r="H32" s="42"/>
      <c r="I32" s="42"/>
    </row>
    <row r="33" spans="2:42" x14ac:dyDescent="0.2">
      <c r="B33" s="39" t="s">
        <v>431</v>
      </c>
      <c r="C33" s="68">
        <f>C32/(1+I21)</f>
        <v>0.72407316408779798</v>
      </c>
      <c r="D33" s="40"/>
      <c r="E33" s="41"/>
      <c r="F33" s="41"/>
      <c r="G33" s="41"/>
      <c r="H33" s="42"/>
      <c r="I33" s="42"/>
    </row>
    <row r="34" spans="2:42" x14ac:dyDescent="0.2">
      <c r="B34" s="39" t="s">
        <v>432</v>
      </c>
      <c r="C34" s="68">
        <f>C33/(1+H21)</f>
        <v>0.72646140697833483</v>
      </c>
      <c r="D34" s="40"/>
      <c r="E34" s="41"/>
      <c r="F34" s="41"/>
      <c r="G34" s="41"/>
      <c r="H34" s="42"/>
      <c r="I34" s="42"/>
    </row>
    <row r="35" spans="2:42" x14ac:dyDescent="0.2">
      <c r="B35" s="39" t="s">
        <v>433</v>
      </c>
      <c r="C35" s="68">
        <f>C34/(1+G21)</f>
        <v>0.72696341784867957</v>
      </c>
      <c r="D35" s="40"/>
      <c r="E35" s="41"/>
      <c r="F35" s="41"/>
      <c r="G35" s="41"/>
      <c r="H35" s="42"/>
      <c r="I35" s="42"/>
    </row>
    <row r="36" spans="2:42" x14ac:dyDescent="0.2">
      <c r="B36" s="39" t="s">
        <v>434</v>
      </c>
      <c r="C36" s="68">
        <f>C35/(1+F21)</f>
        <v>0.71700440808257715</v>
      </c>
      <c r="D36" s="40"/>
      <c r="E36" s="41"/>
      <c r="F36" s="41"/>
      <c r="G36" s="41"/>
      <c r="H36" s="42"/>
      <c r="I36" s="42"/>
    </row>
    <row r="37" spans="2:42" x14ac:dyDescent="0.2">
      <c r="B37" s="39" t="s">
        <v>435</v>
      </c>
      <c r="C37" s="68">
        <f>C36/(1+E21)</f>
        <v>0.69198876346253424</v>
      </c>
      <c r="D37" s="40"/>
      <c r="E37" s="41"/>
      <c r="F37" s="41"/>
      <c r="G37" s="41"/>
      <c r="H37" s="42"/>
      <c r="I37" s="42"/>
    </row>
    <row r="38" spans="2:42" x14ac:dyDescent="0.2">
      <c r="B38" s="39" t="s">
        <v>436</v>
      </c>
      <c r="C38" s="68">
        <f>C37/(1+D21)</f>
        <v>0.66595802333260312</v>
      </c>
      <c r="D38" s="40"/>
      <c r="E38" s="41"/>
      <c r="F38" s="41"/>
      <c r="G38" s="41"/>
      <c r="H38" s="42"/>
      <c r="I38" s="42"/>
    </row>
    <row r="39" spans="2:42" x14ac:dyDescent="0.2">
      <c r="B39" s="39" t="s">
        <v>437</v>
      </c>
      <c r="C39" s="68">
        <f>C38/(1+C21)</f>
        <v>0.65960537106890327</v>
      </c>
      <c r="D39" s="40"/>
      <c r="E39" s="41"/>
      <c r="F39" s="41"/>
      <c r="G39" s="41"/>
      <c r="H39" s="42"/>
      <c r="I39" s="42"/>
    </row>
    <row r="41" spans="2:42" x14ac:dyDescent="0.2">
      <c r="B41" s="523" t="s">
        <v>87</v>
      </c>
      <c r="C41" s="155"/>
      <c r="D41" s="156">
        <v>2022</v>
      </c>
      <c r="E41" s="156">
        <v>2023</v>
      </c>
      <c r="F41" s="156">
        <v>2024</v>
      </c>
      <c r="G41" s="156">
        <v>2025</v>
      </c>
      <c r="H41" s="156">
        <v>2026</v>
      </c>
      <c r="I41" s="156">
        <v>2027</v>
      </c>
      <c r="J41" s="156">
        <v>2028</v>
      </c>
      <c r="K41" s="156">
        <v>2029</v>
      </c>
      <c r="L41" s="156">
        <v>2030</v>
      </c>
      <c r="M41" s="156">
        <v>2031</v>
      </c>
      <c r="N41" s="156">
        <v>2032</v>
      </c>
      <c r="O41" s="156">
        <v>2033</v>
      </c>
      <c r="P41" s="156">
        <v>2034</v>
      </c>
      <c r="Q41" s="156">
        <v>2035</v>
      </c>
      <c r="R41" s="156">
        <v>2036</v>
      </c>
      <c r="S41" s="156">
        <v>2037</v>
      </c>
      <c r="T41" s="156">
        <v>2038</v>
      </c>
      <c r="U41" s="156">
        <v>2039</v>
      </c>
      <c r="V41" s="156">
        <v>2040</v>
      </c>
      <c r="W41" s="156">
        <v>2041</v>
      </c>
      <c r="X41" s="156">
        <v>2042</v>
      </c>
      <c r="Y41" s="156">
        <v>2043</v>
      </c>
      <c r="Z41" s="156">
        <v>2044</v>
      </c>
      <c r="AA41" s="156">
        <v>2045</v>
      </c>
      <c r="AB41" s="156">
        <v>2046</v>
      </c>
      <c r="AC41" s="156">
        <v>2047</v>
      </c>
      <c r="AD41" s="156">
        <v>2048</v>
      </c>
      <c r="AE41" s="156">
        <v>2049</v>
      </c>
      <c r="AF41" s="156">
        <v>2050</v>
      </c>
      <c r="AG41" s="156">
        <v>2051</v>
      </c>
      <c r="AH41" s="156">
        <v>2052</v>
      </c>
      <c r="AI41" s="156">
        <v>2053</v>
      </c>
      <c r="AJ41" s="156">
        <v>2054</v>
      </c>
      <c r="AK41" s="156">
        <v>2055</v>
      </c>
      <c r="AL41" s="156">
        <v>2056</v>
      </c>
      <c r="AM41" s="156">
        <v>2057</v>
      </c>
      <c r="AN41" s="156">
        <v>2058</v>
      </c>
      <c r="AO41" s="156">
        <v>2059</v>
      </c>
      <c r="AP41" s="156">
        <v>2060</v>
      </c>
    </row>
    <row r="42" spans="2:42" x14ac:dyDescent="0.2">
      <c r="B42" s="523" t="s">
        <v>35</v>
      </c>
      <c r="C42" s="3"/>
      <c r="D42" s="88">
        <f>'Hrubý domáci produkt'!Q11/100</f>
        <v>1.7235918481922186E-2</v>
      </c>
      <c r="E42" s="88">
        <f>'Hrubý domáci produkt'!R11/100</f>
        <v>1.2652163061491528E-2</v>
      </c>
      <c r="F42" s="88">
        <f>'Hrubý domáci produkt'!S11/100</f>
        <v>1.7566807559391773E-2</v>
      </c>
      <c r="G42" s="88">
        <f>'Hrubý domáci produkt'!T11/100</f>
        <v>2.6541471020296026E-2</v>
      </c>
      <c r="H42" s="88">
        <f>'Hrubý domáci produkt'!U11/100</f>
        <v>1.9079963540707956E-2</v>
      </c>
      <c r="I42" s="88">
        <v>1.7000000000000001E-2</v>
      </c>
      <c r="J42" s="88">
        <v>1.7000000000000001E-2</v>
      </c>
      <c r="K42" s="88">
        <v>1.7000000000000001E-2</v>
      </c>
      <c r="L42" s="88">
        <v>1.7000000000000001E-2</v>
      </c>
      <c r="M42" s="88">
        <v>1.2E-2</v>
      </c>
      <c r="N42" s="88">
        <v>1.2E-2</v>
      </c>
      <c r="O42" s="88">
        <v>1.2E-2</v>
      </c>
      <c r="P42" s="88">
        <v>1.2E-2</v>
      </c>
      <c r="Q42" s="88">
        <v>1.2E-2</v>
      </c>
      <c r="R42" s="88">
        <v>1.2E-2</v>
      </c>
      <c r="S42" s="88">
        <v>1.2E-2</v>
      </c>
      <c r="T42" s="88">
        <v>1.2E-2</v>
      </c>
      <c r="U42" s="88">
        <v>1.2E-2</v>
      </c>
      <c r="V42" s="88">
        <v>1.2E-2</v>
      </c>
      <c r="W42" s="88">
        <v>0.01</v>
      </c>
      <c r="X42" s="88">
        <v>0.01</v>
      </c>
      <c r="Y42" s="88">
        <v>0.01</v>
      </c>
      <c r="Z42" s="88">
        <v>0.01</v>
      </c>
      <c r="AA42" s="88">
        <v>0.01</v>
      </c>
      <c r="AB42" s="88">
        <v>0.01</v>
      </c>
      <c r="AC42" s="88">
        <v>0.01</v>
      </c>
      <c r="AD42" s="88">
        <v>0.01</v>
      </c>
      <c r="AE42" s="88">
        <v>0.01</v>
      </c>
      <c r="AF42" s="88">
        <v>0.01</v>
      </c>
      <c r="AG42" s="88">
        <v>1.2999999999999999E-2</v>
      </c>
      <c r="AH42" s="88">
        <v>1.2999999999999999E-2</v>
      </c>
      <c r="AI42" s="88">
        <v>1.2999999999999999E-2</v>
      </c>
      <c r="AJ42" s="88">
        <v>1.2999999999999999E-2</v>
      </c>
      <c r="AK42" s="88">
        <v>1.2999999999999999E-2</v>
      </c>
      <c r="AL42" s="88">
        <v>1.2999999999999999E-2</v>
      </c>
      <c r="AM42" s="88">
        <v>1.2999999999999999E-2</v>
      </c>
      <c r="AN42" s="88">
        <v>1.2999999999999999E-2</v>
      </c>
      <c r="AO42" s="88">
        <v>1.2999999999999999E-2</v>
      </c>
      <c r="AP42" s="88">
        <v>1.2999999999999999E-2</v>
      </c>
    </row>
    <row r="43" spans="2:42" x14ac:dyDescent="0.2">
      <c r="B43" s="1" t="s">
        <v>423</v>
      </c>
    </row>
    <row r="44" spans="2:42" x14ac:dyDescent="0.2">
      <c r="B44" s="1"/>
    </row>
    <row r="45" spans="2:42" x14ac:dyDescent="0.2">
      <c r="B45" s="529" t="s">
        <v>332</v>
      </c>
      <c r="C45" s="530" t="s">
        <v>162</v>
      </c>
      <c r="D45" s="530" t="s">
        <v>275</v>
      </c>
      <c r="E45" s="530"/>
      <c r="F45" s="530"/>
      <c r="G45" s="530"/>
      <c r="H45" s="530"/>
      <c r="I45" s="530"/>
    </row>
    <row r="46" spans="2:42" x14ac:dyDescent="0.2">
      <c r="B46" s="529"/>
      <c r="C46" s="530"/>
      <c r="D46" s="154" t="s">
        <v>279</v>
      </c>
      <c r="E46" s="154" t="s">
        <v>279</v>
      </c>
      <c r="F46" s="154" t="s">
        <v>279</v>
      </c>
      <c r="G46" s="154" t="s">
        <v>265</v>
      </c>
      <c r="H46" s="154" t="s">
        <v>279</v>
      </c>
      <c r="I46" s="154" t="s">
        <v>282</v>
      </c>
    </row>
    <row r="47" spans="2:42" ht="22.5" x14ac:dyDescent="0.2">
      <c r="B47" s="529"/>
      <c r="C47" s="530"/>
      <c r="D47" s="157" t="s">
        <v>280</v>
      </c>
      <c r="E47" s="157" t="s">
        <v>281</v>
      </c>
      <c r="F47" s="157" t="s">
        <v>289</v>
      </c>
      <c r="G47" s="157" t="s">
        <v>290</v>
      </c>
      <c r="H47" s="157" t="s">
        <v>290</v>
      </c>
      <c r="I47" s="157" t="s">
        <v>283</v>
      </c>
    </row>
    <row r="48" spans="2:42" x14ac:dyDescent="0.2">
      <c r="B48" s="140" t="s">
        <v>325</v>
      </c>
      <c r="C48" s="141" t="s">
        <v>276</v>
      </c>
      <c r="D48" s="150">
        <f>1.6/$C$27</f>
        <v>1.9813159533573821</v>
      </c>
      <c r="E48" s="151">
        <f>2.26/$C$27</f>
        <v>2.798608784117302</v>
      </c>
      <c r="F48" s="151">
        <f>3.12/$C$27</f>
        <v>3.8635661090468951</v>
      </c>
      <c r="G48" s="151">
        <f>2.4/$C$27</f>
        <v>2.9719739300360728</v>
      </c>
      <c r="H48" s="151">
        <f>2.4/$C$27</f>
        <v>2.9719739300360728</v>
      </c>
      <c r="I48" s="151">
        <f>1.38/$C$27</f>
        <v>1.708885009770742</v>
      </c>
    </row>
    <row r="49" spans="2:9" x14ac:dyDescent="0.2">
      <c r="B49" s="140" t="s">
        <v>326</v>
      </c>
      <c r="C49" s="141" t="s">
        <v>276</v>
      </c>
      <c r="D49" s="150">
        <f>0.22/$C$27</f>
        <v>0.27243094358664005</v>
      </c>
      <c r="E49" s="151">
        <f>0.32/$C$27</f>
        <v>0.39626319067147642</v>
      </c>
      <c r="F49" s="151">
        <f>0.6/$C$27</f>
        <v>0.7429934825090182</v>
      </c>
      <c r="G49" s="151">
        <f>0.24/$C$27</f>
        <v>0.29719739300360731</v>
      </c>
      <c r="H49" s="151">
        <f>0.24/$C$27</f>
        <v>0.29719739300360731</v>
      </c>
      <c r="I49" s="151">
        <f>0.13/$C$27</f>
        <v>0.16098192121028729</v>
      </c>
    </row>
    <row r="50" spans="2:9" x14ac:dyDescent="0.2">
      <c r="B50" s="140" t="s">
        <v>284</v>
      </c>
      <c r="C50" s="141" t="s">
        <v>276</v>
      </c>
      <c r="D50" s="150" t="s">
        <v>286</v>
      </c>
      <c r="E50" s="151" t="s">
        <v>286</v>
      </c>
      <c r="F50" s="151" t="s">
        <v>286</v>
      </c>
      <c r="G50" s="151">
        <f>2.92/$C$27</f>
        <v>3.6159016148772221</v>
      </c>
      <c r="H50" s="151" t="s">
        <v>286</v>
      </c>
      <c r="I50" s="151">
        <f>2.8/$C$27</f>
        <v>3.4673029183754185</v>
      </c>
    </row>
    <row r="51" spans="2:9" x14ac:dyDescent="0.2">
      <c r="B51" s="140" t="s">
        <v>327</v>
      </c>
      <c r="C51" s="141" t="s">
        <v>276</v>
      </c>
      <c r="D51" s="150">
        <f>1.4/$C$27</f>
        <v>1.7336514591877092</v>
      </c>
      <c r="E51" s="151">
        <f>1.4/$C$27</f>
        <v>1.7336514591877092</v>
      </c>
      <c r="F51" s="151">
        <f>3.7/$C$27</f>
        <v>4.5817931421389462</v>
      </c>
      <c r="G51" s="151" t="s">
        <v>286</v>
      </c>
      <c r="H51" s="151">
        <f>1.8/$C$27</f>
        <v>2.2289804475270549</v>
      </c>
      <c r="I51" s="151" t="s">
        <v>286</v>
      </c>
    </row>
    <row r="52" spans="2:9" x14ac:dyDescent="0.2">
      <c r="B52" s="140" t="s">
        <v>328</v>
      </c>
      <c r="C52" s="141" t="s">
        <v>276</v>
      </c>
      <c r="D52" s="150">
        <f>0.29/$C$27</f>
        <v>0.35911351654602547</v>
      </c>
      <c r="E52" s="151">
        <f>0.29/$C$27</f>
        <v>0.35911351654602547</v>
      </c>
      <c r="F52" s="151">
        <f>0.6/$C$27</f>
        <v>0.7429934825090182</v>
      </c>
      <c r="G52" s="151">
        <f>0.28/$C$27</f>
        <v>0.34673029183754189</v>
      </c>
      <c r="H52" s="151">
        <f>0.28/$C$27</f>
        <v>0.34673029183754189</v>
      </c>
      <c r="I52" s="151">
        <f>0.21/$C$27</f>
        <v>0.26004771887815636</v>
      </c>
    </row>
    <row r="53" spans="2:9" x14ac:dyDescent="0.2">
      <c r="B53" s="140" t="s">
        <v>329</v>
      </c>
      <c r="C53" s="141" t="s">
        <v>276</v>
      </c>
      <c r="D53" s="150">
        <f>0.35/$C$27</f>
        <v>0.43341286479692731</v>
      </c>
      <c r="E53" s="151">
        <f>0.59/$C$27</f>
        <v>0.73061025780053457</v>
      </c>
      <c r="F53" s="151">
        <f>0.5/$C$27</f>
        <v>0.61916123542418189</v>
      </c>
      <c r="G53" s="151">
        <f>0.4/$C$27</f>
        <v>0.49532898833934552</v>
      </c>
      <c r="H53" s="151">
        <f>0.4/$C$27</f>
        <v>0.49532898833934552</v>
      </c>
      <c r="I53" s="151">
        <f>0.24/$C$27</f>
        <v>0.29719739300360731</v>
      </c>
    </row>
    <row r="54" spans="2:9" x14ac:dyDescent="0.2">
      <c r="B54" s="140" t="s">
        <v>330</v>
      </c>
      <c r="C54" s="141" t="s">
        <v>276</v>
      </c>
      <c r="D54" s="150">
        <f>1.4/$C$27</f>
        <v>1.7336514591877092</v>
      </c>
      <c r="E54" s="151">
        <f>1.45/$C$27</f>
        <v>1.7955675827301274</v>
      </c>
      <c r="F54" s="151">
        <f>2.1/$C$27</f>
        <v>2.6004771887815639</v>
      </c>
      <c r="G54" s="151">
        <f>1.48/$C$27</f>
        <v>1.8327172568555783</v>
      </c>
      <c r="H54" s="151">
        <f>1.6/$C$27</f>
        <v>1.9813159533573821</v>
      </c>
      <c r="I54" s="151">
        <f>1.29/$C$27</f>
        <v>1.5974359873943893</v>
      </c>
    </row>
    <row r="55" spans="2:9" x14ac:dyDescent="0.2">
      <c r="B55" s="140" t="s">
        <v>331</v>
      </c>
      <c r="C55" s="141" t="s">
        <v>277</v>
      </c>
      <c r="D55" s="150">
        <f>68.1/$C$27</f>
        <v>84.329760264773569</v>
      </c>
      <c r="E55" s="151">
        <f>68.1/$C$27</f>
        <v>84.329760264773569</v>
      </c>
      <c r="F55" s="151">
        <f>81.7/$C$27</f>
        <v>101.17094586831132</v>
      </c>
      <c r="G55" s="151">
        <f>68.1/$C$27</f>
        <v>84.329760264773569</v>
      </c>
      <c r="H55" s="151">
        <f>68.1/$C$27</f>
        <v>84.329760264773569</v>
      </c>
      <c r="I55" s="151">
        <f>68.1/$C$27</f>
        <v>84.329760264773569</v>
      </c>
    </row>
    <row r="56" spans="2:9" x14ac:dyDescent="0.2">
      <c r="B56" s="1" t="s">
        <v>438</v>
      </c>
    </row>
    <row r="58" spans="2:9" ht="33.75" x14ac:dyDescent="0.2">
      <c r="B58" s="158" t="s">
        <v>336</v>
      </c>
      <c r="C58" s="154" t="s">
        <v>337</v>
      </c>
    </row>
    <row r="59" spans="2:9" x14ac:dyDescent="0.2">
      <c r="B59" s="149" t="s">
        <v>333</v>
      </c>
      <c r="C59" s="84">
        <f>0.023/$C$27</f>
        <v>2.8481416829512368E-2</v>
      </c>
    </row>
    <row r="60" spans="2:9" x14ac:dyDescent="0.2">
      <c r="B60" s="149" t="s">
        <v>334</v>
      </c>
      <c r="C60" s="84">
        <f>0.016/$C$27</f>
        <v>1.9813159533573821E-2</v>
      </c>
    </row>
    <row r="61" spans="2:9" x14ac:dyDescent="0.2">
      <c r="B61" s="149" t="s">
        <v>335</v>
      </c>
      <c r="C61" s="84">
        <f>0.021/$C$27</f>
        <v>2.600477188781564E-2</v>
      </c>
    </row>
    <row r="62" spans="2:9" x14ac:dyDescent="0.2">
      <c r="B62" s="1" t="s">
        <v>439</v>
      </c>
    </row>
    <row r="64" spans="2:9" ht="17.25" customHeight="1" x14ac:dyDescent="0.2">
      <c r="B64" s="523" t="s">
        <v>7</v>
      </c>
      <c r="C64" s="523"/>
      <c r="E64" s="2" t="s">
        <v>107</v>
      </c>
    </row>
    <row r="65" spans="2:6" x14ac:dyDescent="0.2">
      <c r="B65" s="23" t="s">
        <v>65</v>
      </c>
      <c r="C65" s="85">
        <v>0.9</v>
      </c>
      <c r="E65" s="2" t="s">
        <v>108</v>
      </c>
    </row>
    <row r="66" spans="2:6" x14ac:dyDescent="0.2">
      <c r="B66" s="3" t="s">
        <v>105</v>
      </c>
      <c r="C66" s="86">
        <v>0.5</v>
      </c>
    </row>
    <row r="67" spans="2:6" x14ac:dyDescent="0.2">
      <c r="B67" s="3" t="s">
        <v>103</v>
      </c>
      <c r="C67" s="86">
        <v>0.6</v>
      </c>
    </row>
    <row r="68" spans="2:6" x14ac:dyDescent="0.2">
      <c r="B68" s="3" t="s">
        <v>66</v>
      </c>
      <c r="C68" s="86">
        <v>1</v>
      </c>
    </row>
    <row r="69" spans="2:6" x14ac:dyDescent="0.2">
      <c r="B69" s="1" t="s">
        <v>104</v>
      </c>
      <c r="C69" s="87"/>
    </row>
    <row r="70" spans="2:6" x14ac:dyDescent="0.2">
      <c r="B70" s="1"/>
      <c r="C70" s="87"/>
    </row>
    <row r="71" spans="2:6" ht="17.25" customHeight="1" x14ac:dyDescent="0.2">
      <c r="B71" s="152" t="s">
        <v>106</v>
      </c>
      <c r="C71" s="13">
        <v>0.9</v>
      </c>
      <c r="E71" s="2" t="s">
        <v>109</v>
      </c>
    </row>
    <row r="72" spans="2:6" x14ac:dyDescent="0.2">
      <c r="B72" s="1" t="s">
        <v>104</v>
      </c>
    </row>
    <row r="74" spans="2:6" ht="34.5" customHeight="1" x14ac:dyDescent="0.2">
      <c r="B74" s="159" t="s">
        <v>68</v>
      </c>
      <c r="C74" s="160" t="s">
        <v>249</v>
      </c>
      <c r="D74" s="160" t="s">
        <v>69</v>
      </c>
      <c r="E74" s="160" t="s">
        <v>70</v>
      </c>
    </row>
    <row r="75" spans="2:6" x14ac:dyDescent="0.2">
      <c r="B75" s="3" t="s">
        <v>112</v>
      </c>
      <c r="C75" s="71">
        <v>7.2999999999999995E-2</v>
      </c>
      <c r="D75" s="71">
        <v>0.24399999999999999</v>
      </c>
      <c r="E75" s="71">
        <v>0.68300000000000005</v>
      </c>
      <c r="F75" s="72">
        <f>SUM(C75:E75)</f>
        <v>1</v>
      </c>
    </row>
    <row r="76" spans="2:6" x14ac:dyDescent="0.2">
      <c r="B76" s="3" t="s">
        <v>77</v>
      </c>
      <c r="C76" s="71">
        <v>3.6999999999999998E-2</v>
      </c>
      <c r="D76" s="71">
        <v>0.33800000000000002</v>
      </c>
      <c r="E76" s="71">
        <v>0.625</v>
      </c>
      <c r="F76" s="72">
        <f t="shared" ref="F76:F78" si="0">SUM(C76:E76)</f>
        <v>1</v>
      </c>
    </row>
    <row r="77" spans="2:6" x14ac:dyDescent="0.2">
      <c r="B77" s="3" t="s">
        <v>71</v>
      </c>
      <c r="C77" s="71">
        <v>3.7999999999999999E-2</v>
      </c>
      <c r="D77" s="71">
        <v>0.39200000000000002</v>
      </c>
      <c r="E77" s="71">
        <v>0.56999999999999995</v>
      </c>
      <c r="F77" s="72">
        <f t="shared" si="0"/>
        <v>1</v>
      </c>
    </row>
    <row r="78" spans="2:6" x14ac:dyDescent="0.2">
      <c r="B78" s="3" t="s">
        <v>113</v>
      </c>
      <c r="C78" s="71">
        <v>4.2999999999999997E-2</v>
      </c>
      <c r="D78" s="71">
        <v>0.25600000000000001</v>
      </c>
      <c r="E78" s="71">
        <v>0.70099999999999996</v>
      </c>
      <c r="F78" s="72">
        <f t="shared" si="0"/>
        <v>1</v>
      </c>
    </row>
    <row r="79" spans="2:6" x14ac:dyDescent="0.2">
      <c r="B79" s="1" t="s">
        <v>76</v>
      </c>
    </row>
    <row r="81" spans="2:43" ht="17.25" customHeight="1" x14ac:dyDescent="0.2">
      <c r="B81" s="161" t="s">
        <v>116</v>
      </c>
      <c r="C81" s="156">
        <v>2021</v>
      </c>
      <c r="D81" s="156">
        <v>2022</v>
      </c>
      <c r="E81" s="156">
        <v>2023</v>
      </c>
      <c r="F81" s="156">
        <v>2024</v>
      </c>
      <c r="G81" s="156">
        <v>2025</v>
      </c>
      <c r="H81" s="156">
        <v>2026</v>
      </c>
      <c r="I81" s="156">
        <v>2027</v>
      </c>
      <c r="J81" s="156">
        <v>2028</v>
      </c>
      <c r="K81" s="156">
        <v>2029</v>
      </c>
      <c r="L81" s="156">
        <v>2030</v>
      </c>
      <c r="M81" s="156">
        <v>2031</v>
      </c>
      <c r="N81" s="156">
        <v>2032</v>
      </c>
      <c r="O81" s="156">
        <v>2033</v>
      </c>
      <c r="P81" s="156">
        <v>2034</v>
      </c>
      <c r="Q81" s="156">
        <v>2035</v>
      </c>
      <c r="R81" s="156">
        <v>2036</v>
      </c>
      <c r="S81" s="156">
        <v>2037</v>
      </c>
      <c r="T81" s="156">
        <v>2038</v>
      </c>
      <c r="U81" s="156">
        <v>2039</v>
      </c>
      <c r="V81" s="156">
        <v>2040</v>
      </c>
      <c r="W81" s="156">
        <v>2041</v>
      </c>
      <c r="X81" s="156">
        <v>2042</v>
      </c>
      <c r="Y81" s="156">
        <v>2043</v>
      </c>
      <c r="Z81" s="156">
        <v>2044</v>
      </c>
      <c r="AA81" s="156">
        <v>2045</v>
      </c>
      <c r="AB81" s="156">
        <v>2046</v>
      </c>
      <c r="AC81" s="156">
        <v>2047</v>
      </c>
      <c r="AD81" s="156">
        <v>2048</v>
      </c>
      <c r="AE81" s="156">
        <v>2049</v>
      </c>
      <c r="AF81" s="156">
        <v>2050</v>
      </c>
      <c r="AG81" s="156">
        <v>2051</v>
      </c>
      <c r="AH81" s="156">
        <v>2052</v>
      </c>
      <c r="AI81" s="156">
        <v>2053</v>
      </c>
      <c r="AJ81" s="156">
        <v>2054</v>
      </c>
      <c r="AK81" s="156">
        <v>2055</v>
      </c>
      <c r="AL81" s="156">
        <v>2056</v>
      </c>
      <c r="AM81" s="156">
        <v>2057</v>
      </c>
      <c r="AN81" s="156">
        <v>2058</v>
      </c>
      <c r="AO81" s="156">
        <v>2059</v>
      </c>
      <c r="AP81" s="156">
        <v>2060</v>
      </c>
    </row>
    <row r="82" spans="2:43" x14ac:dyDescent="0.2">
      <c r="B82" s="65" t="s">
        <v>183</v>
      </c>
      <c r="C82" s="44">
        <f>15.71/$C$27</f>
        <v>19.454046017027796</v>
      </c>
      <c r="D82" s="44">
        <f t="shared" ref="D82:AP82" si="1">ROUND(C82*(1+(0.7*D42)),2)</f>
        <v>19.690000000000001</v>
      </c>
      <c r="E82" s="44">
        <f t="shared" si="1"/>
        <v>19.86</v>
      </c>
      <c r="F82" s="44">
        <f t="shared" si="1"/>
        <v>20.100000000000001</v>
      </c>
      <c r="G82" s="44">
        <f t="shared" si="1"/>
        <v>20.47</v>
      </c>
      <c r="H82" s="44">
        <f t="shared" si="1"/>
        <v>20.74</v>
      </c>
      <c r="I82" s="44">
        <f t="shared" si="1"/>
        <v>20.99</v>
      </c>
      <c r="J82" s="44">
        <f t="shared" si="1"/>
        <v>21.24</v>
      </c>
      <c r="K82" s="44">
        <f t="shared" si="1"/>
        <v>21.49</v>
      </c>
      <c r="L82" s="44">
        <f t="shared" si="1"/>
        <v>21.75</v>
      </c>
      <c r="M82" s="44">
        <f t="shared" si="1"/>
        <v>21.93</v>
      </c>
      <c r="N82" s="44">
        <f t="shared" si="1"/>
        <v>22.11</v>
      </c>
      <c r="O82" s="44">
        <f t="shared" si="1"/>
        <v>22.3</v>
      </c>
      <c r="P82" s="44">
        <f t="shared" si="1"/>
        <v>22.49</v>
      </c>
      <c r="Q82" s="44">
        <f t="shared" si="1"/>
        <v>22.68</v>
      </c>
      <c r="R82" s="44">
        <f t="shared" si="1"/>
        <v>22.87</v>
      </c>
      <c r="S82" s="44">
        <f t="shared" si="1"/>
        <v>23.06</v>
      </c>
      <c r="T82" s="44">
        <f t="shared" si="1"/>
        <v>23.25</v>
      </c>
      <c r="U82" s="44">
        <f t="shared" si="1"/>
        <v>23.45</v>
      </c>
      <c r="V82" s="44">
        <f t="shared" si="1"/>
        <v>23.65</v>
      </c>
      <c r="W82" s="44">
        <f t="shared" si="1"/>
        <v>23.82</v>
      </c>
      <c r="X82" s="44">
        <f t="shared" si="1"/>
        <v>23.99</v>
      </c>
      <c r="Y82" s="44">
        <f t="shared" si="1"/>
        <v>24.16</v>
      </c>
      <c r="Z82" s="44">
        <f t="shared" si="1"/>
        <v>24.33</v>
      </c>
      <c r="AA82" s="44">
        <f t="shared" si="1"/>
        <v>24.5</v>
      </c>
      <c r="AB82" s="44">
        <f t="shared" si="1"/>
        <v>24.67</v>
      </c>
      <c r="AC82" s="44">
        <f t="shared" si="1"/>
        <v>24.84</v>
      </c>
      <c r="AD82" s="44">
        <f t="shared" si="1"/>
        <v>25.01</v>
      </c>
      <c r="AE82" s="44">
        <f t="shared" si="1"/>
        <v>25.19</v>
      </c>
      <c r="AF82" s="44">
        <f t="shared" si="1"/>
        <v>25.37</v>
      </c>
      <c r="AG82" s="44">
        <f t="shared" si="1"/>
        <v>25.6</v>
      </c>
      <c r="AH82" s="44">
        <f t="shared" si="1"/>
        <v>25.83</v>
      </c>
      <c r="AI82" s="44">
        <f t="shared" si="1"/>
        <v>26.07</v>
      </c>
      <c r="AJ82" s="44">
        <f t="shared" si="1"/>
        <v>26.31</v>
      </c>
      <c r="AK82" s="44">
        <f t="shared" si="1"/>
        <v>26.55</v>
      </c>
      <c r="AL82" s="44">
        <f t="shared" si="1"/>
        <v>26.79</v>
      </c>
      <c r="AM82" s="44">
        <f t="shared" si="1"/>
        <v>27.03</v>
      </c>
      <c r="AN82" s="44">
        <f t="shared" si="1"/>
        <v>27.28</v>
      </c>
      <c r="AO82" s="44">
        <f t="shared" si="1"/>
        <v>27.53</v>
      </c>
      <c r="AP82" s="44">
        <f t="shared" si="1"/>
        <v>27.78</v>
      </c>
      <c r="AQ82" s="118">
        <f>SUM(C82:AP82)</f>
        <v>946.22404601702772</v>
      </c>
    </row>
    <row r="83" spans="2:43" x14ac:dyDescent="0.2">
      <c r="B83" s="43" t="s">
        <v>114</v>
      </c>
      <c r="C83" s="45">
        <f>7.45/$C$27</f>
        <v>9.2255024078203096</v>
      </c>
      <c r="D83" s="45">
        <f>ROUND(C83*(1+(0.5*D42)),2)</f>
        <v>9.31</v>
      </c>
      <c r="E83" s="45">
        <f t="shared" ref="E83:AP83" si="2">ROUND(D83*(1+(0.5*E42)),2)</f>
        <v>9.3699999999999992</v>
      </c>
      <c r="F83" s="45">
        <f t="shared" si="2"/>
        <v>9.4499999999999993</v>
      </c>
      <c r="G83" s="45">
        <f t="shared" si="2"/>
        <v>9.58</v>
      </c>
      <c r="H83" s="45">
        <f t="shared" si="2"/>
        <v>9.67</v>
      </c>
      <c r="I83" s="45">
        <f t="shared" si="2"/>
        <v>9.75</v>
      </c>
      <c r="J83" s="45">
        <f t="shared" si="2"/>
        <v>9.83</v>
      </c>
      <c r="K83" s="45">
        <f t="shared" si="2"/>
        <v>9.91</v>
      </c>
      <c r="L83" s="45">
        <f t="shared" si="2"/>
        <v>9.99</v>
      </c>
      <c r="M83" s="45">
        <f t="shared" si="2"/>
        <v>10.050000000000001</v>
      </c>
      <c r="N83" s="45">
        <f t="shared" si="2"/>
        <v>10.11</v>
      </c>
      <c r="O83" s="45">
        <f t="shared" si="2"/>
        <v>10.17</v>
      </c>
      <c r="P83" s="45">
        <f t="shared" si="2"/>
        <v>10.23</v>
      </c>
      <c r="Q83" s="45">
        <f t="shared" si="2"/>
        <v>10.29</v>
      </c>
      <c r="R83" s="45">
        <f t="shared" si="2"/>
        <v>10.35</v>
      </c>
      <c r="S83" s="45">
        <f t="shared" si="2"/>
        <v>10.41</v>
      </c>
      <c r="T83" s="45">
        <f t="shared" si="2"/>
        <v>10.47</v>
      </c>
      <c r="U83" s="45">
        <f t="shared" si="2"/>
        <v>10.53</v>
      </c>
      <c r="V83" s="45">
        <f t="shared" si="2"/>
        <v>10.59</v>
      </c>
      <c r="W83" s="45">
        <f t="shared" si="2"/>
        <v>10.64</v>
      </c>
      <c r="X83" s="45">
        <f t="shared" si="2"/>
        <v>10.69</v>
      </c>
      <c r="Y83" s="45">
        <f t="shared" si="2"/>
        <v>10.74</v>
      </c>
      <c r="Z83" s="45">
        <f t="shared" si="2"/>
        <v>10.79</v>
      </c>
      <c r="AA83" s="45">
        <f t="shared" si="2"/>
        <v>10.84</v>
      </c>
      <c r="AB83" s="45">
        <f t="shared" si="2"/>
        <v>10.89</v>
      </c>
      <c r="AC83" s="45">
        <f t="shared" si="2"/>
        <v>10.94</v>
      </c>
      <c r="AD83" s="45">
        <f t="shared" si="2"/>
        <v>10.99</v>
      </c>
      <c r="AE83" s="45">
        <f t="shared" si="2"/>
        <v>11.04</v>
      </c>
      <c r="AF83" s="45">
        <f t="shared" si="2"/>
        <v>11.1</v>
      </c>
      <c r="AG83" s="45">
        <f t="shared" si="2"/>
        <v>11.17</v>
      </c>
      <c r="AH83" s="45">
        <f t="shared" si="2"/>
        <v>11.24</v>
      </c>
      <c r="AI83" s="45">
        <f t="shared" si="2"/>
        <v>11.31</v>
      </c>
      <c r="AJ83" s="45">
        <f t="shared" si="2"/>
        <v>11.38</v>
      </c>
      <c r="AK83" s="45">
        <f t="shared" si="2"/>
        <v>11.45</v>
      </c>
      <c r="AL83" s="45">
        <f t="shared" si="2"/>
        <v>11.52</v>
      </c>
      <c r="AM83" s="45">
        <f t="shared" si="2"/>
        <v>11.59</v>
      </c>
      <c r="AN83" s="45">
        <f t="shared" si="2"/>
        <v>11.67</v>
      </c>
      <c r="AO83" s="45">
        <f t="shared" si="2"/>
        <v>11.75</v>
      </c>
      <c r="AP83" s="45">
        <f t="shared" si="2"/>
        <v>11.83</v>
      </c>
      <c r="AQ83" s="118">
        <f t="shared" ref="AQ83:AQ84" si="3">SUM(C83:AP83)</f>
        <v>422.85550240782027</v>
      </c>
    </row>
    <row r="84" spans="2:43" x14ac:dyDescent="0.2">
      <c r="B84" s="66" t="s">
        <v>115</v>
      </c>
      <c r="C84" s="45">
        <f>4.86/$C$27</f>
        <v>6.0182472083230483</v>
      </c>
      <c r="D84" s="45">
        <f t="shared" ref="D84:AP84" si="4">ROUND(C84*(1+(0.5*D42)),2)</f>
        <v>6.07</v>
      </c>
      <c r="E84" s="45">
        <f t="shared" si="4"/>
        <v>6.11</v>
      </c>
      <c r="F84" s="45">
        <f t="shared" si="4"/>
        <v>6.16</v>
      </c>
      <c r="G84" s="45">
        <f t="shared" si="4"/>
        <v>6.24</v>
      </c>
      <c r="H84" s="45">
        <f t="shared" si="4"/>
        <v>6.3</v>
      </c>
      <c r="I84" s="45">
        <f t="shared" si="4"/>
        <v>6.35</v>
      </c>
      <c r="J84" s="45">
        <f t="shared" si="4"/>
        <v>6.4</v>
      </c>
      <c r="K84" s="45">
        <f t="shared" si="4"/>
        <v>6.45</v>
      </c>
      <c r="L84" s="45">
        <f t="shared" si="4"/>
        <v>6.5</v>
      </c>
      <c r="M84" s="45">
        <f t="shared" si="4"/>
        <v>6.54</v>
      </c>
      <c r="N84" s="45">
        <f t="shared" si="4"/>
        <v>6.58</v>
      </c>
      <c r="O84" s="45">
        <f t="shared" si="4"/>
        <v>6.62</v>
      </c>
      <c r="P84" s="45">
        <f t="shared" si="4"/>
        <v>6.66</v>
      </c>
      <c r="Q84" s="45">
        <f t="shared" si="4"/>
        <v>6.7</v>
      </c>
      <c r="R84" s="45">
        <f t="shared" si="4"/>
        <v>6.74</v>
      </c>
      <c r="S84" s="45">
        <f t="shared" si="4"/>
        <v>6.78</v>
      </c>
      <c r="T84" s="45">
        <f t="shared" si="4"/>
        <v>6.82</v>
      </c>
      <c r="U84" s="45">
        <f t="shared" si="4"/>
        <v>6.86</v>
      </c>
      <c r="V84" s="45">
        <f t="shared" si="4"/>
        <v>6.9</v>
      </c>
      <c r="W84" s="45">
        <f t="shared" si="4"/>
        <v>6.93</v>
      </c>
      <c r="X84" s="45">
        <f t="shared" si="4"/>
        <v>6.96</v>
      </c>
      <c r="Y84" s="45">
        <f t="shared" si="4"/>
        <v>6.99</v>
      </c>
      <c r="Z84" s="45">
        <f t="shared" si="4"/>
        <v>7.02</v>
      </c>
      <c r="AA84" s="45">
        <f t="shared" si="4"/>
        <v>7.06</v>
      </c>
      <c r="AB84" s="45">
        <f t="shared" si="4"/>
        <v>7.1</v>
      </c>
      <c r="AC84" s="45">
        <f t="shared" si="4"/>
        <v>7.14</v>
      </c>
      <c r="AD84" s="45">
        <f t="shared" si="4"/>
        <v>7.18</v>
      </c>
      <c r="AE84" s="45">
        <f t="shared" si="4"/>
        <v>7.22</v>
      </c>
      <c r="AF84" s="45">
        <f t="shared" si="4"/>
        <v>7.26</v>
      </c>
      <c r="AG84" s="45">
        <f t="shared" si="4"/>
        <v>7.31</v>
      </c>
      <c r="AH84" s="45">
        <f t="shared" si="4"/>
        <v>7.36</v>
      </c>
      <c r="AI84" s="45">
        <f t="shared" si="4"/>
        <v>7.41</v>
      </c>
      <c r="AJ84" s="45">
        <f t="shared" si="4"/>
        <v>7.46</v>
      </c>
      <c r="AK84" s="45">
        <f t="shared" si="4"/>
        <v>7.51</v>
      </c>
      <c r="AL84" s="45">
        <f t="shared" si="4"/>
        <v>7.56</v>
      </c>
      <c r="AM84" s="45">
        <f t="shared" si="4"/>
        <v>7.61</v>
      </c>
      <c r="AN84" s="45">
        <f t="shared" si="4"/>
        <v>7.66</v>
      </c>
      <c r="AO84" s="45">
        <f t="shared" si="4"/>
        <v>7.71</v>
      </c>
      <c r="AP84" s="45">
        <f t="shared" si="4"/>
        <v>7.76</v>
      </c>
      <c r="AQ84" s="118">
        <f t="shared" si="3"/>
        <v>276.00824720832304</v>
      </c>
    </row>
    <row r="85" spans="2:43" x14ac:dyDescent="0.2">
      <c r="B85" s="1" t="s">
        <v>440</v>
      </c>
    </row>
    <row r="86" spans="2:43" x14ac:dyDescent="0.2">
      <c r="B86" s="1"/>
    </row>
    <row r="87" spans="2:43" x14ac:dyDescent="0.2">
      <c r="B87" s="542" t="s">
        <v>291</v>
      </c>
      <c r="C87" s="530" t="s">
        <v>162</v>
      </c>
      <c r="D87" s="530" t="s">
        <v>275</v>
      </c>
      <c r="E87" s="530"/>
      <c r="F87" s="530"/>
      <c r="G87" s="530"/>
      <c r="H87" s="530"/>
      <c r="I87" s="530"/>
    </row>
    <row r="88" spans="2:43" x14ac:dyDescent="0.2">
      <c r="B88" s="543"/>
      <c r="C88" s="530"/>
      <c r="D88" s="157" t="s">
        <v>279</v>
      </c>
      <c r="E88" s="157" t="s">
        <v>279</v>
      </c>
      <c r="F88" s="157" t="s">
        <v>279</v>
      </c>
      <c r="G88" s="157" t="s">
        <v>265</v>
      </c>
      <c r="H88" s="157" t="s">
        <v>279</v>
      </c>
      <c r="I88" s="157" t="s">
        <v>282</v>
      </c>
    </row>
    <row r="89" spans="2:43" ht="22.5" x14ac:dyDescent="0.2">
      <c r="B89" s="162" t="s">
        <v>278</v>
      </c>
      <c r="C89" s="530"/>
      <c r="D89" s="157" t="s">
        <v>280</v>
      </c>
      <c r="E89" s="157" t="s">
        <v>281</v>
      </c>
      <c r="F89" s="157" t="s">
        <v>289</v>
      </c>
      <c r="G89" s="157" t="s">
        <v>290</v>
      </c>
      <c r="H89" s="157" t="s">
        <v>290</v>
      </c>
      <c r="I89" s="157" t="s">
        <v>283</v>
      </c>
    </row>
    <row r="90" spans="2:43" x14ac:dyDescent="0.2">
      <c r="B90" s="140" t="s">
        <v>284</v>
      </c>
      <c r="C90" s="141" t="s">
        <v>285</v>
      </c>
      <c r="D90" s="143" t="s">
        <v>286</v>
      </c>
      <c r="E90" s="142" t="s">
        <v>286</v>
      </c>
      <c r="F90" s="142" t="s">
        <v>286</v>
      </c>
      <c r="G90" s="145">
        <v>2.6</v>
      </c>
      <c r="H90" s="142" t="s">
        <v>286</v>
      </c>
      <c r="I90" s="145">
        <v>2.4</v>
      </c>
    </row>
    <row r="91" spans="2:43" x14ac:dyDescent="0.2">
      <c r="B91" s="140" t="s">
        <v>287</v>
      </c>
      <c r="C91" s="141" t="s">
        <v>288</v>
      </c>
      <c r="D91" s="144">
        <v>9.9</v>
      </c>
      <c r="E91" s="145">
        <v>10.3</v>
      </c>
      <c r="F91" s="145">
        <v>26</v>
      </c>
      <c r="G91" s="142" t="s">
        <v>286</v>
      </c>
      <c r="H91" s="145">
        <v>12.8</v>
      </c>
      <c r="I91" s="142" t="s">
        <v>286</v>
      </c>
    </row>
    <row r="92" spans="2:43" x14ac:dyDescent="0.2">
      <c r="B92" s="1" t="s">
        <v>292</v>
      </c>
    </row>
    <row r="94" spans="2:43" ht="12.75" x14ac:dyDescent="0.2">
      <c r="B94" s="526" t="s">
        <v>293</v>
      </c>
      <c r="C94" s="527"/>
      <c r="D94" s="527"/>
      <c r="E94" s="527"/>
      <c r="F94" s="528"/>
      <c r="G94" s="528"/>
    </row>
    <row r="95" spans="2:43" x14ac:dyDescent="0.2">
      <c r="B95" s="163" t="s">
        <v>102</v>
      </c>
      <c r="C95" s="157" t="s">
        <v>296</v>
      </c>
      <c r="D95" s="157" t="s">
        <v>297</v>
      </c>
      <c r="E95" s="157" t="s">
        <v>298</v>
      </c>
      <c r="F95" s="164" t="s">
        <v>165</v>
      </c>
      <c r="G95" s="164" t="s">
        <v>299</v>
      </c>
    </row>
    <row r="96" spans="2:43" x14ac:dyDescent="0.2">
      <c r="B96" s="47" t="s">
        <v>294</v>
      </c>
      <c r="C96" s="101">
        <v>1.1000000000000001</v>
      </c>
      <c r="D96" s="101">
        <v>63</v>
      </c>
      <c r="E96" s="101">
        <v>0.02</v>
      </c>
      <c r="F96" s="84">
        <v>4.8</v>
      </c>
      <c r="G96" s="84">
        <v>10</v>
      </c>
    </row>
    <row r="97" spans="2:43" x14ac:dyDescent="0.2">
      <c r="B97" s="100" t="s">
        <v>295</v>
      </c>
      <c r="C97" s="101">
        <v>2</v>
      </c>
      <c r="D97" s="101">
        <v>54.4</v>
      </c>
      <c r="E97" s="101">
        <v>0.02</v>
      </c>
      <c r="F97" s="84">
        <v>4.5999999999999996</v>
      </c>
      <c r="G97" s="84">
        <v>10</v>
      </c>
    </row>
    <row r="98" spans="2:43" x14ac:dyDescent="0.2">
      <c r="B98" s="47" t="s">
        <v>283</v>
      </c>
      <c r="C98" s="101">
        <v>1</v>
      </c>
      <c r="D98" s="101">
        <v>39.9</v>
      </c>
      <c r="E98" s="101">
        <v>0.02</v>
      </c>
      <c r="F98" s="84">
        <v>4.7</v>
      </c>
      <c r="G98" s="84">
        <v>10</v>
      </c>
    </row>
    <row r="99" spans="2:43" x14ac:dyDescent="0.2">
      <c r="B99" s="1" t="s">
        <v>300</v>
      </c>
    </row>
    <row r="100" spans="2:43" x14ac:dyDescent="0.2">
      <c r="B100" s="1"/>
    </row>
    <row r="101" spans="2:43" ht="22.5" x14ac:dyDescent="0.2">
      <c r="B101" s="161" t="s">
        <v>175</v>
      </c>
      <c r="C101" s="156">
        <v>2021</v>
      </c>
      <c r="D101" s="156">
        <v>2022</v>
      </c>
      <c r="E101" s="156">
        <v>2023</v>
      </c>
      <c r="F101" s="156">
        <v>2024</v>
      </c>
      <c r="G101" s="156">
        <v>2025</v>
      </c>
      <c r="H101" s="156">
        <v>2026</v>
      </c>
      <c r="I101" s="156">
        <v>2027</v>
      </c>
      <c r="J101" s="156">
        <v>2028</v>
      </c>
      <c r="K101" s="156">
        <v>2029</v>
      </c>
      <c r="L101" s="156">
        <v>2030</v>
      </c>
      <c r="M101" s="156">
        <v>2031</v>
      </c>
      <c r="N101" s="156">
        <v>2032</v>
      </c>
      <c r="O101" s="156">
        <v>2033</v>
      </c>
      <c r="P101" s="156">
        <v>2034</v>
      </c>
      <c r="Q101" s="156">
        <v>2035</v>
      </c>
      <c r="R101" s="156">
        <v>2036</v>
      </c>
      <c r="S101" s="156">
        <v>2037</v>
      </c>
      <c r="T101" s="156">
        <v>2038</v>
      </c>
      <c r="U101" s="156">
        <v>2039</v>
      </c>
      <c r="V101" s="156">
        <v>2040</v>
      </c>
      <c r="W101" s="156">
        <v>2041</v>
      </c>
      <c r="X101" s="156">
        <v>2042</v>
      </c>
      <c r="Y101" s="156">
        <v>2043</v>
      </c>
      <c r="Z101" s="156">
        <v>2044</v>
      </c>
      <c r="AA101" s="156">
        <v>2045</v>
      </c>
      <c r="AB101" s="156">
        <v>2046</v>
      </c>
      <c r="AC101" s="156">
        <v>2047</v>
      </c>
      <c r="AD101" s="156">
        <v>2048</v>
      </c>
      <c r="AE101" s="156">
        <v>2049</v>
      </c>
      <c r="AF101" s="156">
        <v>2050</v>
      </c>
      <c r="AG101" s="156">
        <v>2051</v>
      </c>
      <c r="AH101" s="156">
        <v>2052</v>
      </c>
      <c r="AI101" s="156">
        <v>2053</v>
      </c>
      <c r="AJ101" s="156">
        <v>2054</v>
      </c>
      <c r="AK101" s="156">
        <v>2055</v>
      </c>
      <c r="AL101" s="156">
        <v>2056</v>
      </c>
      <c r="AM101" s="156">
        <v>2057</v>
      </c>
      <c r="AN101" s="156">
        <v>2058</v>
      </c>
      <c r="AO101" s="156">
        <v>2059</v>
      </c>
      <c r="AP101" s="156">
        <v>2060</v>
      </c>
    </row>
    <row r="102" spans="2:43" x14ac:dyDescent="0.2">
      <c r="B102" s="46" t="s">
        <v>176</v>
      </c>
      <c r="C102" s="105">
        <f>67.1/$C$27</f>
        <v>83.091437793925209</v>
      </c>
      <c r="D102" s="105">
        <f t="shared" ref="D102:AP102" si="5">ROUND(C102*(1+(0.7*D42)),2)</f>
        <v>84.09</v>
      </c>
      <c r="E102" s="105">
        <f t="shared" si="5"/>
        <v>84.83</v>
      </c>
      <c r="F102" s="105">
        <f t="shared" si="5"/>
        <v>85.87</v>
      </c>
      <c r="G102" s="105">
        <f t="shared" si="5"/>
        <v>87.47</v>
      </c>
      <c r="H102" s="105">
        <f t="shared" si="5"/>
        <v>88.64</v>
      </c>
      <c r="I102" s="105">
        <f t="shared" si="5"/>
        <v>89.69</v>
      </c>
      <c r="J102" s="105">
        <f t="shared" si="5"/>
        <v>90.76</v>
      </c>
      <c r="K102" s="105">
        <f t="shared" si="5"/>
        <v>91.84</v>
      </c>
      <c r="L102" s="105">
        <f t="shared" si="5"/>
        <v>92.93</v>
      </c>
      <c r="M102" s="105">
        <f t="shared" si="5"/>
        <v>93.71</v>
      </c>
      <c r="N102" s="105">
        <f t="shared" si="5"/>
        <v>94.5</v>
      </c>
      <c r="O102" s="105">
        <f t="shared" si="5"/>
        <v>95.29</v>
      </c>
      <c r="P102" s="105">
        <f t="shared" si="5"/>
        <v>96.09</v>
      </c>
      <c r="Q102" s="105">
        <f t="shared" si="5"/>
        <v>96.9</v>
      </c>
      <c r="R102" s="105">
        <f t="shared" si="5"/>
        <v>97.71</v>
      </c>
      <c r="S102" s="105">
        <f t="shared" si="5"/>
        <v>98.53</v>
      </c>
      <c r="T102" s="105">
        <f t="shared" si="5"/>
        <v>99.36</v>
      </c>
      <c r="U102" s="105">
        <f t="shared" si="5"/>
        <v>100.19</v>
      </c>
      <c r="V102" s="105">
        <f t="shared" si="5"/>
        <v>101.03</v>
      </c>
      <c r="W102" s="105">
        <f t="shared" si="5"/>
        <v>101.74</v>
      </c>
      <c r="X102" s="105">
        <f t="shared" si="5"/>
        <v>102.45</v>
      </c>
      <c r="Y102" s="105">
        <f t="shared" si="5"/>
        <v>103.17</v>
      </c>
      <c r="Z102" s="105">
        <f t="shared" si="5"/>
        <v>103.89</v>
      </c>
      <c r="AA102" s="105">
        <f t="shared" si="5"/>
        <v>104.62</v>
      </c>
      <c r="AB102" s="105">
        <f t="shared" si="5"/>
        <v>105.35</v>
      </c>
      <c r="AC102" s="105">
        <f t="shared" si="5"/>
        <v>106.09</v>
      </c>
      <c r="AD102" s="105">
        <f t="shared" si="5"/>
        <v>106.83</v>
      </c>
      <c r="AE102" s="105">
        <f t="shared" si="5"/>
        <v>107.58</v>
      </c>
      <c r="AF102" s="105">
        <f t="shared" si="5"/>
        <v>108.33</v>
      </c>
      <c r="AG102" s="105">
        <f t="shared" si="5"/>
        <v>109.32</v>
      </c>
      <c r="AH102" s="105">
        <f t="shared" si="5"/>
        <v>110.31</v>
      </c>
      <c r="AI102" s="105">
        <f t="shared" si="5"/>
        <v>111.31</v>
      </c>
      <c r="AJ102" s="105">
        <f t="shared" si="5"/>
        <v>112.32</v>
      </c>
      <c r="AK102" s="105">
        <f t="shared" si="5"/>
        <v>113.34</v>
      </c>
      <c r="AL102" s="105">
        <f t="shared" si="5"/>
        <v>114.37</v>
      </c>
      <c r="AM102" s="105">
        <f t="shared" si="5"/>
        <v>115.41</v>
      </c>
      <c r="AN102" s="105">
        <f t="shared" si="5"/>
        <v>116.46</v>
      </c>
      <c r="AO102" s="105">
        <f t="shared" si="5"/>
        <v>117.52</v>
      </c>
      <c r="AP102" s="105">
        <f t="shared" si="5"/>
        <v>118.59</v>
      </c>
      <c r="AQ102" s="117">
        <f>SUM(C102:AP102)</f>
        <v>4041.5214377939251</v>
      </c>
    </row>
    <row r="103" spans="2:43" x14ac:dyDescent="0.2">
      <c r="B103" s="46" t="s">
        <v>177</v>
      </c>
      <c r="C103" s="105">
        <f>119.4/$C$27</f>
        <v>147.85570301929465</v>
      </c>
      <c r="D103" s="105">
        <f t="shared" ref="D103:AP103" si="6">ROUND(C103*(1+(0.7*D42)),2)</f>
        <v>149.63999999999999</v>
      </c>
      <c r="E103" s="105">
        <f t="shared" si="6"/>
        <v>150.97</v>
      </c>
      <c r="F103" s="105">
        <f t="shared" si="6"/>
        <v>152.83000000000001</v>
      </c>
      <c r="G103" s="105">
        <f t="shared" si="6"/>
        <v>155.66999999999999</v>
      </c>
      <c r="H103" s="105">
        <f t="shared" si="6"/>
        <v>157.75</v>
      </c>
      <c r="I103" s="105">
        <f t="shared" si="6"/>
        <v>159.63</v>
      </c>
      <c r="J103" s="105">
        <f t="shared" si="6"/>
        <v>161.53</v>
      </c>
      <c r="K103" s="105">
        <f t="shared" si="6"/>
        <v>163.44999999999999</v>
      </c>
      <c r="L103" s="105">
        <f t="shared" si="6"/>
        <v>165.4</v>
      </c>
      <c r="M103" s="105">
        <f t="shared" si="6"/>
        <v>166.79</v>
      </c>
      <c r="N103" s="105">
        <f t="shared" si="6"/>
        <v>168.19</v>
      </c>
      <c r="O103" s="105">
        <f t="shared" si="6"/>
        <v>169.6</v>
      </c>
      <c r="P103" s="105">
        <f t="shared" si="6"/>
        <v>171.02</v>
      </c>
      <c r="Q103" s="105">
        <f t="shared" si="6"/>
        <v>172.46</v>
      </c>
      <c r="R103" s="105">
        <f t="shared" si="6"/>
        <v>173.91</v>
      </c>
      <c r="S103" s="105">
        <f t="shared" si="6"/>
        <v>175.37</v>
      </c>
      <c r="T103" s="105">
        <f t="shared" si="6"/>
        <v>176.84</v>
      </c>
      <c r="U103" s="105">
        <f t="shared" si="6"/>
        <v>178.33</v>
      </c>
      <c r="V103" s="105">
        <f t="shared" si="6"/>
        <v>179.83</v>
      </c>
      <c r="W103" s="105">
        <f t="shared" si="6"/>
        <v>181.09</v>
      </c>
      <c r="X103" s="105">
        <f t="shared" si="6"/>
        <v>182.36</v>
      </c>
      <c r="Y103" s="105">
        <f t="shared" si="6"/>
        <v>183.64</v>
      </c>
      <c r="Z103" s="105">
        <f t="shared" si="6"/>
        <v>184.93</v>
      </c>
      <c r="AA103" s="105">
        <f t="shared" si="6"/>
        <v>186.22</v>
      </c>
      <c r="AB103" s="105">
        <f t="shared" si="6"/>
        <v>187.52</v>
      </c>
      <c r="AC103" s="105">
        <f t="shared" si="6"/>
        <v>188.83</v>
      </c>
      <c r="AD103" s="105">
        <f t="shared" si="6"/>
        <v>190.15</v>
      </c>
      <c r="AE103" s="105">
        <f t="shared" si="6"/>
        <v>191.48</v>
      </c>
      <c r="AF103" s="105">
        <f t="shared" si="6"/>
        <v>192.82</v>
      </c>
      <c r="AG103" s="105">
        <f t="shared" si="6"/>
        <v>194.57</v>
      </c>
      <c r="AH103" s="105">
        <f t="shared" si="6"/>
        <v>196.34</v>
      </c>
      <c r="AI103" s="105">
        <f t="shared" si="6"/>
        <v>198.13</v>
      </c>
      <c r="AJ103" s="105">
        <f t="shared" si="6"/>
        <v>199.93</v>
      </c>
      <c r="AK103" s="105">
        <f t="shared" si="6"/>
        <v>201.75</v>
      </c>
      <c r="AL103" s="105">
        <f t="shared" si="6"/>
        <v>203.59</v>
      </c>
      <c r="AM103" s="105">
        <f t="shared" si="6"/>
        <v>205.44</v>
      </c>
      <c r="AN103" s="105">
        <f t="shared" si="6"/>
        <v>207.31</v>
      </c>
      <c r="AO103" s="105">
        <f t="shared" si="6"/>
        <v>209.2</v>
      </c>
      <c r="AP103" s="105">
        <f t="shared" si="6"/>
        <v>211.1</v>
      </c>
      <c r="AQ103" s="117">
        <f t="shared" ref="AQ103:AQ108" si="7">SUM(C103:AP103)</f>
        <v>7193.4657030192948</v>
      </c>
    </row>
    <row r="104" spans="2:43" x14ac:dyDescent="0.2">
      <c r="B104" s="46" t="s">
        <v>182</v>
      </c>
      <c r="C104" s="105">
        <f>16.7/$C$27</f>
        <v>20.679985263167673</v>
      </c>
      <c r="D104" s="105">
        <f t="shared" ref="D104:AP104" si="8">ROUND(C104*(1+(0.7*D42)),2)</f>
        <v>20.93</v>
      </c>
      <c r="E104" s="105">
        <f t="shared" si="8"/>
        <v>21.12</v>
      </c>
      <c r="F104" s="105">
        <f t="shared" si="8"/>
        <v>21.38</v>
      </c>
      <c r="G104" s="105">
        <f t="shared" si="8"/>
        <v>21.78</v>
      </c>
      <c r="H104" s="105">
        <f t="shared" si="8"/>
        <v>22.07</v>
      </c>
      <c r="I104" s="105">
        <f t="shared" si="8"/>
        <v>22.33</v>
      </c>
      <c r="J104" s="105">
        <f t="shared" si="8"/>
        <v>22.6</v>
      </c>
      <c r="K104" s="105">
        <f t="shared" si="8"/>
        <v>22.87</v>
      </c>
      <c r="L104" s="105">
        <f t="shared" si="8"/>
        <v>23.14</v>
      </c>
      <c r="M104" s="105">
        <f t="shared" si="8"/>
        <v>23.33</v>
      </c>
      <c r="N104" s="105">
        <f t="shared" si="8"/>
        <v>23.53</v>
      </c>
      <c r="O104" s="105">
        <f t="shared" si="8"/>
        <v>23.73</v>
      </c>
      <c r="P104" s="105">
        <f t="shared" si="8"/>
        <v>23.93</v>
      </c>
      <c r="Q104" s="105">
        <f t="shared" si="8"/>
        <v>24.13</v>
      </c>
      <c r="R104" s="105">
        <f t="shared" si="8"/>
        <v>24.33</v>
      </c>
      <c r="S104" s="105">
        <f t="shared" si="8"/>
        <v>24.53</v>
      </c>
      <c r="T104" s="105">
        <f t="shared" si="8"/>
        <v>24.74</v>
      </c>
      <c r="U104" s="105">
        <f t="shared" si="8"/>
        <v>24.95</v>
      </c>
      <c r="V104" s="105">
        <f t="shared" si="8"/>
        <v>25.16</v>
      </c>
      <c r="W104" s="105">
        <f t="shared" si="8"/>
        <v>25.34</v>
      </c>
      <c r="X104" s="105">
        <f t="shared" si="8"/>
        <v>25.52</v>
      </c>
      <c r="Y104" s="105">
        <f t="shared" si="8"/>
        <v>25.7</v>
      </c>
      <c r="Z104" s="105">
        <f t="shared" si="8"/>
        <v>25.88</v>
      </c>
      <c r="AA104" s="105">
        <f t="shared" si="8"/>
        <v>26.06</v>
      </c>
      <c r="AB104" s="105">
        <f t="shared" si="8"/>
        <v>26.24</v>
      </c>
      <c r="AC104" s="105">
        <f t="shared" si="8"/>
        <v>26.42</v>
      </c>
      <c r="AD104" s="105">
        <f t="shared" si="8"/>
        <v>26.6</v>
      </c>
      <c r="AE104" s="105">
        <f t="shared" si="8"/>
        <v>26.79</v>
      </c>
      <c r="AF104" s="105">
        <f t="shared" si="8"/>
        <v>26.98</v>
      </c>
      <c r="AG104" s="105">
        <f t="shared" si="8"/>
        <v>27.23</v>
      </c>
      <c r="AH104" s="105">
        <f t="shared" si="8"/>
        <v>27.48</v>
      </c>
      <c r="AI104" s="105">
        <f t="shared" si="8"/>
        <v>27.73</v>
      </c>
      <c r="AJ104" s="105">
        <f t="shared" si="8"/>
        <v>27.98</v>
      </c>
      <c r="AK104" s="105">
        <f t="shared" si="8"/>
        <v>28.23</v>
      </c>
      <c r="AL104" s="105">
        <f t="shared" si="8"/>
        <v>28.49</v>
      </c>
      <c r="AM104" s="105">
        <f t="shared" si="8"/>
        <v>28.75</v>
      </c>
      <c r="AN104" s="105">
        <f t="shared" si="8"/>
        <v>29.01</v>
      </c>
      <c r="AO104" s="105">
        <f t="shared" si="8"/>
        <v>29.27</v>
      </c>
      <c r="AP104" s="105">
        <f t="shared" si="8"/>
        <v>29.54</v>
      </c>
      <c r="AQ104" s="117">
        <f t="shared" si="7"/>
        <v>1006.4999852631677</v>
      </c>
    </row>
    <row r="105" spans="2:43" x14ac:dyDescent="0.2">
      <c r="B105" s="46" t="s">
        <v>181</v>
      </c>
      <c r="C105" s="105">
        <f>28.2/$C$27</f>
        <v>34.920693677923857</v>
      </c>
      <c r="D105" s="105">
        <f>ROUND(C105*(1+(0.7*D42)),2)</f>
        <v>35.340000000000003</v>
      </c>
      <c r="E105" s="105">
        <f t="shared" ref="E105:AP105" si="9">ROUND(D105*(1+(0.7*E42)),2)</f>
        <v>35.65</v>
      </c>
      <c r="F105" s="105">
        <f t="shared" si="9"/>
        <v>36.090000000000003</v>
      </c>
      <c r="G105" s="105">
        <f t="shared" si="9"/>
        <v>36.76</v>
      </c>
      <c r="H105" s="105">
        <f t="shared" si="9"/>
        <v>37.25</v>
      </c>
      <c r="I105" s="105">
        <f t="shared" si="9"/>
        <v>37.69</v>
      </c>
      <c r="J105" s="105">
        <f t="shared" si="9"/>
        <v>38.14</v>
      </c>
      <c r="K105" s="105">
        <f t="shared" si="9"/>
        <v>38.590000000000003</v>
      </c>
      <c r="L105" s="105">
        <f t="shared" si="9"/>
        <v>39.049999999999997</v>
      </c>
      <c r="M105" s="105">
        <f t="shared" si="9"/>
        <v>39.380000000000003</v>
      </c>
      <c r="N105" s="105">
        <f t="shared" si="9"/>
        <v>39.71</v>
      </c>
      <c r="O105" s="105">
        <f t="shared" si="9"/>
        <v>40.04</v>
      </c>
      <c r="P105" s="105">
        <f t="shared" si="9"/>
        <v>40.380000000000003</v>
      </c>
      <c r="Q105" s="105">
        <f t="shared" si="9"/>
        <v>40.72</v>
      </c>
      <c r="R105" s="105">
        <f t="shared" si="9"/>
        <v>41.06</v>
      </c>
      <c r="S105" s="105">
        <f t="shared" si="9"/>
        <v>41.4</v>
      </c>
      <c r="T105" s="105">
        <f t="shared" si="9"/>
        <v>41.75</v>
      </c>
      <c r="U105" s="105">
        <f t="shared" si="9"/>
        <v>42.1</v>
      </c>
      <c r="V105" s="105">
        <f t="shared" si="9"/>
        <v>42.45</v>
      </c>
      <c r="W105" s="105">
        <f t="shared" si="9"/>
        <v>42.75</v>
      </c>
      <c r="X105" s="105">
        <f t="shared" si="9"/>
        <v>43.05</v>
      </c>
      <c r="Y105" s="105">
        <f t="shared" si="9"/>
        <v>43.35</v>
      </c>
      <c r="Z105" s="105">
        <f t="shared" si="9"/>
        <v>43.65</v>
      </c>
      <c r="AA105" s="105">
        <f t="shared" si="9"/>
        <v>43.96</v>
      </c>
      <c r="AB105" s="105">
        <f t="shared" si="9"/>
        <v>44.27</v>
      </c>
      <c r="AC105" s="105">
        <f t="shared" si="9"/>
        <v>44.58</v>
      </c>
      <c r="AD105" s="105">
        <f t="shared" si="9"/>
        <v>44.89</v>
      </c>
      <c r="AE105" s="105">
        <f t="shared" si="9"/>
        <v>45.2</v>
      </c>
      <c r="AF105" s="105">
        <f t="shared" si="9"/>
        <v>45.52</v>
      </c>
      <c r="AG105" s="105">
        <f t="shared" si="9"/>
        <v>45.93</v>
      </c>
      <c r="AH105" s="105">
        <f t="shared" si="9"/>
        <v>46.35</v>
      </c>
      <c r="AI105" s="105">
        <f t="shared" si="9"/>
        <v>46.77</v>
      </c>
      <c r="AJ105" s="105">
        <f t="shared" si="9"/>
        <v>47.2</v>
      </c>
      <c r="AK105" s="105">
        <f t="shared" si="9"/>
        <v>47.63</v>
      </c>
      <c r="AL105" s="105">
        <f t="shared" si="9"/>
        <v>48.06</v>
      </c>
      <c r="AM105" s="105">
        <f t="shared" si="9"/>
        <v>48.5</v>
      </c>
      <c r="AN105" s="105">
        <f t="shared" si="9"/>
        <v>48.94</v>
      </c>
      <c r="AO105" s="105">
        <f t="shared" si="9"/>
        <v>49.39</v>
      </c>
      <c r="AP105" s="105">
        <f t="shared" si="9"/>
        <v>49.84</v>
      </c>
      <c r="AQ105" s="117">
        <f t="shared" si="7"/>
        <v>1698.3006936779241</v>
      </c>
    </row>
    <row r="106" spans="2:43" x14ac:dyDescent="0.2">
      <c r="B106" s="46" t="s">
        <v>180</v>
      </c>
      <c r="C106" s="105">
        <f>11.5/$C$27</f>
        <v>14.240708414756183</v>
      </c>
      <c r="D106" s="105">
        <f t="shared" ref="D106:AP106" si="10">ROUND(C106*(1+(0.7*D42)),2)</f>
        <v>14.41</v>
      </c>
      <c r="E106" s="105">
        <f t="shared" si="10"/>
        <v>14.54</v>
      </c>
      <c r="F106" s="105">
        <f t="shared" si="10"/>
        <v>14.72</v>
      </c>
      <c r="G106" s="105">
        <f t="shared" si="10"/>
        <v>14.99</v>
      </c>
      <c r="H106" s="105">
        <f t="shared" si="10"/>
        <v>15.19</v>
      </c>
      <c r="I106" s="105">
        <f t="shared" si="10"/>
        <v>15.37</v>
      </c>
      <c r="J106" s="105">
        <f t="shared" si="10"/>
        <v>15.55</v>
      </c>
      <c r="K106" s="105">
        <f t="shared" si="10"/>
        <v>15.74</v>
      </c>
      <c r="L106" s="105">
        <f t="shared" si="10"/>
        <v>15.93</v>
      </c>
      <c r="M106" s="105">
        <f t="shared" si="10"/>
        <v>16.059999999999999</v>
      </c>
      <c r="N106" s="105">
        <f t="shared" si="10"/>
        <v>16.190000000000001</v>
      </c>
      <c r="O106" s="105">
        <f t="shared" si="10"/>
        <v>16.329999999999998</v>
      </c>
      <c r="P106" s="105">
        <f t="shared" si="10"/>
        <v>16.47</v>
      </c>
      <c r="Q106" s="105">
        <f t="shared" si="10"/>
        <v>16.61</v>
      </c>
      <c r="R106" s="105">
        <f t="shared" si="10"/>
        <v>16.75</v>
      </c>
      <c r="S106" s="105">
        <f t="shared" si="10"/>
        <v>16.89</v>
      </c>
      <c r="T106" s="105">
        <f t="shared" si="10"/>
        <v>17.03</v>
      </c>
      <c r="U106" s="105">
        <f t="shared" si="10"/>
        <v>17.170000000000002</v>
      </c>
      <c r="V106" s="105">
        <f t="shared" si="10"/>
        <v>17.309999999999999</v>
      </c>
      <c r="W106" s="105">
        <f t="shared" si="10"/>
        <v>17.43</v>
      </c>
      <c r="X106" s="105">
        <f t="shared" si="10"/>
        <v>17.55</v>
      </c>
      <c r="Y106" s="105">
        <f t="shared" si="10"/>
        <v>17.670000000000002</v>
      </c>
      <c r="Z106" s="105">
        <f t="shared" si="10"/>
        <v>17.79</v>
      </c>
      <c r="AA106" s="105">
        <f t="shared" si="10"/>
        <v>17.91</v>
      </c>
      <c r="AB106" s="105">
        <f t="shared" si="10"/>
        <v>18.04</v>
      </c>
      <c r="AC106" s="105">
        <f t="shared" si="10"/>
        <v>18.170000000000002</v>
      </c>
      <c r="AD106" s="105">
        <f t="shared" si="10"/>
        <v>18.3</v>
      </c>
      <c r="AE106" s="105">
        <f t="shared" si="10"/>
        <v>18.43</v>
      </c>
      <c r="AF106" s="105">
        <f t="shared" si="10"/>
        <v>18.559999999999999</v>
      </c>
      <c r="AG106" s="105">
        <f t="shared" si="10"/>
        <v>18.73</v>
      </c>
      <c r="AH106" s="105">
        <f t="shared" si="10"/>
        <v>18.899999999999999</v>
      </c>
      <c r="AI106" s="105">
        <f t="shared" si="10"/>
        <v>19.07</v>
      </c>
      <c r="AJ106" s="105">
        <f t="shared" si="10"/>
        <v>19.239999999999998</v>
      </c>
      <c r="AK106" s="105">
        <f t="shared" si="10"/>
        <v>19.420000000000002</v>
      </c>
      <c r="AL106" s="105">
        <f t="shared" si="10"/>
        <v>19.600000000000001</v>
      </c>
      <c r="AM106" s="105">
        <f t="shared" si="10"/>
        <v>19.78</v>
      </c>
      <c r="AN106" s="105">
        <f t="shared" si="10"/>
        <v>19.96</v>
      </c>
      <c r="AO106" s="105">
        <f t="shared" si="10"/>
        <v>20.14</v>
      </c>
      <c r="AP106" s="105">
        <f t="shared" si="10"/>
        <v>20.32</v>
      </c>
      <c r="AQ106" s="117">
        <f t="shared" si="7"/>
        <v>692.50070841475645</v>
      </c>
    </row>
    <row r="107" spans="2:43" x14ac:dyDescent="0.2">
      <c r="B107" s="46" t="s">
        <v>178</v>
      </c>
      <c r="C107" s="105">
        <f>0.8/$C$27</f>
        <v>0.99065797667869104</v>
      </c>
      <c r="D107" s="105">
        <f t="shared" ref="D107:AP107" si="11">ROUND(C107*(1+(0.7*D42)),2)</f>
        <v>1</v>
      </c>
      <c r="E107" s="105">
        <f t="shared" si="11"/>
        <v>1.01</v>
      </c>
      <c r="F107" s="105">
        <f t="shared" si="11"/>
        <v>1.02</v>
      </c>
      <c r="G107" s="105">
        <f t="shared" si="11"/>
        <v>1.04</v>
      </c>
      <c r="H107" s="105">
        <f t="shared" si="11"/>
        <v>1.05</v>
      </c>
      <c r="I107" s="105">
        <f t="shared" si="11"/>
        <v>1.06</v>
      </c>
      <c r="J107" s="105">
        <f t="shared" si="11"/>
        <v>1.07</v>
      </c>
      <c r="K107" s="105">
        <f t="shared" si="11"/>
        <v>1.08</v>
      </c>
      <c r="L107" s="105">
        <f t="shared" si="11"/>
        <v>1.0900000000000001</v>
      </c>
      <c r="M107" s="105">
        <f t="shared" si="11"/>
        <v>1.1000000000000001</v>
      </c>
      <c r="N107" s="105">
        <f t="shared" si="11"/>
        <v>1.1100000000000001</v>
      </c>
      <c r="O107" s="105">
        <f t="shared" si="11"/>
        <v>1.1200000000000001</v>
      </c>
      <c r="P107" s="105">
        <f t="shared" si="11"/>
        <v>1.1299999999999999</v>
      </c>
      <c r="Q107" s="105">
        <f t="shared" si="11"/>
        <v>1.1399999999999999</v>
      </c>
      <c r="R107" s="105">
        <f t="shared" si="11"/>
        <v>1.1499999999999999</v>
      </c>
      <c r="S107" s="105">
        <f t="shared" si="11"/>
        <v>1.1599999999999999</v>
      </c>
      <c r="T107" s="105">
        <f t="shared" si="11"/>
        <v>1.17</v>
      </c>
      <c r="U107" s="105">
        <f t="shared" si="11"/>
        <v>1.18</v>
      </c>
      <c r="V107" s="105">
        <f t="shared" si="11"/>
        <v>1.19</v>
      </c>
      <c r="W107" s="105">
        <f t="shared" si="11"/>
        <v>1.2</v>
      </c>
      <c r="X107" s="105">
        <f t="shared" si="11"/>
        <v>1.21</v>
      </c>
      <c r="Y107" s="105">
        <f t="shared" si="11"/>
        <v>1.22</v>
      </c>
      <c r="Z107" s="105">
        <f t="shared" si="11"/>
        <v>1.23</v>
      </c>
      <c r="AA107" s="105">
        <f t="shared" si="11"/>
        <v>1.24</v>
      </c>
      <c r="AB107" s="105">
        <f t="shared" si="11"/>
        <v>1.25</v>
      </c>
      <c r="AC107" s="105">
        <f t="shared" si="11"/>
        <v>1.26</v>
      </c>
      <c r="AD107" s="105">
        <f t="shared" si="11"/>
        <v>1.27</v>
      </c>
      <c r="AE107" s="105">
        <f t="shared" si="11"/>
        <v>1.28</v>
      </c>
      <c r="AF107" s="105">
        <f t="shared" si="11"/>
        <v>1.29</v>
      </c>
      <c r="AG107" s="105">
        <f t="shared" si="11"/>
        <v>1.3</v>
      </c>
      <c r="AH107" s="105">
        <f t="shared" si="11"/>
        <v>1.31</v>
      </c>
      <c r="AI107" s="105">
        <f t="shared" si="11"/>
        <v>1.32</v>
      </c>
      <c r="AJ107" s="105">
        <f t="shared" si="11"/>
        <v>1.33</v>
      </c>
      <c r="AK107" s="105">
        <f t="shared" si="11"/>
        <v>1.34</v>
      </c>
      <c r="AL107" s="105">
        <f t="shared" si="11"/>
        <v>1.35</v>
      </c>
      <c r="AM107" s="105">
        <f t="shared" si="11"/>
        <v>1.36</v>
      </c>
      <c r="AN107" s="105">
        <f t="shared" si="11"/>
        <v>1.37</v>
      </c>
      <c r="AO107" s="105">
        <f t="shared" si="11"/>
        <v>1.38</v>
      </c>
      <c r="AP107" s="105">
        <f t="shared" si="11"/>
        <v>1.39</v>
      </c>
      <c r="AQ107" s="117">
        <f t="shared" si="7"/>
        <v>47.760657976678694</v>
      </c>
    </row>
    <row r="108" spans="2:43" x14ac:dyDescent="0.2">
      <c r="B108" s="46" t="s">
        <v>179</v>
      </c>
      <c r="C108" s="105">
        <f>27.7/$C$27</f>
        <v>34.301532442499678</v>
      </c>
      <c r="D108" s="105">
        <f t="shared" ref="D108:AP108" si="12">ROUND(C108*(1+(0.7*D42)),2)</f>
        <v>34.72</v>
      </c>
      <c r="E108" s="105">
        <f t="shared" si="12"/>
        <v>35.03</v>
      </c>
      <c r="F108" s="105">
        <f t="shared" si="12"/>
        <v>35.46</v>
      </c>
      <c r="G108" s="105">
        <f t="shared" si="12"/>
        <v>36.119999999999997</v>
      </c>
      <c r="H108" s="105">
        <f t="shared" si="12"/>
        <v>36.6</v>
      </c>
      <c r="I108" s="105">
        <f t="shared" si="12"/>
        <v>37.04</v>
      </c>
      <c r="J108" s="105">
        <f t="shared" si="12"/>
        <v>37.479999999999997</v>
      </c>
      <c r="K108" s="105">
        <f t="shared" si="12"/>
        <v>37.93</v>
      </c>
      <c r="L108" s="105">
        <f t="shared" si="12"/>
        <v>38.380000000000003</v>
      </c>
      <c r="M108" s="105">
        <f t="shared" si="12"/>
        <v>38.700000000000003</v>
      </c>
      <c r="N108" s="105">
        <f t="shared" si="12"/>
        <v>39.03</v>
      </c>
      <c r="O108" s="105">
        <f t="shared" si="12"/>
        <v>39.36</v>
      </c>
      <c r="P108" s="105">
        <f t="shared" si="12"/>
        <v>39.69</v>
      </c>
      <c r="Q108" s="105">
        <f t="shared" si="12"/>
        <v>40.020000000000003</v>
      </c>
      <c r="R108" s="105">
        <f t="shared" si="12"/>
        <v>40.36</v>
      </c>
      <c r="S108" s="105">
        <f t="shared" si="12"/>
        <v>40.700000000000003</v>
      </c>
      <c r="T108" s="105">
        <f t="shared" si="12"/>
        <v>41.04</v>
      </c>
      <c r="U108" s="105">
        <f t="shared" si="12"/>
        <v>41.38</v>
      </c>
      <c r="V108" s="105">
        <f t="shared" si="12"/>
        <v>41.73</v>
      </c>
      <c r="W108" s="105">
        <f t="shared" si="12"/>
        <v>42.02</v>
      </c>
      <c r="X108" s="105">
        <f t="shared" si="12"/>
        <v>42.31</v>
      </c>
      <c r="Y108" s="105">
        <f t="shared" si="12"/>
        <v>42.61</v>
      </c>
      <c r="Z108" s="105">
        <f t="shared" si="12"/>
        <v>42.91</v>
      </c>
      <c r="AA108" s="105">
        <f t="shared" si="12"/>
        <v>43.21</v>
      </c>
      <c r="AB108" s="105">
        <f t="shared" si="12"/>
        <v>43.51</v>
      </c>
      <c r="AC108" s="105">
        <f t="shared" si="12"/>
        <v>43.81</v>
      </c>
      <c r="AD108" s="105">
        <f t="shared" si="12"/>
        <v>44.12</v>
      </c>
      <c r="AE108" s="105">
        <f t="shared" si="12"/>
        <v>44.43</v>
      </c>
      <c r="AF108" s="105">
        <f t="shared" si="12"/>
        <v>44.74</v>
      </c>
      <c r="AG108" s="105">
        <f t="shared" si="12"/>
        <v>45.15</v>
      </c>
      <c r="AH108" s="105">
        <f t="shared" si="12"/>
        <v>45.56</v>
      </c>
      <c r="AI108" s="105">
        <f t="shared" si="12"/>
        <v>45.97</v>
      </c>
      <c r="AJ108" s="105">
        <f t="shared" si="12"/>
        <v>46.39</v>
      </c>
      <c r="AK108" s="105">
        <f t="shared" si="12"/>
        <v>46.81</v>
      </c>
      <c r="AL108" s="105">
        <f t="shared" si="12"/>
        <v>47.24</v>
      </c>
      <c r="AM108" s="105">
        <f t="shared" si="12"/>
        <v>47.67</v>
      </c>
      <c r="AN108" s="105">
        <f t="shared" si="12"/>
        <v>48.1</v>
      </c>
      <c r="AO108" s="105">
        <f t="shared" si="12"/>
        <v>48.54</v>
      </c>
      <c r="AP108" s="105">
        <f t="shared" si="12"/>
        <v>48.98</v>
      </c>
      <c r="AQ108" s="117">
        <f t="shared" si="7"/>
        <v>1669.1515324424997</v>
      </c>
    </row>
    <row r="109" spans="2:43" x14ac:dyDescent="0.2">
      <c r="B109" s="1" t="s">
        <v>441</v>
      </c>
    </row>
    <row r="110" spans="2:43" x14ac:dyDescent="0.2">
      <c r="B110" s="1"/>
    </row>
    <row r="111" spans="2:43" ht="16.5" customHeight="1" x14ac:dyDescent="0.2">
      <c r="B111" s="161" t="s">
        <v>158</v>
      </c>
      <c r="C111" s="165" t="s">
        <v>161</v>
      </c>
      <c r="D111" s="165" t="s">
        <v>162</v>
      </c>
    </row>
    <row r="112" spans="2:43" x14ac:dyDescent="0.2">
      <c r="B112" s="65" t="s">
        <v>129</v>
      </c>
      <c r="C112" s="79">
        <v>0.72</v>
      </c>
      <c r="D112" s="3" t="s">
        <v>160</v>
      </c>
    </row>
    <row r="113" spans="2:7" x14ac:dyDescent="0.2">
      <c r="B113" s="43" t="s">
        <v>130</v>
      </c>
      <c r="C113" s="80">
        <v>0.82</v>
      </c>
      <c r="D113" s="3" t="s">
        <v>160</v>
      </c>
    </row>
    <row r="114" spans="2:7" x14ac:dyDescent="0.2">
      <c r="B114" s="43" t="s">
        <v>159</v>
      </c>
      <c r="C114" s="80">
        <v>0.7</v>
      </c>
      <c r="D114" s="3" t="s">
        <v>163</v>
      </c>
    </row>
    <row r="115" spans="2:7" x14ac:dyDescent="0.2">
      <c r="B115" s="1" t="s">
        <v>164</v>
      </c>
    </row>
    <row r="116" spans="2:7" x14ac:dyDescent="0.2">
      <c r="B116" s="1"/>
    </row>
    <row r="117" spans="2:7" ht="16.5" customHeight="1" x14ac:dyDescent="0.2">
      <c r="B117" s="526" t="s">
        <v>302</v>
      </c>
      <c r="C117" s="527"/>
      <c r="D117" s="527"/>
      <c r="E117" s="527"/>
      <c r="F117"/>
      <c r="G117"/>
    </row>
    <row r="118" spans="2:7" ht="12.75" customHeight="1" x14ac:dyDescent="0.2">
      <c r="B118" s="163" t="s">
        <v>102</v>
      </c>
      <c r="C118" s="157" t="s">
        <v>303</v>
      </c>
      <c r="D118" s="157" t="s">
        <v>304</v>
      </c>
      <c r="E118" s="157" t="s">
        <v>305</v>
      </c>
      <c r="F118" s="109"/>
      <c r="G118" s="109"/>
    </row>
    <row r="119" spans="2:7" x14ac:dyDescent="0.2">
      <c r="B119" s="47" t="s">
        <v>294</v>
      </c>
      <c r="C119" s="110">
        <v>3140</v>
      </c>
      <c r="D119" s="101">
        <v>0.182</v>
      </c>
      <c r="E119" s="101">
        <v>2.4E-2</v>
      </c>
      <c r="F119" s="108"/>
      <c r="G119" s="108"/>
    </row>
    <row r="120" spans="2:7" x14ac:dyDescent="0.2">
      <c r="B120" s="100" t="s">
        <v>295</v>
      </c>
      <c r="C120" s="110">
        <v>3190</v>
      </c>
      <c r="D120" s="101">
        <v>0.17599999999999999</v>
      </c>
      <c r="E120" s="101">
        <v>2.4E-2</v>
      </c>
      <c r="F120" s="108"/>
      <c r="G120" s="108"/>
    </row>
    <row r="121" spans="2:7" x14ac:dyDescent="0.2">
      <c r="B121" s="47" t="s">
        <v>283</v>
      </c>
      <c r="C121" s="110">
        <v>3140</v>
      </c>
      <c r="D121" s="101">
        <v>0.17899999999999999</v>
      </c>
      <c r="E121" s="101">
        <v>2.4E-2</v>
      </c>
      <c r="F121" s="108"/>
      <c r="G121" s="108"/>
    </row>
    <row r="122" spans="2:7" x14ac:dyDescent="0.2">
      <c r="B122" s="113" t="s">
        <v>310</v>
      </c>
      <c r="C122" s="107"/>
      <c r="D122" s="107"/>
      <c r="E122" s="107"/>
      <c r="F122" s="108"/>
      <c r="G122" s="108"/>
    </row>
    <row r="123" spans="2:7" x14ac:dyDescent="0.2">
      <c r="B123" s="106"/>
      <c r="C123" s="107"/>
      <c r="D123" s="107"/>
      <c r="E123" s="107"/>
      <c r="F123" s="108"/>
      <c r="G123" s="108"/>
    </row>
    <row r="124" spans="2:7" ht="17.25" customHeight="1" x14ac:dyDescent="0.2">
      <c r="B124" s="539" t="s">
        <v>309</v>
      </c>
      <c r="C124" s="540"/>
      <c r="D124" s="541"/>
      <c r="E124" s="107"/>
      <c r="F124" s="108"/>
      <c r="G124" s="108"/>
    </row>
    <row r="125" spans="2:7" ht="22.5" x14ac:dyDescent="0.2">
      <c r="B125" s="164" t="s">
        <v>306</v>
      </c>
      <c r="C125" s="157" t="s">
        <v>307</v>
      </c>
      <c r="D125" s="157" t="s">
        <v>308</v>
      </c>
      <c r="E125" s="107"/>
      <c r="F125" s="108"/>
      <c r="G125" s="108"/>
    </row>
    <row r="126" spans="2:7" x14ac:dyDescent="0.2">
      <c r="B126" s="39">
        <v>206</v>
      </c>
      <c r="C126" s="141">
        <v>210</v>
      </c>
      <c r="D126" s="141">
        <v>216</v>
      </c>
      <c r="E126" s="107"/>
      <c r="F126" s="108"/>
      <c r="G126" s="108"/>
    </row>
    <row r="127" spans="2:7" x14ac:dyDescent="0.2">
      <c r="B127" s="113" t="s">
        <v>311</v>
      </c>
      <c r="C127" s="107"/>
      <c r="D127" s="107"/>
      <c r="E127" s="107"/>
      <c r="F127" s="108"/>
      <c r="G127" s="108"/>
    </row>
    <row r="128" spans="2:7" x14ac:dyDescent="0.2">
      <c r="B128" s="106"/>
      <c r="C128" s="107"/>
      <c r="D128" s="107"/>
      <c r="E128" s="107"/>
      <c r="F128" s="108"/>
      <c r="G128" s="108"/>
    </row>
    <row r="129" spans="2:43" ht="16.5" customHeight="1" x14ac:dyDescent="0.2">
      <c r="B129" s="524" t="s">
        <v>312</v>
      </c>
      <c r="C129" s="525"/>
      <c r="D129" s="525"/>
      <c r="E129" s="525"/>
      <c r="F129" s="108"/>
      <c r="G129" s="108"/>
    </row>
    <row r="130" spans="2:43" x14ac:dyDescent="0.2">
      <c r="B130" s="166"/>
      <c r="C130" s="157" t="s">
        <v>303</v>
      </c>
      <c r="D130" s="157" t="s">
        <v>304</v>
      </c>
      <c r="E130" s="157" t="s">
        <v>305</v>
      </c>
      <c r="F130" s="108"/>
      <c r="G130" s="108"/>
    </row>
    <row r="131" spans="2:43" x14ac:dyDescent="0.2">
      <c r="B131" s="47" t="s">
        <v>190</v>
      </c>
      <c r="C131" s="110">
        <v>1</v>
      </c>
      <c r="D131" s="110">
        <v>25</v>
      </c>
      <c r="E131" s="110">
        <v>298</v>
      </c>
      <c r="F131" s="108"/>
      <c r="G131" s="108"/>
    </row>
    <row r="132" spans="2:43" x14ac:dyDescent="0.2">
      <c r="B132" s="113" t="s">
        <v>191</v>
      </c>
      <c r="C132" s="107"/>
      <c r="D132" s="107"/>
      <c r="E132" s="107"/>
      <c r="F132" s="108"/>
      <c r="G132" s="108"/>
    </row>
    <row r="133" spans="2:43" x14ac:dyDescent="0.2">
      <c r="B133" s="113"/>
      <c r="C133" s="107"/>
      <c r="D133" s="107"/>
      <c r="E133" s="107"/>
      <c r="F133" s="108"/>
      <c r="G133" s="108"/>
    </row>
    <row r="134" spans="2:43" ht="16.5" customHeight="1" x14ac:dyDescent="0.2">
      <c r="B134" s="161" t="s">
        <v>192</v>
      </c>
      <c r="C134" s="156">
        <v>2021</v>
      </c>
      <c r="D134" s="156">
        <v>2022</v>
      </c>
      <c r="E134" s="156">
        <v>2023</v>
      </c>
      <c r="F134" s="156">
        <v>2024</v>
      </c>
      <c r="G134" s="156">
        <v>2025</v>
      </c>
      <c r="H134" s="156">
        <v>2026</v>
      </c>
      <c r="I134" s="156">
        <v>2027</v>
      </c>
      <c r="J134" s="156">
        <v>2028</v>
      </c>
      <c r="K134" s="156">
        <v>2029</v>
      </c>
      <c r="L134" s="156">
        <v>2030</v>
      </c>
      <c r="M134" s="156">
        <v>2031</v>
      </c>
      <c r="N134" s="156">
        <v>2032</v>
      </c>
      <c r="O134" s="156">
        <v>2033</v>
      </c>
      <c r="P134" s="156">
        <v>2034</v>
      </c>
      <c r="Q134" s="156">
        <v>2035</v>
      </c>
      <c r="R134" s="156">
        <v>2036</v>
      </c>
      <c r="S134" s="156">
        <v>2037</v>
      </c>
      <c r="T134" s="156">
        <v>2038</v>
      </c>
      <c r="U134" s="156">
        <v>2039</v>
      </c>
      <c r="V134" s="156">
        <v>2040</v>
      </c>
      <c r="W134" s="156">
        <v>2041</v>
      </c>
      <c r="X134" s="156">
        <v>2042</v>
      </c>
      <c r="Y134" s="156">
        <v>2043</v>
      </c>
      <c r="Z134" s="156">
        <v>2044</v>
      </c>
      <c r="AA134" s="156">
        <v>2045</v>
      </c>
      <c r="AB134" s="156">
        <v>2046</v>
      </c>
      <c r="AC134" s="156">
        <v>2047</v>
      </c>
      <c r="AD134" s="156">
        <v>2048</v>
      </c>
      <c r="AE134" s="156">
        <v>2049</v>
      </c>
      <c r="AF134" s="156">
        <v>2050</v>
      </c>
      <c r="AG134" s="156">
        <v>2051</v>
      </c>
      <c r="AH134" s="156">
        <v>2052</v>
      </c>
      <c r="AI134" s="156">
        <v>2053</v>
      </c>
      <c r="AJ134" s="156">
        <v>2054</v>
      </c>
      <c r="AK134" s="156">
        <v>2055</v>
      </c>
      <c r="AL134" s="156">
        <v>2056</v>
      </c>
      <c r="AM134" s="156">
        <v>2057</v>
      </c>
      <c r="AN134" s="156">
        <v>2058</v>
      </c>
      <c r="AO134" s="156">
        <v>2059</v>
      </c>
      <c r="AP134" s="156">
        <v>2060</v>
      </c>
    </row>
    <row r="135" spans="2:43" x14ac:dyDescent="0.2">
      <c r="B135" s="47" t="s">
        <v>193</v>
      </c>
      <c r="C135" s="105">
        <f>86+(G135-86)/5</f>
        <v>112.63661546803208</v>
      </c>
      <c r="D135" s="105">
        <f>C135+(G135-86)/5</f>
        <v>139.27323093606415</v>
      </c>
      <c r="E135" s="105">
        <f>D135+(G135-86)/5</f>
        <v>165.90984640409624</v>
      </c>
      <c r="F135" s="105">
        <f>E135+(G135-86)/5</f>
        <v>192.54646187212833</v>
      </c>
      <c r="G135" s="167">
        <f>177/$C$27</f>
        <v>219.18307734016039</v>
      </c>
      <c r="H135" s="105">
        <f>G135+($L$135-$G$135)/5</f>
        <v>241.72054630960062</v>
      </c>
      <c r="I135" s="105">
        <f t="shared" ref="I135:K135" si="13">H135+($L$135-$G$135)/5</f>
        <v>264.25801527904082</v>
      </c>
      <c r="J135" s="105">
        <f t="shared" si="13"/>
        <v>286.79548424848105</v>
      </c>
      <c r="K135" s="105">
        <f t="shared" si="13"/>
        <v>309.33295321792127</v>
      </c>
      <c r="L135" s="167">
        <f>268/$C$27</f>
        <v>331.8704221873615</v>
      </c>
      <c r="M135" s="105">
        <f>L135+($Q$135-$L$135)/5</f>
        <v>369.02009631281243</v>
      </c>
      <c r="N135" s="105">
        <f t="shared" ref="N135:P135" si="14">M135+($Q$135-$L$135)/5</f>
        <v>406.16977043826336</v>
      </c>
      <c r="O135" s="105">
        <f t="shared" si="14"/>
        <v>443.31944456371428</v>
      </c>
      <c r="P135" s="105">
        <f t="shared" si="14"/>
        <v>480.46911868916521</v>
      </c>
      <c r="Q135" s="167">
        <f>418/$C$27</f>
        <v>517.61879281461609</v>
      </c>
      <c r="R135" s="105">
        <f>Q135+($V$135-$Q$135)/5</f>
        <v>553.53014446921861</v>
      </c>
      <c r="S135" s="105">
        <f t="shared" ref="S135:U135" si="15">R135+($V$135-$Q$135)/5</f>
        <v>589.44149612382114</v>
      </c>
      <c r="T135" s="105">
        <f t="shared" si="15"/>
        <v>625.35284777842367</v>
      </c>
      <c r="U135" s="105">
        <f t="shared" si="15"/>
        <v>661.26419943302619</v>
      </c>
      <c r="V135" s="167">
        <f>563/$C$27</f>
        <v>697.17555108762883</v>
      </c>
      <c r="W135" s="105">
        <f>V135+($AA$135-$V$135)/5</f>
        <v>733.08690274223136</v>
      </c>
      <c r="X135" s="105">
        <f t="shared" ref="X135:Z135" si="16">W135+($AA$135-$V$135)/5</f>
        <v>768.99825439683389</v>
      </c>
      <c r="Y135" s="105">
        <f t="shared" si="16"/>
        <v>804.90960605143641</v>
      </c>
      <c r="Z135" s="105">
        <f t="shared" si="16"/>
        <v>840.82095770603894</v>
      </c>
      <c r="AA135" s="167">
        <f>708/$C$27</f>
        <v>876.73230936064158</v>
      </c>
      <c r="AB135" s="105">
        <f>AA135+($AF$135-$AA$135)/5</f>
        <v>913.88198348609251</v>
      </c>
      <c r="AC135" s="105">
        <f t="shared" ref="AC135:AE135" si="17">AB135+($AF$135-$AA$135)/5</f>
        <v>951.03165761154344</v>
      </c>
      <c r="AD135" s="105">
        <f t="shared" si="17"/>
        <v>988.18133173699437</v>
      </c>
      <c r="AE135" s="105">
        <f t="shared" si="17"/>
        <v>1025.3310058624452</v>
      </c>
      <c r="AF135" s="167">
        <f>858/$C$27</f>
        <v>1062.4806799878961</v>
      </c>
      <c r="AG135" s="105">
        <f>$AF$135</f>
        <v>1062.4806799878961</v>
      </c>
      <c r="AH135" s="105">
        <f t="shared" ref="AH135:AP135" si="18">$AF$135</f>
        <v>1062.4806799878961</v>
      </c>
      <c r="AI135" s="105">
        <f t="shared" si="18"/>
        <v>1062.4806799878961</v>
      </c>
      <c r="AJ135" s="105">
        <f t="shared" si="18"/>
        <v>1062.4806799878961</v>
      </c>
      <c r="AK135" s="105">
        <f t="shared" si="18"/>
        <v>1062.4806799878961</v>
      </c>
      <c r="AL135" s="105">
        <f t="shared" si="18"/>
        <v>1062.4806799878961</v>
      </c>
      <c r="AM135" s="105">
        <f t="shared" si="18"/>
        <v>1062.4806799878961</v>
      </c>
      <c r="AN135" s="105">
        <f t="shared" si="18"/>
        <v>1062.4806799878961</v>
      </c>
      <c r="AO135" s="105">
        <f t="shared" si="18"/>
        <v>1062.4806799878961</v>
      </c>
      <c r="AP135" s="105">
        <f t="shared" si="18"/>
        <v>1062.4806799878961</v>
      </c>
      <c r="AQ135" s="115">
        <f>SUM(C135:AP135)</f>
        <v>27197.1496037947</v>
      </c>
    </row>
    <row r="136" spans="2:43" x14ac:dyDescent="0.2">
      <c r="B136" s="1" t="s">
        <v>442</v>
      </c>
      <c r="AQ136" s="70"/>
    </row>
    <row r="137" spans="2:43" x14ac:dyDescent="0.2">
      <c r="AQ137" s="70"/>
    </row>
    <row r="138" spans="2:43" ht="22.5" x14ac:dyDescent="0.2">
      <c r="B138" s="161" t="s">
        <v>194</v>
      </c>
      <c r="C138" s="156">
        <v>2021</v>
      </c>
      <c r="D138" s="156">
        <v>2022</v>
      </c>
      <c r="E138" s="156">
        <v>2023</v>
      </c>
      <c r="F138" s="156">
        <v>2024</v>
      </c>
      <c r="G138" s="156">
        <v>2025</v>
      </c>
      <c r="H138" s="156">
        <v>2026</v>
      </c>
      <c r="I138" s="156">
        <v>2027</v>
      </c>
      <c r="J138" s="156">
        <v>2028</v>
      </c>
      <c r="K138" s="156">
        <v>2029</v>
      </c>
      <c r="L138" s="156">
        <v>2030</v>
      </c>
      <c r="M138" s="156">
        <v>2031</v>
      </c>
      <c r="N138" s="156">
        <v>2032</v>
      </c>
      <c r="O138" s="156">
        <v>2033</v>
      </c>
      <c r="P138" s="156">
        <v>2034</v>
      </c>
      <c r="Q138" s="156">
        <v>2035</v>
      </c>
      <c r="R138" s="156">
        <v>2036</v>
      </c>
      <c r="S138" s="156">
        <v>2037</v>
      </c>
      <c r="T138" s="156">
        <v>2038</v>
      </c>
      <c r="U138" s="156">
        <v>2039</v>
      </c>
      <c r="V138" s="156">
        <v>2040</v>
      </c>
      <c r="W138" s="156">
        <v>2041</v>
      </c>
      <c r="X138" s="156">
        <v>2042</v>
      </c>
      <c r="Y138" s="156">
        <v>2043</v>
      </c>
      <c r="Z138" s="156">
        <v>2044</v>
      </c>
      <c r="AA138" s="156">
        <v>2045</v>
      </c>
      <c r="AB138" s="156">
        <v>2046</v>
      </c>
      <c r="AC138" s="156">
        <v>2047</v>
      </c>
      <c r="AD138" s="156">
        <v>2048</v>
      </c>
      <c r="AE138" s="156">
        <v>2049</v>
      </c>
      <c r="AF138" s="156">
        <v>2050</v>
      </c>
      <c r="AG138" s="156">
        <v>2051</v>
      </c>
      <c r="AH138" s="156">
        <v>2052</v>
      </c>
      <c r="AI138" s="156">
        <v>2053</v>
      </c>
      <c r="AJ138" s="156">
        <v>2054</v>
      </c>
      <c r="AK138" s="156">
        <v>2055</v>
      </c>
      <c r="AL138" s="156">
        <v>2056</v>
      </c>
      <c r="AM138" s="156">
        <v>2057</v>
      </c>
      <c r="AN138" s="156">
        <v>2058</v>
      </c>
      <c r="AO138" s="156">
        <v>2059</v>
      </c>
      <c r="AP138" s="156">
        <v>2060</v>
      </c>
      <c r="AQ138" s="70"/>
    </row>
    <row r="139" spans="2:43" x14ac:dyDescent="0.2">
      <c r="B139" s="46" t="s">
        <v>313</v>
      </c>
      <c r="C139" s="114">
        <f>(81.18*0.01)/$C$27</f>
        <v>1.0052701818347018</v>
      </c>
      <c r="D139" s="114">
        <f t="shared" ref="D139:AP139" si="19">ROUND(C139*(1+(0.7*D42)),4)</f>
        <v>1.0174000000000001</v>
      </c>
      <c r="E139" s="114">
        <f t="shared" si="19"/>
        <v>1.0264</v>
      </c>
      <c r="F139" s="114">
        <f t="shared" si="19"/>
        <v>1.0389999999999999</v>
      </c>
      <c r="G139" s="114">
        <f t="shared" si="19"/>
        <v>1.0583</v>
      </c>
      <c r="H139" s="114">
        <f t="shared" si="19"/>
        <v>1.0724</v>
      </c>
      <c r="I139" s="114">
        <f t="shared" si="19"/>
        <v>1.0851999999999999</v>
      </c>
      <c r="J139" s="114">
        <f t="shared" si="19"/>
        <v>1.0981000000000001</v>
      </c>
      <c r="K139" s="114">
        <f t="shared" si="19"/>
        <v>1.1112</v>
      </c>
      <c r="L139" s="114">
        <f t="shared" si="19"/>
        <v>1.1244000000000001</v>
      </c>
      <c r="M139" s="114">
        <f t="shared" si="19"/>
        <v>1.1337999999999999</v>
      </c>
      <c r="N139" s="114">
        <f t="shared" si="19"/>
        <v>1.1433</v>
      </c>
      <c r="O139" s="114">
        <f t="shared" si="19"/>
        <v>1.1529</v>
      </c>
      <c r="P139" s="114">
        <f t="shared" si="19"/>
        <v>1.1626000000000001</v>
      </c>
      <c r="Q139" s="114">
        <f t="shared" si="19"/>
        <v>1.1724000000000001</v>
      </c>
      <c r="R139" s="114">
        <f t="shared" si="19"/>
        <v>1.1821999999999999</v>
      </c>
      <c r="S139" s="114">
        <f t="shared" si="19"/>
        <v>1.1920999999999999</v>
      </c>
      <c r="T139" s="114">
        <f t="shared" si="19"/>
        <v>1.2020999999999999</v>
      </c>
      <c r="U139" s="114">
        <f t="shared" si="19"/>
        <v>1.2121999999999999</v>
      </c>
      <c r="V139" s="114">
        <f t="shared" si="19"/>
        <v>1.2223999999999999</v>
      </c>
      <c r="W139" s="114">
        <f t="shared" si="19"/>
        <v>1.2310000000000001</v>
      </c>
      <c r="X139" s="114">
        <f t="shared" si="19"/>
        <v>1.2396</v>
      </c>
      <c r="Y139" s="114">
        <f t="shared" si="19"/>
        <v>1.2483</v>
      </c>
      <c r="Z139" s="114">
        <f t="shared" si="19"/>
        <v>1.2569999999999999</v>
      </c>
      <c r="AA139" s="114">
        <f t="shared" si="19"/>
        <v>1.2658</v>
      </c>
      <c r="AB139" s="114">
        <f t="shared" si="19"/>
        <v>1.2746999999999999</v>
      </c>
      <c r="AC139" s="114">
        <f t="shared" si="19"/>
        <v>1.2836000000000001</v>
      </c>
      <c r="AD139" s="114">
        <f t="shared" si="19"/>
        <v>1.2926</v>
      </c>
      <c r="AE139" s="114">
        <f t="shared" si="19"/>
        <v>1.3016000000000001</v>
      </c>
      <c r="AF139" s="114">
        <f t="shared" si="19"/>
        <v>1.3107</v>
      </c>
      <c r="AG139" s="114">
        <f t="shared" si="19"/>
        <v>1.3226</v>
      </c>
      <c r="AH139" s="114">
        <f t="shared" si="19"/>
        <v>1.3346</v>
      </c>
      <c r="AI139" s="114">
        <f t="shared" si="19"/>
        <v>1.3467</v>
      </c>
      <c r="AJ139" s="114">
        <f t="shared" si="19"/>
        <v>1.359</v>
      </c>
      <c r="AK139" s="114">
        <f t="shared" si="19"/>
        <v>1.3714</v>
      </c>
      <c r="AL139" s="114">
        <f t="shared" si="19"/>
        <v>1.3838999999999999</v>
      </c>
      <c r="AM139" s="114">
        <f t="shared" si="19"/>
        <v>1.3965000000000001</v>
      </c>
      <c r="AN139" s="114">
        <f t="shared" si="19"/>
        <v>1.4092</v>
      </c>
      <c r="AO139" s="114">
        <f t="shared" si="19"/>
        <v>1.4219999999999999</v>
      </c>
      <c r="AP139" s="114">
        <f t="shared" si="19"/>
        <v>1.4349000000000001</v>
      </c>
      <c r="AQ139" s="116">
        <f>SUM(C139:AP139)</f>
        <v>48.899370181834698</v>
      </c>
    </row>
    <row r="140" spans="2:43" x14ac:dyDescent="0.2">
      <c r="B140" s="46" t="s">
        <v>314</v>
      </c>
      <c r="C140" s="114">
        <f>(35.81*0.01)/$C$27</f>
        <v>0.44344327681079909</v>
      </c>
      <c r="D140" s="114">
        <f t="shared" ref="D140:AP140" si="20">ROUND(C140*(1+(0.7*D42)),4)</f>
        <v>0.44879999999999998</v>
      </c>
      <c r="E140" s="114">
        <f t="shared" si="20"/>
        <v>0.45279999999999998</v>
      </c>
      <c r="F140" s="114">
        <f t="shared" si="20"/>
        <v>0.45839999999999997</v>
      </c>
      <c r="G140" s="114">
        <f t="shared" si="20"/>
        <v>0.46689999999999998</v>
      </c>
      <c r="H140" s="114">
        <f t="shared" si="20"/>
        <v>0.47310000000000002</v>
      </c>
      <c r="I140" s="114">
        <f t="shared" si="20"/>
        <v>0.47870000000000001</v>
      </c>
      <c r="J140" s="114">
        <f t="shared" si="20"/>
        <v>0.4844</v>
      </c>
      <c r="K140" s="114">
        <f t="shared" si="20"/>
        <v>0.49020000000000002</v>
      </c>
      <c r="L140" s="114">
        <f t="shared" si="20"/>
        <v>0.496</v>
      </c>
      <c r="M140" s="114">
        <f t="shared" si="20"/>
        <v>0.50019999999999998</v>
      </c>
      <c r="N140" s="114">
        <f t="shared" si="20"/>
        <v>0.50439999999999996</v>
      </c>
      <c r="O140" s="114">
        <f t="shared" si="20"/>
        <v>0.50860000000000005</v>
      </c>
      <c r="P140" s="114">
        <f t="shared" si="20"/>
        <v>0.51290000000000002</v>
      </c>
      <c r="Q140" s="114">
        <f t="shared" si="20"/>
        <v>0.51719999999999999</v>
      </c>
      <c r="R140" s="114">
        <f t="shared" si="20"/>
        <v>0.52149999999999996</v>
      </c>
      <c r="S140" s="114">
        <f t="shared" si="20"/>
        <v>0.52590000000000003</v>
      </c>
      <c r="T140" s="114">
        <f t="shared" si="20"/>
        <v>0.53029999999999999</v>
      </c>
      <c r="U140" s="114">
        <f t="shared" si="20"/>
        <v>0.53480000000000005</v>
      </c>
      <c r="V140" s="114">
        <f t="shared" si="20"/>
        <v>0.5393</v>
      </c>
      <c r="W140" s="114">
        <f t="shared" si="20"/>
        <v>0.54310000000000003</v>
      </c>
      <c r="X140" s="114">
        <f t="shared" si="20"/>
        <v>0.54690000000000005</v>
      </c>
      <c r="Y140" s="114">
        <f t="shared" si="20"/>
        <v>0.55069999999999997</v>
      </c>
      <c r="Z140" s="114">
        <f t="shared" si="20"/>
        <v>0.55459999999999998</v>
      </c>
      <c r="AA140" s="114">
        <f t="shared" si="20"/>
        <v>0.5585</v>
      </c>
      <c r="AB140" s="114">
        <f t="shared" si="20"/>
        <v>0.56240000000000001</v>
      </c>
      <c r="AC140" s="114">
        <f t="shared" si="20"/>
        <v>0.56630000000000003</v>
      </c>
      <c r="AD140" s="114">
        <f t="shared" si="20"/>
        <v>0.57030000000000003</v>
      </c>
      <c r="AE140" s="114">
        <f t="shared" si="20"/>
        <v>0.57430000000000003</v>
      </c>
      <c r="AF140" s="114">
        <f t="shared" si="20"/>
        <v>0.57830000000000004</v>
      </c>
      <c r="AG140" s="114">
        <f t="shared" si="20"/>
        <v>0.58360000000000001</v>
      </c>
      <c r="AH140" s="114">
        <f t="shared" si="20"/>
        <v>0.58889999999999998</v>
      </c>
      <c r="AI140" s="114">
        <f t="shared" si="20"/>
        <v>0.59430000000000005</v>
      </c>
      <c r="AJ140" s="114">
        <f t="shared" si="20"/>
        <v>0.59970000000000001</v>
      </c>
      <c r="AK140" s="114">
        <f t="shared" si="20"/>
        <v>0.60519999999999996</v>
      </c>
      <c r="AL140" s="114">
        <f t="shared" si="20"/>
        <v>0.61070000000000002</v>
      </c>
      <c r="AM140" s="114">
        <f t="shared" si="20"/>
        <v>0.61629999999999996</v>
      </c>
      <c r="AN140" s="114">
        <f t="shared" si="20"/>
        <v>0.62190000000000001</v>
      </c>
      <c r="AO140" s="114">
        <f t="shared" si="20"/>
        <v>0.62760000000000005</v>
      </c>
      <c r="AP140" s="114">
        <f t="shared" si="20"/>
        <v>0.63329999999999997</v>
      </c>
      <c r="AQ140" s="116">
        <f t="shared" ref="AQ140:AQ144" si="21">SUM(C140:AP140)</f>
        <v>21.5747432768108</v>
      </c>
    </row>
    <row r="141" spans="2:43" x14ac:dyDescent="0.2">
      <c r="B141" s="46" t="s">
        <v>315</v>
      </c>
      <c r="C141" s="114">
        <f>(5.17*0.01)/$C$27</f>
        <v>6.4021271742860417E-2</v>
      </c>
      <c r="D141" s="114">
        <f t="shared" ref="D141:AP141" si="22">ROUND(C141*(1+(0.7*D42)),4)</f>
        <v>6.4799999999999996E-2</v>
      </c>
      <c r="E141" s="114">
        <f t="shared" si="22"/>
        <v>6.54E-2</v>
      </c>
      <c r="F141" s="114">
        <f t="shared" si="22"/>
        <v>6.6199999999999995E-2</v>
      </c>
      <c r="G141" s="114">
        <f t="shared" si="22"/>
        <v>6.7400000000000002E-2</v>
      </c>
      <c r="H141" s="114">
        <f t="shared" si="22"/>
        <v>6.83E-2</v>
      </c>
      <c r="I141" s="114">
        <f t="shared" si="22"/>
        <v>6.9099999999999995E-2</v>
      </c>
      <c r="J141" s="114">
        <f t="shared" si="22"/>
        <v>6.9900000000000004E-2</v>
      </c>
      <c r="K141" s="114">
        <f t="shared" si="22"/>
        <v>7.0699999999999999E-2</v>
      </c>
      <c r="L141" s="114">
        <f t="shared" si="22"/>
        <v>7.1499999999999994E-2</v>
      </c>
      <c r="M141" s="114">
        <f t="shared" si="22"/>
        <v>7.2099999999999997E-2</v>
      </c>
      <c r="N141" s="114">
        <f t="shared" si="22"/>
        <v>7.2700000000000001E-2</v>
      </c>
      <c r="O141" s="114">
        <f t="shared" si="22"/>
        <v>7.3300000000000004E-2</v>
      </c>
      <c r="P141" s="114">
        <f t="shared" si="22"/>
        <v>7.3899999999999993E-2</v>
      </c>
      <c r="Q141" s="114">
        <f t="shared" si="22"/>
        <v>7.4499999999999997E-2</v>
      </c>
      <c r="R141" s="114">
        <f t="shared" si="22"/>
        <v>7.51E-2</v>
      </c>
      <c r="S141" s="114">
        <f t="shared" si="22"/>
        <v>7.5700000000000003E-2</v>
      </c>
      <c r="T141" s="114">
        <f t="shared" si="22"/>
        <v>7.6300000000000007E-2</v>
      </c>
      <c r="U141" s="114">
        <f t="shared" si="22"/>
        <v>7.6899999999999996E-2</v>
      </c>
      <c r="V141" s="114">
        <f t="shared" si="22"/>
        <v>7.7499999999999999E-2</v>
      </c>
      <c r="W141" s="114">
        <f t="shared" si="22"/>
        <v>7.8E-2</v>
      </c>
      <c r="X141" s="114">
        <f t="shared" si="22"/>
        <v>7.85E-2</v>
      </c>
      <c r="Y141" s="114">
        <f t="shared" si="22"/>
        <v>7.9000000000000001E-2</v>
      </c>
      <c r="Z141" s="114">
        <f t="shared" si="22"/>
        <v>7.9600000000000004E-2</v>
      </c>
      <c r="AA141" s="114">
        <f t="shared" si="22"/>
        <v>8.0199999999999994E-2</v>
      </c>
      <c r="AB141" s="114">
        <f t="shared" si="22"/>
        <v>8.0799999999999997E-2</v>
      </c>
      <c r="AC141" s="114">
        <f t="shared" si="22"/>
        <v>8.14E-2</v>
      </c>
      <c r="AD141" s="114">
        <f t="shared" si="22"/>
        <v>8.2000000000000003E-2</v>
      </c>
      <c r="AE141" s="114">
        <f t="shared" si="22"/>
        <v>8.2600000000000007E-2</v>
      </c>
      <c r="AF141" s="114">
        <f t="shared" si="22"/>
        <v>8.3199999999999996E-2</v>
      </c>
      <c r="AG141" s="114">
        <f t="shared" si="22"/>
        <v>8.4000000000000005E-2</v>
      </c>
      <c r="AH141" s="114">
        <f t="shared" si="22"/>
        <v>8.48E-2</v>
      </c>
      <c r="AI141" s="114">
        <f t="shared" si="22"/>
        <v>8.5599999999999996E-2</v>
      </c>
      <c r="AJ141" s="114">
        <f t="shared" si="22"/>
        <v>8.6400000000000005E-2</v>
      </c>
      <c r="AK141" s="114">
        <f t="shared" si="22"/>
        <v>8.72E-2</v>
      </c>
      <c r="AL141" s="114">
        <f t="shared" si="22"/>
        <v>8.7999999999999995E-2</v>
      </c>
      <c r="AM141" s="114">
        <f t="shared" si="22"/>
        <v>8.8800000000000004E-2</v>
      </c>
      <c r="AN141" s="114">
        <f t="shared" si="22"/>
        <v>8.9599999999999999E-2</v>
      </c>
      <c r="AO141" s="114">
        <f t="shared" si="22"/>
        <v>9.0399999999999994E-2</v>
      </c>
      <c r="AP141" s="114">
        <f t="shared" si="22"/>
        <v>9.1200000000000003E-2</v>
      </c>
      <c r="AQ141" s="116">
        <f t="shared" si="21"/>
        <v>3.1066212717428598</v>
      </c>
    </row>
    <row r="142" spans="2:43" x14ac:dyDescent="0.2">
      <c r="B142" s="46" t="s">
        <v>316</v>
      </c>
      <c r="C142" s="114">
        <f>(110.87*0.01)/$C$27</f>
        <v>1.3729281234295809</v>
      </c>
      <c r="D142" s="114">
        <f t="shared" ref="D142:AP142" si="23">ROUND(C142*(1+(0.7*D42)),4)</f>
        <v>1.3895</v>
      </c>
      <c r="E142" s="114">
        <f t="shared" si="23"/>
        <v>1.4017999999999999</v>
      </c>
      <c r="F142" s="114">
        <f t="shared" si="23"/>
        <v>1.419</v>
      </c>
      <c r="G142" s="114">
        <f t="shared" si="23"/>
        <v>1.4454</v>
      </c>
      <c r="H142" s="114">
        <f t="shared" si="23"/>
        <v>1.4646999999999999</v>
      </c>
      <c r="I142" s="114">
        <f t="shared" si="23"/>
        <v>1.4821</v>
      </c>
      <c r="J142" s="114">
        <f t="shared" si="23"/>
        <v>1.4997</v>
      </c>
      <c r="K142" s="114">
        <f t="shared" si="23"/>
        <v>1.5175000000000001</v>
      </c>
      <c r="L142" s="114">
        <f t="shared" si="23"/>
        <v>1.5356000000000001</v>
      </c>
      <c r="M142" s="114">
        <f t="shared" si="23"/>
        <v>1.5485</v>
      </c>
      <c r="N142" s="114">
        <f t="shared" si="23"/>
        <v>1.5615000000000001</v>
      </c>
      <c r="O142" s="114">
        <f t="shared" si="23"/>
        <v>1.5746</v>
      </c>
      <c r="P142" s="114">
        <f t="shared" si="23"/>
        <v>1.5878000000000001</v>
      </c>
      <c r="Q142" s="114">
        <f t="shared" si="23"/>
        <v>1.6011</v>
      </c>
      <c r="R142" s="114">
        <f t="shared" si="23"/>
        <v>1.6145</v>
      </c>
      <c r="S142" s="114">
        <f t="shared" si="23"/>
        <v>1.6281000000000001</v>
      </c>
      <c r="T142" s="114">
        <f t="shared" si="23"/>
        <v>1.6417999999999999</v>
      </c>
      <c r="U142" s="114">
        <f t="shared" si="23"/>
        <v>1.6556</v>
      </c>
      <c r="V142" s="114">
        <f t="shared" si="23"/>
        <v>1.6695</v>
      </c>
      <c r="W142" s="114">
        <f t="shared" si="23"/>
        <v>1.6812</v>
      </c>
      <c r="X142" s="114">
        <f t="shared" si="23"/>
        <v>1.6930000000000001</v>
      </c>
      <c r="Y142" s="114">
        <f t="shared" si="23"/>
        <v>1.7049000000000001</v>
      </c>
      <c r="Z142" s="114">
        <f t="shared" si="23"/>
        <v>1.7168000000000001</v>
      </c>
      <c r="AA142" s="114">
        <f t="shared" si="23"/>
        <v>1.7287999999999999</v>
      </c>
      <c r="AB142" s="114">
        <f t="shared" si="23"/>
        <v>1.7408999999999999</v>
      </c>
      <c r="AC142" s="114">
        <f t="shared" si="23"/>
        <v>1.7531000000000001</v>
      </c>
      <c r="AD142" s="114">
        <f t="shared" si="23"/>
        <v>1.7654000000000001</v>
      </c>
      <c r="AE142" s="114">
        <f t="shared" si="23"/>
        <v>1.7778</v>
      </c>
      <c r="AF142" s="114">
        <f t="shared" si="23"/>
        <v>1.7902</v>
      </c>
      <c r="AG142" s="114">
        <f t="shared" si="23"/>
        <v>1.8065</v>
      </c>
      <c r="AH142" s="114">
        <f t="shared" si="23"/>
        <v>1.8229</v>
      </c>
      <c r="AI142" s="114">
        <f t="shared" si="23"/>
        <v>1.8394999999999999</v>
      </c>
      <c r="AJ142" s="114">
        <f t="shared" si="23"/>
        <v>1.8562000000000001</v>
      </c>
      <c r="AK142" s="114">
        <f t="shared" si="23"/>
        <v>1.8731</v>
      </c>
      <c r="AL142" s="114">
        <f t="shared" si="23"/>
        <v>1.8900999999999999</v>
      </c>
      <c r="AM142" s="114">
        <f t="shared" si="23"/>
        <v>1.9073</v>
      </c>
      <c r="AN142" s="114">
        <f t="shared" si="23"/>
        <v>1.9247000000000001</v>
      </c>
      <c r="AO142" s="114">
        <f t="shared" si="23"/>
        <v>1.9421999999999999</v>
      </c>
      <c r="AP142" s="114">
        <f t="shared" si="23"/>
        <v>1.9599</v>
      </c>
      <c r="AQ142" s="116">
        <f t="shared" si="21"/>
        <v>66.785728123429578</v>
      </c>
    </row>
    <row r="143" spans="2:43" x14ac:dyDescent="0.2">
      <c r="B143" s="46" t="s">
        <v>317</v>
      </c>
      <c r="C143" s="114">
        <f>(46.16*0.01)/$C$27</f>
        <v>0.57160965254360463</v>
      </c>
      <c r="D143" s="114">
        <f t="shared" ref="D143:AP143" si="24">ROUND(C143*(1+(0.7*D42)),4)</f>
        <v>0.57850000000000001</v>
      </c>
      <c r="E143" s="114">
        <f t="shared" si="24"/>
        <v>0.58360000000000001</v>
      </c>
      <c r="F143" s="114">
        <f t="shared" si="24"/>
        <v>0.59079999999999999</v>
      </c>
      <c r="G143" s="114">
        <f t="shared" si="24"/>
        <v>0.6018</v>
      </c>
      <c r="H143" s="114">
        <f t="shared" si="24"/>
        <v>0.60980000000000001</v>
      </c>
      <c r="I143" s="114">
        <f t="shared" si="24"/>
        <v>0.61709999999999998</v>
      </c>
      <c r="J143" s="114">
        <f t="shared" si="24"/>
        <v>0.62439999999999996</v>
      </c>
      <c r="K143" s="114">
        <f t="shared" si="24"/>
        <v>0.63180000000000003</v>
      </c>
      <c r="L143" s="114">
        <f t="shared" si="24"/>
        <v>0.63929999999999998</v>
      </c>
      <c r="M143" s="114">
        <f t="shared" si="24"/>
        <v>0.64470000000000005</v>
      </c>
      <c r="N143" s="114">
        <f t="shared" si="24"/>
        <v>0.65010000000000001</v>
      </c>
      <c r="O143" s="114">
        <f t="shared" si="24"/>
        <v>0.65559999999999996</v>
      </c>
      <c r="P143" s="114">
        <f t="shared" si="24"/>
        <v>0.66110000000000002</v>
      </c>
      <c r="Q143" s="114">
        <f t="shared" si="24"/>
        <v>0.66669999999999996</v>
      </c>
      <c r="R143" s="114">
        <f t="shared" si="24"/>
        <v>0.67230000000000001</v>
      </c>
      <c r="S143" s="114">
        <f t="shared" si="24"/>
        <v>0.67789999999999995</v>
      </c>
      <c r="T143" s="114">
        <f t="shared" si="24"/>
        <v>0.68359999999999999</v>
      </c>
      <c r="U143" s="114">
        <f t="shared" si="24"/>
        <v>0.68930000000000002</v>
      </c>
      <c r="V143" s="114">
        <f t="shared" si="24"/>
        <v>0.69510000000000005</v>
      </c>
      <c r="W143" s="114">
        <f t="shared" si="24"/>
        <v>0.7</v>
      </c>
      <c r="X143" s="114">
        <f t="shared" si="24"/>
        <v>0.70489999999999997</v>
      </c>
      <c r="Y143" s="114">
        <f t="shared" si="24"/>
        <v>0.70979999999999999</v>
      </c>
      <c r="Z143" s="114">
        <f t="shared" si="24"/>
        <v>0.71479999999999999</v>
      </c>
      <c r="AA143" s="114">
        <f t="shared" si="24"/>
        <v>0.7198</v>
      </c>
      <c r="AB143" s="114">
        <f t="shared" si="24"/>
        <v>0.7248</v>
      </c>
      <c r="AC143" s="114">
        <f t="shared" si="24"/>
        <v>0.72989999999999999</v>
      </c>
      <c r="AD143" s="114">
        <f t="shared" si="24"/>
        <v>0.73499999999999999</v>
      </c>
      <c r="AE143" s="114">
        <f t="shared" si="24"/>
        <v>0.74009999999999998</v>
      </c>
      <c r="AF143" s="114">
        <f t="shared" si="24"/>
        <v>0.74529999999999996</v>
      </c>
      <c r="AG143" s="114">
        <f t="shared" si="24"/>
        <v>0.75209999999999999</v>
      </c>
      <c r="AH143" s="114">
        <f t="shared" si="24"/>
        <v>0.75890000000000002</v>
      </c>
      <c r="AI143" s="114">
        <f t="shared" si="24"/>
        <v>0.76580000000000004</v>
      </c>
      <c r="AJ143" s="114">
        <f t="shared" si="24"/>
        <v>0.77280000000000004</v>
      </c>
      <c r="AK143" s="114">
        <f t="shared" si="24"/>
        <v>0.77980000000000005</v>
      </c>
      <c r="AL143" s="114">
        <f t="shared" si="24"/>
        <v>0.78690000000000004</v>
      </c>
      <c r="AM143" s="114">
        <f t="shared" si="24"/>
        <v>0.79410000000000003</v>
      </c>
      <c r="AN143" s="114">
        <f t="shared" si="24"/>
        <v>0.80130000000000001</v>
      </c>
      <c r="AO143" s="114">
        <f t="shared" si="24"/>
        <v>0.80859999999999999</v>
      </c>
      <c r="AP143" s="114">
        <f t="shared" si="24"/>
        <v>0.81599999999999995</v>
      </c>
      <c r="AQ143" s="116">
        <f t="shared" si="21"/>
        <v>27.805809652543598</v>
      </c>
    </row>
    <row r="144" spans="2:43" x14ac:dyDescent="0.2">
      <c r="B144" s="46" t="s">
        <v>318</v>
      </c>
      <c r="C144" s="114">
        <f>(6.67*0.01)/$C$27</f>
        <v>8.2596108805585863E-2</v>
      </c>
      <c r="D144" s="114">
        <f t="shared" ref="D144:AP144" si="25">ROUND(C144*(1+(0.7*D42)),4)</f>
        <v>8.3599999999999994E-2</v>
      </c>
      <c r="E144" s="114">
        <f t="shared" si="25"/>
        <v>8.43E-2</v>
      </c>
      <c r="F144" s="114">
        <f t="shared" si="25"/>
        <v>8.5300000000000001E-2</v>
      </c>
      <c r="G144" s="114">
        <f t="shared" si="25"/>
        <v>8.6900000000000005E-2</v>
      </c>
      <c r="H144" s="114">
        <f t="shared" si="25"/>
        <v>8.8099999999999998E-2</v>
      </c>
      <c r="I144" s="114">
        <f t="shared" si="25"/>
        <v>8.9099999999999999E-2</v>
      </c>
      <c r="J144" s="114">
        <f t="shared" si="25"/>
        <v>9.0200000000000002E-2</v>
      </c>
      <c r="K144" s="114">
        <f t="shared" si="25"/>
        <v>9.1300000000000006E-2</v>
      </c>
      <c r="L144" s="114">
        <f t="shared" si="25"/>
        <v>9.2399999999999996E-2</v>
      </c>
      <c r="M144" s="114">
        <f t="shared" si="25"/>
        <v>9.3200000000000005E-2</v>
      </c>
      <c r="N144" s="114">
        <f t="shared" si="25"/>
        <v>9.4E-2</v>
      </c>
      <c r="O144" s="114">
        <f t="shared" si="25"/>
        <v>9.4799999999999995E-2</v>
      </c>
      <c r="P144" s="114">
        <f t="shared" si="25"/>
        <v>9.5600000000000004E-2</v>
      </c>
      <c r="Q144" s="114">
        <f t="shared" si="25"/>
        <v>9.64E-2</v>
      </c>
      <c r="R144" s="114">
        <f t="shared" si="25"/>
        <v>9.7199999999999995E-2</v>
      </c>
      <c r="S144" s="114">
        <f t="shared" si="25"/>
        <v>9.8000000000000004E-2</v>
      </c>
      <c r="T144" s="114">
        <f t="shared" si="25"/>
        <v>9.8799999999999999E-2</v>
      </c>
      <c r="U144" s="114">
        <f t="shared" si="25"/>
        <v>9.9599999999999994E-2</v>
      </c>
      <c r="V144" s="114">
        <f t="shared" si="25"/>
        <v>0.1004</v>
      </c>
      <c r="W144" s="114">
        <f t="shared" si="25"/>
        <v>0.1011</v>
      </c>
      <c r="X144" s="114">
        <f t="shared" si="25"/>
        <v>0.1018</v>
      </c>
      <c r="Y144" s="114">
        <f t="shared" si="25"/>
        <v>0.10249999999999999</v>
      </c>
      <c r="Z144" s="114">
        <f t="shared" si="25"/>
        <v>0.1032</v>
      </c>
      <c r="AA144" s="114">
        <f t="shared" si="25"/>
        <v>0.10390000000000001</v>
      </c>
      <c r="AB144" s="114">
        <f t="shared" si="25"/>
        <v>0.1046</v>
      </c>
      <c r="AC144" s="114">
        <f t="shared" si="25"/>
        <v>0.1053</v>
      </c>
      <c r="AD144" s="114">
        <f t="shared" si="25"/>
        <v>0.106</v>
      </c>
      <c r="AE144" s="114">
        <f t="shared" si="25"/>
        <v>0.1067</v>
      </c>
      <c r="AF144" s="114">
        <f t="shared" si="25"/>
        <v>0.1074</v>
      </c>
      <c r="AG144" s="114">
        <f t="shared" si="25"/>
        <v>0.1084</v>
      </c>
      <c r="AH144" s="114">
        <f t="shared" si="25"/>
        <v>0.1094</v>
      </c>
      <c r="AI144" s="114">
        <f t="shared" si="25"/>
        <v>0.1104</v>
      </c>
      <c r="AJ144" s="114">
        <f t="shared" si="25"/>
        <v>0.1114</v>
      </c>
      <c r="AK144" s="114">
        <f t="shared" si="25"/>
        <v>0.1124</v>
      </c>
      <c r="AL144" s="114">
        <f t="shared" si="25"/>
        <v>0.1134</v>
      </c>
      <c r="AM144" s="114">
        <f t="shared" si="25"/>
        <v>0.1144</v>
      </c>
      <c r="AN144" s="114">
        <f t="shared" si="25"/>
        <v>0.1154</v>
      </c>
      <c r="AO144" s="114">
        <f t="shared" si="25"/>
        <v>0.11650000000000001</v>
      </c>
      <c r="AP144" s="114">
        <f t="shared" si="25"/>
        <v>0.1176</v>
      </c>
      <c r="AQ144" s="116">
        <f t="shared" si="21"/>
        <v>4.0135961088055865</v>
      </c>
    </row>
    <row r="145" spans="2:8" x14ac:dyDescent="0.2">
      <c r="B145" s="1" t="s">
        <v>443</v>
      </c>
    </row>
    <row r="148" spans="2:8" ht="27.75" x14ac:dyDescent="0.4">
      <c r="B148" s="148" t="s">
        <v>320</v>
      </c>
    </row>
    <row r="151" spans="2:8" ht="25.5" customHeight="1" x14ac:dyDescent="0.2">
      <c r="B151" s="537" t="s">
        <v>301</v>
      </c>
      <c r="C151" s="538"/>
      <c r="D151" s="10"/>
      <c r="E151" s="10"/>
      <c r="F151" s="10"/>
      <c r="G151" s="10"/>
      <c r="H151" s="10"/>
    </row>
    <row r="152" spans="2:8" ht="17.25" customHeight="1" x14ac:dyDescent="0.2">
      <c r="B152" s="146" t="s">
        <v>98</v>
      </c>
      <c r="C152" s="82" t="s">
        <v>99</v>
      </c>
    </row>
    <row r="153" spans="2:8" x14ac:dyDescent="0.2">
      <c r="B153" s="3" t="s">
        <v>89</v>
      </c>
      <c r="C153" s="90">
        <v>4.7</v>
      </c>
      <c r="E153" s="2" t="s">
        <v>101</v>
      </c>
    </row>
    <row r="154" spans="2:8" x14ac:dyDescent="0.2">
      <c r="B154" s="3" t="s">
        <v>90</v>
      </c>
      <c r="C154" s="90">
        <v>3.6</v>
      </c>
      <c r="E154" s="2" t="s">
        <v>321</v>
      </c>
    </row>
    <row r="155" spans="2:8" x14ac:dyDescent="0.2">
      <c r="B155" s="3" t="s">
        <v>91</v>
      </c>
      <c r="C155" s="90">
        <v>150</v>
      </c>
    </row>
    <row r="156" spans="2:8" x14ac:dyDescent="0.2">
      <c r="B156" s="3" t="s">
        <v>92</v>
      </c>
      <c r="C156" s="90">
        <v>3.9</v>
      </c>
    </row>
    <row r="157" spans="2:8" x14ac:dyDescent="0.2">
      <c r="B157" s="3" t="s">
        <v>93</v>
      </c>
      <c r="C157" s="90">
        <v>3.2</v>
      </c>
    </row>
    <row r="158" spans="2:8" x14ac:dyDescent="0.2">
      <c r="B158" s="3" t="s">
        <v>94</v>
      </c>
      <c r="C158" s="90">
        <v>130.9</v>
      </c>
    </row>
    <row r="159" spans="2:8" x14ac:dyDescent="0.2">
      <c r="B159" s="3" t="s">
        <v>95</v>
      </c>
      <c r="C159" s="90">
        <v>2.1</v>
      </c>
    </row>
    <row r="160" spans="2:8" x14ac:dyDescent="0.2">
      <c r="B160" s="3" t="s">
        <v>96</v>
      </c>
      <c r="C160" s="90">
        <v>1</v>
      </c>
    </row>
    <row r="161" spans="2:5" x14ac:dyDescent="0.2">
      <c r="B161" s="3" t="s">
        <v>97</v>
      </c>
      <c r="C161" s="90">
        <v>20.399999999999999</v>
      </c>
    </row>
    <row r="162" spans="2:5" x14ac:dyDescent="0.2">
      <c r="B162" s="3" t="s">
        <v>88</v>
      </c>
      <c r="C162" s="90">
        <v>35</v>
      </c>
    </row>
    <row r="163" spans="2:5" x14ac:dyDescent="0.2">
      <c r="B163" s="1" t="s">
        <v>100</v>
      </c>
      <c r="C163" s="87"/>
    </row>
    <row r="165" spans="2:5" ht="17.25" customHeight="1" x14ac:dyDescent="0.2">
      <c r="B165" s="548" t="s">
        <v>110</v>
      </c>
      <c r="C165" s="548"/>
    </row>
    <row r="166" spans="2:5" x14ac:dyDescent="0.2">
      <c r="B166" s="3" t="s">
        <v>67</v>
      </c>
      <c r="C166" s="86">
        <v>1.4</v>
      </c>
    </row>
    <row r="167" spans="2:5" x14ac:dyDescent="0.2">
      <c r="B167" s="3" t="s">
        <v>111</v>
      </c>
      <c r="C167" s="89">
        <v>22</v>
      </c>
    </row>
    <row r="168" spans="2:5" x14ac:dyDescent="0.2">
      <c r="B168" s="1" t="s">
        <v>75</v>
      </c>
    </row>
    <row r="170" spans="2:5" ht="34.5" customHeight="1" x14ac:dyDescent="0.2">
      <c r="B170" s="147" t="s">
        <v>120</v>
      </c>
      <c r="C170" s="136" t="s">
        <v>119</v>
      </c>
    </row>
    <row r="171" spans="2:5" x14ac:dyDescent="0.2">
      <c r="B171" s="3" t="s">
        <v>117</v>
      </c>
      <c r="C171" s="73">
        <v>0.44</v>
      </c>
    </row>
    <row r="172" spans="2:5" x14ac:dyDescent="0.2">
      <c r="B172" s="3" t="s">
        <v>118</v>
      </c>
      <c r="C172" s="73">
        <v>0.56000000000000005</v>
      </c>
    </row>
    <row r="173" spans="2:5" x14ac:dyDescent="0.2">
      <c r="B173" s="3" t="s">
        <v>121</v>
      </c>
      <c r="C173" s="13">
        <v>17.5</v>
      </c>
    </row>
    <row r="174" spans="2:5" x14ac:dyDescent="0.2">
      <c r="B174" s="3" t="s">
        <v>122</v>
      </c>
      <c r="C174" s="13">
        <v>1.96</v>
      </c>
      <c r="E174" s="2" t="s">
        <v>132</v>
      </c>
    </row>
    <row r="175" spans="2:5" x14ac:dyDescent="0.2">
      <c r="B175" s="1" t="s">
        <v>75</v>
      </c>
    </row>
    <row r="177" spans="2:123" ht="22.5" x14ac:dyDescent="0.2">
      <c r="B177" s="147" t="s">
        <v>133</v>
      </c>
      <c r="C177" s="76" t="s">
        <v>123</v>
      </c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G177" s="74"/>
      <c r="CH177" s="74"/>
      <c r="CI177" s="74"/>
      <c r="CJ177" s="74"/>
      <c r="CK177" s="74"/>
      <c r="CL177" s="74"/>
      <c r="CM177" s="74"/>
      <c r="CN177" s="74"/>
      <c r="CO177" s="74"/>
      <c r="CP177" s="74"/>
      <c r="CQ177" s="74"/>
      <c r="CR177" s="74"/>
      <c r="CS177" s="74"/>
      <c r="CT177" s="74"/>
      <c r="CU177" s="74"/>
      <c r="CV177" s="74"/>
      <c r="CW177" s="74"/>
      <c r="CX177" s="74"/>
      <c r="CY177" s="74"/>
      <c r="CZ177" s="74"/>
      <c r="DA177" s="74"/>
      <c r="DB177" s="74"/>
      <c r="DC177" s="74"/>
      <c r="DD177" s="74"/>
      <c r="DE177" s="74"/>
      <c r="DF177" s="74"/>
      <c r="DG177" s="74"/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5"/>
    </row>
    <row r="178" spans="2:123" ht="17.25" customHeight="1" x14ac:dyDescent="0.2">
      <c r="B178" s="94" t="s">
        <v>102</v>
      </c>
      <c r="C178" s="82">
        <v>10</v>
      </c>
      <c r="D178" s="82">
        <v>11</v>
      </c>
      <c r="E178" s="82">
        <v>12</v>
      </c>
      <c r="F178" s="82">
        <v>13</v>
      </c>
      <c r="G178" s="82">
        <v>14</v>
      </c>
      <c r="H178" s="82">
        <v>15</v>
      </c>
      <c r="I178" s="82">
        <v>16</v>
      </c>
      <c r="J178" s="82">
        <v>17</v>
      </c>
      <c r="K178" s="82">
        <v>18</v>
      </c>
      <c r="L178" s="82">
        <v>19</v>
      </c>
      <c r="M178" s="82">
        <v>20</v>
      </c>
      <c r="N178" s="82">
        <v>21</v>
      </c>
      <c r="O178" s="82">
        <v>22</v>
      </c>
      <c r="P178" s="82">
        <v>23</v>
      </c>
      <c r="Q178" s="82">
        <v>24</v>
      </c>
      <c r="R178" s="82">
        <v>25</v>
      </c>
      <c r="S178" s="82">
        <v>26</v>
      </c>
      <c r="T178" s="82">
        <v>27</v>
      </c>
      <c r="U178" s="82">
        <v>28</v>
      </c>
      <c r="V178" s="82">
        <v>29</v>
      </c>
      <c r="W178" s="82">
        <v>30</v>
      </c>
      <c r="X178" s="82">
        <v>31</v>
      </c>
      <c r="Y178" s="82">
        <v>32</v>
      </c>
      <c r="Z178" s="82">
        <v>33</v>
      </c>
      <c r="AA178" s="82">
        <v>34</v>
      </c>
      <c r="AB178" s="82">
        <v>35</v>
      </c>
      <c r="AC178" s="82">
        <v>36</v>
      </c>
      <c r="AD178" s="82">
        <v>37</v>
      </c>
      <c r="AE178" s="82">
        <v>38</v>
      </c>
      <c r="AF178" s="82">
        <v>39</v>
      </c>
      <c r="AG178" s="82">
        <v>40</v>
      </c>
      <c r="AH178" s="82">
        <v>41</v>
      </c>
      <c r="AI178" s="82">
        <v>42</v>
      </c>
      <c r="AJ178" s="82">
        <v>43</v>
      </c>
      <c r="AK178" s="82">
        <v>44</v>
      </c>
      <c r="AL178" s="82">
        <v>45</v>
      </c>
      <c r="AM178" s="82">
        <v>46</v>
      </c>
      <c r="AN178" s="82">
        <v>47</v>
      </c>
      <c r="AO178" s="82">
        <v>48</v>
      </c>
      <c r="AP178" s="82">
        <v>49</v>
      </c>
      <c r="AQ178" s="82">
        <v>50</v>
      </c>
      <c r="AR178" s="82">
        <v>51</v>
      </c>
      <c r="AS178" s="82">
        <v>52</v>
      </c>
      <c r="AT178" s="82">
        <v>53</v>
      </c>
      <c r="AU178" s="82">
        <v>54</v>
      </c>
      <c r="AV178" s="82">
        <v>55</v>
      </c>
      <c r="AW178" s="82">
        <v>56</v>
      </c>
      <c r="AX178" s="82">
        <v>57</v>
      </c>
      <c r="AY178" s="82">
        <v>58</v>
      </c>
      <c r="AZ178" s="82">
        <v>59</v>
      </c>
      <c r="BA178" s="82">
        <v>60</v>
      </c>
      <c r="BB178" s="82">
        <v>61</v>
      </c>
      <c r="BC178" s="82">
        <v>62</v>
      </c>
      <c r="BD178" s="82">
        <v>63</v>
      </c>
      <c r="BE178" s="82">
        <v>64</v>
      </c>
      <c r="BF178" s="82">
        <v>65</v>
      </c>
      <c r="BG178" s="82">
        <v>66</v>
      </c>
      <c r="BH178" s="82">
        <v>67</v>
      </c>
      <c r="BI178" s="82">
        <v>68</v>
      </c>
      <c r="BJ178" s="82">
        <v>69</v>
      </c>
      <c r="BK178" s="82">
        <v>70</v>
      </c>
      <c r="BL178" s="82">
        <v>71</v>
      </c>
      <c r="BM178" s="82">
        <v>72</v>
      </c>
      <c r="BN178" s="82">
        <v>73</v>
      </c>
      <c r="BO178" s="82">
        <v>74</v>
      </c>
      <c r="BP178" s="82">
        <v>75</v>
      </c>
      <c r="BQ178" s="82">
        <v>76</v>
      </c>
      <c r="BR178" s="82">
        <v>77</v>
      </c>
      <c r="BS178" s="82">
        <v>78</v>
      </c>
      <c r="BT178" s="82">
        <v>79</v>
      </c>
      <c r="BU178" s="82">
        <v>80</v>
      </c>
      <c r="BV178" s="82">
        <v>81</v>
      </c>
      <c r="BW178" s="82">
        <v>82</v>
      </c>
      <c r="BX178" s="82">
        <v>83</v>
      </c>
      <c r="BY178" s="82">
        <v>84</v>
      </c>
      <c r="BZ178" s="82">
        <v>85</v>
      </c>
      <c r="CA178" s="82">
        <v>86</v>
      </c>
      <c r="CB178" s="82">
        <v>87</v>
      </c>
      <c r="CC178" s="82">
        <v>88</v>
      </c>
      <c r="CD178" s="82">
        <v>89</v>
      </c>
      <c r="CE178" s="82">
        <v>90</v>
      </c>
      <c r="CF178" s="82">
        <v>91</v>
      </c>
      <c r="CG178" s="82">
        <v>92</v>
      </c>
      <c r="CH178" s="82">
        <v>93</v>
      </c>
      <c r="CI178" s="82">
        <v>94</v>
      </c>
      <c r="CJ178" s="82">
        <v>95</v>
      </c>
      <c r="CK178" s="82">
        <v>96</v>
      </c>
      <c r="CL178" s="82">
        <v>97</v>
      </c>
      <c r="CM178" s="82">
        <v>98</v>
      </c>
      <c r="CN178" s="82">
        <v>99</v>
      </c>
      <c r="CO178" s="82">
        <v>100</v>
      </c>
      <c r="CP178" s="82">
        <v>101</v>
      </c>
      <c r="CQ178" s="82">
        <v>102</v>
      </c>
      <c r="CR178" s="82">
        <v>103</v>
      </c>
      <c r="CS178" s="82">
        <v>104</v>
      </c>
      <c r="CT178" s="82">
        <v>105</v>
      </c>
      <c r="CU178" s="82">
        <v>106</v>
      </c>
      <c r="CV178" s="82">
        <v>107</v>
      </c>
      <c r="CW178" s="82">
        <v>108</v>
      </c>
      <c r="CX178" s="82">
        <v>109</v>
      </c>
      <c r="CY178" s="82">
        <v>110</v>
      </c>
      <c r="CZ178" s="82">
        <v>111</v>
      </c>
      <c r="DA178" s="82">
        <v>112</v>
      </c>
      <c r="DB178" s="82">
        <v>113</v>
      </c>
      <c r="DC178" s="82">
        <v>114</v>
      </c>
      <c r="DD178" s="82">
        <v>115</v>
      </c>
      <c r="DE178" s="82">
        <v>116</v>
      </c>
      <c r="DF178" s="82">
        <v>117</v>
      </c>
      <c r="DG178" s="82">
        <v>118</v>
      </c>
      <c r="DH178" s="82">
        <v>119</v>
      </c>
      <c r="DI178" s="82">
        <v>120</v>
      </c>
      <c r="DJ178" s="82">
        <v>121</v>
      </c>
      <c r="DK178" s="82">
        <v>122</v>
      </c>
      <c r="DL178" s="82">
        <v>123</v>
      </c>
      <c r="DM178" s="82">
        <v>124</v>
      </c>
      <c r="DN178" s="82">
        <v>125</v>
      </c>
      <c r="DO178" s="82">
        <v>126</v>
      </c>
      <c r="DP178" s="82">
        <v>127</v>
      </c>
      <c r="DQ178" s="82">
        <v>128</v>
      </c>
      <c r="DR178" s="82">
        <v>129</v>
      </c>
      <c r="DS178" s="82">
        <v>130</v>
      </c>
    </row>
    <row r="179" spans="2:123" x14ac:dyDescent="0.2">
      <c r="B179" s="3" t="s">
        <v>124</v>
      </c>
      <c r="C179" s="77">
        <v>0.121</v>
      </c>
      <c r="D179" s="78">
        <f t="shared" ref="D179:L179" si="26">C179+($M$179-$C$179)/10</f>
        <v>0.1191</v>
      </c>
      <c r="E179" s="78">
        <f t="shared" si="26"/>
        <v>0.1172</v>
      </c>
      <c r="F179" s="78">
        <f t="shared" si="26"/>
        <v>0.1153</v>
      </c>
      <c r="G179" s="78">
        <f t="shared" si="26"/>
        <v>0.1134</v>
      </c>
      <c r="H179" s="78">
        <f t="shared" si="26"/>
        <v>0.1115</v>
      </c>
      <c r="I179" s="78">
        <f t="shared" si="26"/>
        <v>0.1096</v>
      </c>
      <c r="J179" s="78">
        <f t="shared" si="26"/>
        <v>0.1077</v>
      </c>
      <c r="K179" s="78">
        <f t="shared" si="26"/>
        <v>0.10580000000000001</v>
      </c>
      <c r="L179" s="78">
        <f t="shared" si="26"/>
        <v>0.10390000000000001</v>
      </c>
      <c r="M179" s="77">
        <v>0.10199999999999999</v>
      </c>
      <c r="N179" s="78">
        <f t="shared" ref="N179:V179" si="27">M179+($W$179-$M$179)/10</f>
        <v>0.10049999999999999</v>
      </c>
      <c r="O179" s="78">
        <f t="shared" si="27"/>
        <v>9.8999999999999991E-2</v>
      </c>
      <c r="P179" s="78">
        <f t="shared" si="27"/>
        <v>9.7499999999999989E-2</v>
      </c>
      <c r="Q179" s="78">
        <f t="shared" si="27"/>
        <v>9.5999999999999988E-2</v>
      </c>
      <c r="R179" s="78">
        <f t="shared" si="27"/>
        <v>9.4499999999999987E-2</v>
      </c>
      <c r="S179" s="78">
        <f t="shared" si="27"/>
        <v>9.2999999999999985E-2</v>
      </c>
      <c r="T179" s="78">
        <f t="shared" si="27"/>
        <v>9.1499999999999984E-2</v>
      </c>
      <c r="U179" s="78">
        <f t="shared" si="27"/>
        <v>8.9999999999999983E-2</v>
      </c>
      <c r="V179" s="78">
        <f t="shared" si="27"/>
        <v>8.8499999999999981E-2</v>
      </c>
      <c r="W179" s="77">
        <v>8.6999999999999994E-2</v>
      </c>
      <c r="X179" s="78">
        <f t="shared" ref="X179:AF179" si="28">W179+($AG$179-$W$179)/10</f>
        <v>8.5799999999999987E-2</v>
      </c>
      <c r="Y179" s="78">
        <f t="shared" si="28"/>
        <v>8.4599999999999981E-2</v>
      </c>
      <c r="Z179" s="78">
        <f t="shared" si="28"/>
        <v>8.3399999999999974E-2</v>
      </c>
      <c r="AA179" s="78">
        <f t="shared" si="28"/>
        <v>8.2199999999999968E-2</v>
      </c>
      <c r="AB179" s="78">
        <f t="shared" si="28"/>
        <v>8.0999999999999961E-2</v>
      </c>
      <c r="AC179" s="78">
        <f t="shared" si="28"/>
        <v>7.9799999999999954E-2</v>
      </c>
      <c r="AD179" s="78">
        <f t="shared" si="28"/>
        <v>7.8599999999999948E-2</v>
      </c>
      <c r="AE179" s="78">
        <f t="shared" si="28"/>
        <v>7.7399999999999941E-2</v>
      </c>
      <c r="AF179" s="78">
        <f t="shared" si="28"/>
        <v>7.6199999999999934E-2</v>
      </c>
      <c r="AG179" s="77">
        <v>7.4999999999999997E-2</v>
      </c>
      <c r="AH179" s="78">
        <f t="shared" ref="AH179:AP179" si="29">AG179+($AQ$179-$AG$179)/10</f>
        <v>7.4099999999999999E-2</v>
      </c>
      <c r="AI179" s="78">
        <f t="shared" si="29"/>
        <v>7.3200000000000001E-2</v>
      </c>
      <c r="AJ179" s="78">
        <f t="shared" si="29"/>
        <v>7.2300000000000003E-2</v>
      </c>
      <c r="AK179" s="78">
        <f t="shared" si="29"/>
        <v>7.1400000000000005E-2</v>
      </c>
      <c r="AL179" s="78">
        <f t="shared" si="29"/>
        <v>7.0500000000000007E-2</v>
      </c>
      <c r="AM179" s="78">
        <f t="shared" si="29"/>
        <v>6.9600000000000009E-2</v>
      </c>
      <c r="AN179" s="78">
        <f t="shared" si="29"/>
        <v>6.8700000000000011E-2</v>
      </c>
      <c r="AO179" s="78">
        <f t="shared" si="29"/>
        <v>6.7800000000000013E-2</v>
      </c>
      <c r="AP179" s="78">
        <f t="shared" si="29"/>
        <v>6.6900000000000015E-2</v>
      </c>
      <c r="AQ179" s="77">
        <v>6.6000000000000003E-2</v>
      </c>
      <c r="AR179" s="78">
        <f t="shared" ref="AR179:AZ179" si="30">AQ179+($BA$179-$AQ$179)/10</f>
        <v>6.54E-2</v>
      </c>
      <c r="AS179" s="78">
        <f t="shared" si="30"/>
        <v>6.4799999999999996E-2</v>
      </c>
      <c r="AT179" s="78">
        <f t="shared" si="30"/>
        <v>6.4199999999999993E-2</v>
      </c>
      <c r="AU179" s="78">
        <f t="shared" si="30"/>
        <v>6.359999999999999E-2</v>
      </c>
      <c r="AV179" s="78">
        <f t="shared" si="30"/>
        <v>6.2999999999999987E-2</v>
      </c>
      <c r="AW179" s="78">
        <f t="shared" si="30"/>
        <v>6.2399999999999983E-2</v>
      </c>
      <c r="AX179" s="78">
        <f t="shared" si="30"/>
        <v>6.179999999999998E-2</v>
      </c>
      <c r="AY179" s="78">
        <f t="shared" si="30"/>
        <v>6.1199999999999977E-2</v>
      </c>
      <c r="AZ179" s="78">
        <f t="shared" si="30"/>
        <v>6.0599999999999973E-2</v>
      </c>
      <c r="BA179" s="77">
        <v>0.06</v>
      </c>
      <c r="BB179" s="78">
        <f t="shared" ref="BB179:BJ179" si="31">BA179+($BK$179-$BA$179)/10</f>
        <v>5.9799999999999999E-2</v>
      </c>
      <c r="BC179" s="78">
        <f t="shared" si="31"/>
        <v>5.96E-2</v>
      </c>
      <c r="BD179" s="78">
        <f t="shared" si="31"/>
        <v>5.9400000000000001E-2</v>
      </c>
      <c r="BE179" s="78">
        <f t="shared" si="31"/>
        <v>5.9200000000000003E-2</v>
      </c>
      <c r="BF179" s="78">
        <f t="shared" si="31"/>
        <v>5.9000000000000004E-2</v>
      </c>
      <c r="BG179" s="78">
        <f t="shared" si="31"/>
        <v>5.8800000000000005E-2</v>
      </c>
      <c r="BH179" s="78">
        <f t="shared" si="31"/>
        <v>5.8600000000000006E-2</v>
      </c>
      <c r="BI179" s="78">
        <f t="shared" si="31"/>
        <v>5.8400000000000007E-2</v>
      </c>
      <c r="BJ179" s="78">
        <f t="shared" si="31"/>
        <v>5.8200000000000009E-2</v>
      </c>
      <c r="BK179" s="77">
        <v>5.8000000000000003E-2</v>
      </c>
      <c r="BL179" s="78">
        <f t="shared" ref="BL179:BT179" si="32">BK179+($BU$179-$BK$179)/10</f>
        <v>5.8099999999999999E-2</v>
      </c>
      <c r="BM179" s="78">
        <f t="shared" si="32"/>
        <v>5.8200000000000002E-2</v>
      </c>
      <c r="BN179" s="78">
        <f t="shared" si="32"/>
        <v>5.8300000000000005E-2</v>
      </c>
      <c r="BO179" s="78">
        <f t="shared" si="32"/>
        <v>5.8400000000000007E-2</v>
      </c>
      <c r="BP179" s="78">
        <f t="shared" si="32"/>
        <v>5.850000000000001E-2</v>
      </c>
      <c r="BQ179" s="78">
        <f t="shared" si="32"/>
        <v>5.8600000000000013E-2</v>
      </c>
      <c r="BR179" s="78">
        <f t="shared" si="32"/>
        <v>5.8700000000000016E-2</v>
      </c>
      <c r="BS179" s="78">
        <f t="shared" si="32"/>
        <v>5.8800000000000019E-2</v>
      </c>
      <c r="BT179" s="78">
        <f t="shared" si="32"/>
        <v>5.8900000000000022E-2</v>
      </c>
      <c r="BU179" s="77">
        <v>5.8999999999999997E-2</v>
      </c>
      <c r="BV179" s="78">
        <f t="shared" ref="BV179:CD179" si="33">BU179+($CE$179-$BU$179)/10</f>
        <v>5.9399999999999994E-2</v>
      </c>
      <c r="BW179" s="78">
        <f t="shared" si="33"/>
        <v>5.9799999999999992E-2</v>
      </c>
      <c r="BX179" s="78">
        <f t="shared" si="33"/>
        <v>6.019999999999999E-2</v>
      </c>
      <c r="BY179" s="78">
        <f t="shared" si="33"/>
        <v>6.0599999999999987E-2</v>
      </c>
      <c r="BZ179" s="78">
        <f t="shared" si="33"/>
        <v>6.0999999999999985E-2</v>
      </c>
      <c r="CA179" s="78">
        <f t="shared" si="33"/>
        <v>6.1399999999999982E-2</v>
      </c>
      <c r="CB179" s="78">
        <f t="shared" si="33"/>
        <v>6.179999999999998E-2</v>
      </c>
      <c r="CC179" s="78">
        <f t="shared" si="33"/>
        <v>6.2199999999999978E-2</v>
      </c>
      <c r="CD179" s="78">
        <f t="shared" si="33"/>
        <v>6.2599999999999975E-2</v>
      </c>
      <c r="CE179" s="77">
        <v>6.3E-2</v>
      </c>
      <c r="CF179" s="78">
        <f t="shared" ref="CF179:CN179" si="34">CE179+($CO$179-$CE$179)/10</f>
        <v>6.3700000000000007E-2</v>
      </c>
      <c r="CG179" s="78">
        <f t="shared" si="34"/>
        <v>6.4400000000000013E-2</v>
      </c>
      <c r="CH179" s="78">
        <f t="shared" si="34"/>
        <v>6.5100000000000019E-2</v>
      </c>
      <c r="CI179" s="78">
        <f t="shared" si="34"/>
        <v>6.5800000000000025E-2</v>
      </c>
      <c r="CJ179" s="78">
        <f t="shared" si="34"/>
        <v>6.6500000000000031E-2</v>
      </c>
      <c r="CK179" s="78">
        <f t="shared" si="34"/>
        <v>6.7200000000000037E-2</v>
      </c>
      <c r="CL179" s="78">
        <f t="shared" si="34"/>
        <v>6.7900000000000044E-2</v>
      </c>
      <c r="CM179" s="78">
        <f t="shared" si="34"/>
        <v>6.860000000000005E-2</v>
      </c>
      <c r="CN179" s="78">
        <f t="shared" si="34"/>
        <v>6.9300000000000056E-2</v>
      </c>
      <c r="CO179" s="77">
        <v>7.0000000000000007E-2</v>
      </c>
      <c r="CP179" s="78">
        <f t="shared" ref="CP179:CX179" si="35">CO179+($CY$179-$CO$179)/10</f>
        <v>7.110000000000001E-2</v>
      </c>
      <c r="CQ179" s="78">
        <f t="shared" si="35"/>
        <v>7.2200000000000014E-2</v>
      </c>
      <c r="CR179" s="78">
        <f t="shared" si="35"/>
        <v>7.3300000000000018E-2</v>
      </c>
      <c r="CS179" s="78">
        <f t="shared" si="35"/>
        <v>7.4400000000000022E-2</v>
      </c>
      <c r="CT179" s="78">
        <f t="shared" si="35"/>
        <v>7.5500000000000025E-2</v>
      </c>
      <c r="CU179" s="78">
        <f t="shared" si="35"/>
        <v>7.6600000000000029E-2</v>
      </c>
      <c r="CV179" s="78">
        <f t="shared" si="35"/>
        <v>7.7700000000000033E-2</v>
      </c>
      <c r="CW179" s="78">
        <f t="shared" si="35"/>
        <v>7.8800000000000037E-2</v>
      </c>
      <c r="CX179" s="78">
        <f t="shared" si="35"/>
        <v>7.990000000000004E-2</v>
      </c>
      <c r="CY179" s="77">
        <v>8.1000000000000003E-2</v>
      </c>
      <c r="CZ179" s="78">
        <f t="shared" ref="CZ179:DH179" si="36">CY179+($DI$179-$CY$179)/10</f>
        <v>8.2400000000000001E-2</v>
      </c>
      <c r="DA179" s="78">
        <f t="shared" si="36"/>
        <v>8.3799999999999999E-2</v>
      </c>
      <c r="DB179" s="78">
        <f t="shared" si="36"/>
        <v>8.5199999999999998E-2</v>
      </c>
      <c r="DC179" s="78">
        <f t="shared" si="36"/>
        <v>8.6599999999999996E-2</v>
      </c>
      <c r="DD179" s="78">
        <f t="shared" si="36"/>
        <v>8.7999999999999995E-2</v>
      </c>
      <c r="DE179" s="78">
        <f t="shared" si="36"/>
        <v>8.9399999999999993E-2</v>
      </c>
      <c r="DF179" s="78">
        <f t="shared" si="36"/>
        <v>9.0799999999999992E-2</v>
      </c>
      <c r="DG179" s="78">
        <f t="shared" si="36"/>
        <v>9.219999999999999E-2</v>
      </c>
      <c r="DH179" s="78">
        <f t="shared" si="36"/>
        <v>9.3599999999999989E-2</v>
      </c>
      <c r="DI179" s="77">
        <v>9.5000000000000001E-2</v>
      </c>
      <c r="DJ179" s="78">
        <f t="shared" ref="DJ179:DR179" si="37">DI179+($DS$179-$DI$179)/10</f>
        <v>9.6700000000000008E-2</v>
      </c>
      <c r="DK179" s="78">
        <f t="shared" si="37"/>
        <v>9.8400000000000015E-2</v>
      </c>
      <c r="DL179" s="78">
        <f t="shared" si="37"/>
        <v>0.10010000000000002</v>
      </c>
      <c r="DM179" s="78">
        <f t="shared" si="37"/>
        <v>0.10180000000000003</v>
      </c>
      <c r="DN179" s="78">
        <f t="shared" si="37"/>
        <v>0.10350000000000004</v>
      </c>
      <c r="DO179" s="78">
        <f t="shared" si="37"/>
        <v>0.10520000000000004</v>
      </c>
      <c r="DP179" s="78">
        <f t="shared" si="37"/>
        <v>0.10690000000000005</v>
      </c>
      <c r="DQ179" s="78">
        <f t="shared" si="37"/>
        <v>0.10860000000000006</v>
      </c>
      <c r="DR179" s="78">
        <f t="shared" si="37"/>
        <v>0.11030000000000006</v>
      </c>
      <c r="DS179" s="77">
        <v>0.112</v>
      </c>
    </row>
    <row r="180" spans="2:123" x14ac:dyDescent="0.2">
      <c r="B180" s="3" t="s">
        <v>125</v>
      </c>
      <c r="C180" s="77">
        <v>0.111</v>
      </c>
      <c r="D180" s="78">
        <f t="shared" ref="D180:L180" si="38">C180+($M$180-$C$180)/10</f>
        <v>0.1091</v>
      </c>
      <c r="E180" s="78">
        <f t="shared" si="38"/>
        <v>0.1072</v>
      </c>
      <c r="F180" s="78">
        <f t="shared" si="38"/>
        <v>0.1053</v>
      </c>
      <c r="G180" s="78">
        <f t="shared" si="38"/>
        <v>0.10340000000000001</v>
      </c>
      <c r="H180" s="78">
        <f t="shared" si="38"/>
        <v>0.10150000000000001</v>
      </c>
      <c r="I180" s="78">
        <f t="shared" si="38"/>
        <v>9.9600000000000008E-2</v>
      </c>
      <c r="J180" s="78">
        <f t="shared" si="38"/>
        <v>9.7700000000000009E-2</v>
      </c>
      <c r="K180" s="78">
        <f t="shared" si="38"/>
        <v>9.580000000000001E-2</v>
      </c>
      <c r="L180" s="78">
        <f t="shared" si="38"/>
        <v>9.3900000000000011E-2</v>
      </c>
      <c r="M180" s="77">
        <v>9.1999999999999998E-2</v>
      </c>
      <c r="N180" s="78">
        <f t="shared" ref="N180:V180" si="39">M180+($W$180-$M$180)/10</f>
        <v>9.0499999999999997E-2</v>
      </c>
      <c r="O180" s="78">
        <f t="shared" si="39"/>
        <v>8.8999999999999996E-2</v>
      </c>
      <c r="P180" s="78">
        <f t="shared" si="39"/>
        <v>8.7499999999999994E-2</v>
      </c>
      <c r="Q180" s="78">
        <f t="shared" si="39"/>
        <v>8.5999999999999993E-2</v>
      </c>
      <c r="R180" s="78">
        <f t="shared" si="39"/>
        <v>8.4499999999999992E-2</v>
      </c>
      <c r="S180" s="78">
        <f t="shared" si="39"/>
        <v>8.299999999999999E-2</v>
      </c>
      <c r="T180" s="78">
        <f t="shared" si="39"/>
        <v>8.1499999999999989E-2</v>
      </c>
      <c r="U180" s="78">
        <f t="shared" si="39"/>
        <v>7.9999999999999988E-2</v>
      </c>
      <c r="V180" s="78">
        <f t="shared" si="39"/>
        <v>7.8499999999999986E-2</v>
      </c>
      <c r="W180" s="77">
        <v>7.6999999999999999E-2</v>
      </c>
      <c r="X180" s="78">
        <f t="shared" ref="X180:AF180" si="40">W180+($AG$180-$W$180)/10</f>
        <v>7.5800000000000006E-2</v>
      </c>
      <c r="Y180" s="78">
        <f t="shared" si="40"/>
        <v>7.46E-2</v>
      </c>
      <c r="Z180" s="78">
        <f t="shared" si="40"/>
        <v>7.3399999999999993E-2</v>
      </c>
      <c r="AA180" s="78">
        <f t="shared" si="40"/>
        <v>7.2199999999999986E-2</v>
      </c>
      <c r="AB180" s="78">
        <f t="shared" si="40"/>
        <v>7.099999999999998E-2</v>
      </c>
      <c r="AC180" s="78">
        <f t="shared" si="40"/>
        <v>6.9799999999999973E-2</v>
      </c>
      <c r="AD180" s="78">
        <f t="shared" si="40"/>
        <v>6.8599999999999967E-2</v>
      </c>
      <c r="AE180" s="78">
        <f t="shared" si="40"/>
        <v>6.739999999999996E-2</v>
      </c>
      <c r="AF180" s="78">
        <f t="shared" si="40"/>
        <v>6.6199999999999953E-2</v>
      </c>
      <c r="AG180" s="77">
        <v>6.5000000000000002E-2</v>
      </c>
      <c r="AH180" s="78">
        <f t="shared" ref="AH180:AP180" si="41">AG180+($AQ$180-$AG$180)/10</f>
        <v>6.4100000000000004E-2</v>
      </c>
      <c r="AI180" s="78">
        <f t="shared" si="41"/>
        <v>6.3200000000000006E-2</v>
      </c>
      <c r="AJ180" s="78">
        <f t="shared" si="41"/>
        <v>6.2300000000000008E-2</v>
      </c>
      <c r="AK180" s="78">
        <f t="shared" si="41"/>
        <v>6.140000000000001E-2</v>
      </c>
      <c r="AL180" s="78">
        <f t="shared" si="41"/>
        <v>6.0500000000000012E-2</v>
      </c>
      <c r="AM180" s="78">
        <f t="shared" si="41"/>
        <v>5.9600000000000014E-2</v>
      </c>
      <c r="AN180" s="78">
        <f t="shared" si="41"/>
        <v>5.8700000000000016E-2</v>
      </c>
      <c r="AO180" s="78">
        <f t="shared" si="41"/>
        <v>5.7800000000000018E-2</v>
      </c>
      <c r="AP180" s="78">
        <f t="shared" si="41"/>
        <v>5.690000000000002E-2</v>
      </c>
      <c r="AQ180" s="77">
        <v>5.6000000000000001E-2</v>
      </c>
      <c r="AR180" s="78">
        <f t="shared" ref="AR180:AZ180" si="42">AQ180+($BA$180-$AQ$180)/10</f>
        <v>5.5400000000000005E-2</v>
      </c>
      <c r="AS180" s="78">
        <f t="shared" si="42"/>
        <v>5.4800000000000001E-2</v>
      </c>
      <c r="AT180" s="78">
        <f t="shared" si="42"/>
        <v>5.4199999999999998E-2</v>
      </c>
      <c r="AU180" s="78">
        <f t="shared" si="42"/>
        <v>5.3599999999999995E-2</v>
      </c>
      <c r="AV180" s="78">
        <f t="shared" si="42"/>
        <v>5.2999999999999992E-2</v>
      </c>
      <c r="AW180" s="78">
        <f t="shared" si="42"/>
        <v>5.2399999999999988E-2</v>
      </c>
      <c r="AX180" s="78">
        <f t="shared" si="42"/>
        <v>5.1799999999999985E-2</v>
      </c>
      <c r="AY180" s="78">
        <f t="shared" si="42"/>
        <v>5.1199999999999982E-2</v>
      </c>
      <c r="AZ180" s="78">
        <f t="shared" si="42"/>
        <v>5.0599999999999978E-2</v>
      </c>
      <c r="BA180" s="77">
        <v>0.05</v>
      </c>
      <c r="BB180" s="78">
        <f t="shared" ref="BB180:BJ180" si="43">BA180+($BK$180-$BA$180)/10</f>
        <v>4.9800000000000004E-2</v>
      </c>
      <c r="BC180" s="78">
        <f t="shared" si="43"/>
        <v>4.9600000000000005E-2</v>
      </c>
      <c r="BD180" s="78">
        <f t="shared" si="43"/>
        <v>4.9400000000000006E-2</v>
      </c>
      <c r="BE180" s="78">
        <f t="shared" si="43"/>
        <v>4.9200000000000008E-2</v>
      </c>
      <c r="BF180" s="78">
        <f t="shared" si="43"/>
        <v>4.9000000000000009E-2</v>
      </c>
      <c r="BG180" s="78">
        <f t="shared" si="43"/>
        <v>4.880000000000001E-2</v>
      </c>
      <c r="BH180" s="78">
        <f t="shared" si="43"/>
        <v>4.8600000000000011E-2</v>
      </c>
      <c r="BI180" s="78">
        <f t="shared" si="43"/>
        <v>4.8400000000000012E-2</v>
      </c>
      <c r="BJ180" s="78">
        <f t="shared" si="43"/>
        <v>4.8200000000000014E-2</v>
      </c>
      <c r="BK180" s="77">
        <v>4.8000000000000001E-2</v>
      </c>
      <c r="BL180" s="78">
        <f t="shared" ref="BL180:BT180" si="44">BK180+($BU$180-$BK$180)/10</f>
        <v>4.8100000000000004E-2</v>
      </c>
      <c r="BM180" s="78">
        <f t="shared" si="44"/>
        <v>4.8200000000000007E-2</v>
      </c>
      <c r="BN180" s="78">
        <f t="shared" si="44"/>
        <v>4.830000000000001E-2</v>
      </c>
      <c r="BO180" s="78">
        <f t="shared" si="44"/>
        <v>4.8400000000000012E-2</v>
      </c>
      <c r="BP180" s="78">
        <f t="shared" si="44"/>
        <v>4.8500000000000015E-2</v>
      </c>
      <c r="BQ180" s="78">
        <f t="shared" si="44"/>
        <v>4.8600000000000018E-2</v>
      </c>
      <c r="BR180" s="78">
        <f t="shared" si="44"/>
        <v>4.8700000000000021E-2</v>
      </c>
      <c r="BS180" s="78">
        <f t="shared" si="44"/>
        <v>4.8800000000000024E-2</v>
      </c>
      <c r="BT180" s="78">
        <f t="shared" si="44"/>
        <v>4.8900000000000027E-2</v>
      </c>
      <c r="BU180" s="77">
        <v>4.9000000000000002E-2</v>
      </c>
      <c r="BV180" s="78">
        <f t="shared" ref="BV180:CD180" si="45">BU180+($CE$180-$BU$180)/10</f>
        <v>4.9399999999999999E-2</v>
      </c>
      <c r="BW180" s="78">
        <f t="shared" si="45"/>
        <v>4.9799999999999997E-2</v>
      </c>
      <c r="BX180" s="78">
        <f t="shared" si="45"/>
        <v>5.0199999999999995E-2</v>
      </c>
      <c r="BY180" s="78">
        <f t="shared" si="45"/>
        <v>5.0599999999999992E-2</v>
      </c>
      <c r="BZ180" s="78">
        <f t="shared" si="45"/>
        <v>5.099999999999999E-2</v>
      </c>
      <c r="CA180" s="78">
        <f t="shared" si="45"/>
        <v>5.1399999999999987E-2</v>
      </c>
      <c r="CB180" s="78">
        <f t="shared" si="45"/>
        <v>5.1799999999999985E-2</v>
      </c>
      <c r="CC180" s="78">
        <f t="shared" si="45"/>
        <v>5.2199999999999983E-2</v>
      </c>
      <c r="CD180" s="78">
        <f t="shared" si="45"/>
        <v>5.259999999999998E-2</v>
      </c>
      <c r="CE180" s="77">
        <v>5.2999999999999999E-2</v>
      </c>
      <c r="CF180" s="78">
        <f t="shared" ref="CF180:CN180" si="46">CE180+($CO$180-$CE$180)/10</f>
        <v>5.3699999999999998E-2</v>
      </c>
      <c r="CG180" s="78">
        <f t="shared" si="46"/>
        <v>5.4399999999999997E-2</v>
      </c>
      <c r="CH180" s="78">
        <f t="shared" si="46"/>
        <v>5.5099999999999996E-2</v>
      </c>
      <c r="CI180" s="78">
        <f t="shared" si="46"/>
        <v>5.5799999999999995E-2</v>
      </c>
      <c r="CJ180" s="78">
        <f t="shared" si="46"/>
        <v>5.6499999999999995E-2</v>
      </c>
      <c r="CK180" s="78">
        <f t="shared" si="46"/>
        <v>5.7199999999999994E-2</v>
      </c>
      <c r="CL180" s="78">
        <f t="shared" si="46"/>
        <v>5.7899999999999993E-2</v>
      </c>
      <c r="CM180" s="78">
        <f t="shared" si="46"/>
        <v>5.8599999999999992E-2</v>
      </c>
      <c r="CN180" s="78">
        <f t="shared" si="46"/>
        <v>5.9299999999999992E-2</v>
      </c>
      <c r="CO180" s="77">
        <v>0.06</v>
      </c>
      <c r="CP180" s="78">
        <f t="shared" ref="CP180:CX180" si="47">CO180+($CY$180-$CO$180)/10</f>
        <v>6.1099999999999995E-2</v>
      </c>
      <c r="CQ180" s="78">
        <f t="shared" si="47"/>
        <v>6.2199999999999991E-2</v>
      </c>
      <c r="CR180" s="78">
        <f t="shared" si="47"/>
        <v>6.3299999999999995E-2</v>
      </c>
      <c r="CS180" s="78">
        <f t="shared" si="47"/>
        <v>6.4399999999999999E-2</v>
      </c>
      <c r="CT180" s="78">
        <f t="shared" si="47"/>
        <v>6.5500000000000003E-2</v>
      </c>
      <c r="CU180" s="78">
        <f t="shared" si="47"/>
        <v>6.6600000000000006E-2</v>
      </c>
      <c r="CV180" s="78">
        <f t="shared" si="47"/>
        <v>6.770000000000001E-2</v>
      </c>
      <c r="CW180" s="78">
        <f t="shared" si="47"/>
        <v>6.8800000000000014E-2</v>
      </c>
      <c r="CX180" s="78">
        <f t="shared" si="47"/>
        <v>6.9900000000000018E-2</v>
      </c>
      <c r="CY180" s="77">
        <v>7.0999999999999994E-2</v>
      </c>
      <c r="CZ180" s="78">
        <f t="shared" ref="CZ180:DH180" si="48">CY180+($DI$180-$CY$180)/10</f>
        <v>7.2399999999999992E-2</v>
      </c>
      <c r="DA180" s="78">
        <f t="shared" si="48"/>
        <v>7.3799999999999991E-2</v>
      </c>
      <c r="DB180" s="78">
        <f t="shared" si="48"/>
        <v>7.5199999999999989E-2</v>
      </c>
      <c r="DC180" s="78">
        <f t="shared" si="48"/>
        <v>7.6599999999999988E-2</v>
      </c>
      <c r="DD180" s="78">
        <f t="shared" si="48"/>
        <v>7.7999999999999986E-2</v>
      </c>
      <c r="DE180" s="78">
        <f t="shared" si="48"/>
        <v>7.9399999999999984E-2</v>
      </c>
      <c r="DF180" s="78">
        <f t="shared" si="48"/>
        <v>8.0799999999999983E-2</v>
      </c>
      <c r="DG180" s="78">
        <f t="shared" si="48"/>
        <v>8.2199999999999981E-2</v>
      </c>
      <c r="DH180" s="78">
        <f t="shared" si="48"/>
        <v>8.359999999999998E-2</v>
      </c>
      <c r="DI180" s="77">
        <v>8.5000000000000006E-2</v>
      </c>
      <c r="DJ180" s="78">
        <f t="shared" ref="DJ180:DR180" si="49">DI180+($DS$180-$DI$180)/10</f>
        <v>8.6699999999999999E-2</v>
      </c>
      <c r="DK180" s="78">
        <f t="shared" si="49"/>
        <v>8.8399999999999992E-2</v>
      </c>
      <c r="DL180" s="78">
        <f t="shared" si="49"/>
        <v>9.0099999999999986E-2</v>
      </c>
      <c r="DM180" s="78">
        <f t="shared" si="49"/>
        <v>9.1799999999999979E-2</v>
      </c>
      <c r="DN180" s="78">
        <f t="shared" si="49"/>
        <v>9.3499999999999972E-2</v>
      </c>
      <c r="DO180" s="78">
        <f t="shared" si="49"/>
        <v>9.5199999999999965E-2</v>
      </c>
      <c r="DP180" s="78">
        <f t="shared" si="49"/>
        <v>9.6899999999999958E-2</v>
      </c>
      <c r="DQ180" s="78">
        <f t="shared" si="49"/>
        <v>9.8599999999999952E-2</v>
      </c>
      <c r="DR180" s="78">
        <f t="shared" si="49"/>
        <v>0.10029999999999994</v>
      </c>
      <c r="DS180" s="77">
        <v>0.10199999999999999</v>
      </c>
    </row>
    <row r="181" spans="2:123" x14ac:dyDescent="0.2">
      <c r="B181" s="3" t="s">
        <v>126</v>
      </c>
      <c r="C181" s="77">
        <v>0.14899999999999999</v>
      </c>
      <c r="D181" s="78">
        <f t="shared" ref="D181:L181" si="50">C181+($M$181-$C$181)/10</f>
        <v>0.14710000000000001</v>
      </c>
      <c r="E181" s="78">
        <f t="shared" si="50"/>
        <v>0.1452</v>
      </c>
      <c r="F181" s="78">
        <f t="shared" si="50"/>
        <v>0.14329999999999998</v>
      </c>
      <c r="G181" s="78">
        <f t="shared" si="50"/>
        <v>0.14139999999999997</v>
      </c>
      <c r="H181" s="78">
        <f t="shared" si="50"/>
        <v>0.13949999999999996</v>
      </c>
      <c r="I181" s="78">
        <f t="shared" si="50"/>
        <v>0.13759999999999994</v>
      </c>
      <c r="J181" s="78">
        <f t="shared" si="50"/>
        <v>0.13569999999999993</v>
      </c>
      <c r="K181" s="78">
        <f t="shared" si="50"/>
        <v>0.13379999999999992</v>
      </c>
      <c r="L181" s="78">
        <f t="shared" si="50"/>
        <v>0.13189999999999991</v>
      </c>
      <c r="M181" s="77">
        <v>0.13</v>
      </c>
      <c r="N181" s="78">
        <f t="shared" ref="N181:V181" si="51">M181+($W$181-$M$181)/10</f>
        <v>0.1285</v>
      </c>
      <c r="O181" s="78">
        <f t="shared" si="51"/>
        <v>0.127</v>
      </c>
      <c r="P181" s="78">
        <f t="shared" si="51"/>
        <v>0.1255</v>
      </c>
      <c r="Q181" s="78">
        <f t="shared" si="51"/>
        <v>0.124</v>
      </c>
      <c r="R181" s="78">
        <f t="shared" si="51"/>
        <v>0.1225</v>
      </c>
      <c r="S181" s="78">
        <f t="shared" si="51"/>
        <v>0.121</v>
      </c>
      <c r="T181" s="78">
        <f t="shared" si="51"/>
        <v>0.1195</v>
      </c>
      <c r="U181" s="78">
        <f t="shared" si="51"/>
        <v>0.11799999999999999</v>
      </c>
      <c r="V181" s="78">
        <f t="shared" si="51"/>
        <v>0.11649999999999999</v>
      </c>
      <c r="W181" s="77">
        <v>0.115</v>
      </c>
      <c r="X181" s="78">
        <f t="shared" ref="X181:AF181" si="52">W181+($AG$181-$W$181)/10</f>
        <v>0.1138</v>
      </c>
      <c r="Y181" s="78">
        <f t="shared" si="52"/>
        <v>0.11259999999999999</v>
      </c>
      <c r="Z181" s="78">
        <f t="shared" si="52"/>
        <v>0.11139999999999999</v>
      </c>
      <c r="AA181" s="78">
        <f t="shared" si="52"/>
        <v>0.11019999999999998</v>
      </c>
      <c r="AB181" s="78">
        <f t="shared" si="52"/>
        <v>0.10899999999999997</v>
      </c>
      <c r="AC181" s="78">
        <f t="shared" si="52"/>
        <v>0.10779999999999997</v>
      </c>
      <c r="AD181" s="78">
        <f t="shared" si="52"/>
        <v>0.10659999999999996</v>
      </c>
      <c r="AE181" s="78">
        <f t="shared" si="52"/>
        <v>0.10539999999999995</v>
      </c>
      <c r="AF181" s="78">
        <f t="shared" si="52"/>
        <v>0.10419999999999995</v>
      </c>
      <c r="AG181" s="77">
        <v>0.10299999999999999</v>
      </c>
      <c r="AH181" s="78">
        <f t="shared" ref="AH181:AP181" si="53">AG181+($AQ$181-$AG$181)/10</f>
        <v>0.1021</v>
      </c>
      <c r="AI181" s="78">
        <f t="shared" si="53"/>
        <v>0.1012</v>
      </c>
      <c r="AJ181" s="78">
        <f t="shared" si="53"/>
        <v>0.1003</v>
      </c>
      <c r="AK181" s="78">
        <f t="shared" si="53"/>
        <v>9.9400000000000002E-2</v>
      </c>
      <c r="AL181" s="78">
        <f t="shared" si="53"/>
        <v>9.8500000000000004E-2</v>
      </c>
      <c r="AM181" s="78">
        <f t="shared" si="53"/>
        <v>9.7600000000000006E-2</v>
      </c>
      <c r="AN181" s="78">
        <f t="shared" si="53"/>
        <v>9.6700000000000008E-2</v>
      </c>
      <c r="AO181" s="78">
        <f t="shared" si="53"/>
        <v>9.580000000000001E-2</v>
      </c>
      <c r="AP181" s="78">
        <f t="shared" si="53"/>
        <v>9.4900000000000012E-2</v>
      </c>
      <c r="AQ181" s="77">
        <v>9.4E-2</v>
      </c>
      <c r="AR181" s="78">
        <f t="shared" ref="AR181:AZ181" si="54">AQ181+($BA$181-$AQ$181)/10</f>
        <v>9.3399999999999997E-2</v>
      </c>
      <c r="AS181" s="78">
        <f t="shared" si="54"/>
        <v>9.2799999999999994E-2</v>
      </c>
      <c r="AT181" s="78">
        <f t="shared" si="54"/>
        <v>9.219999999999999E-2</v>
      </c>
      <c r="AU181" s="78">
        <f t="shared" si="54"/>
        <v>9.1599999999999987E-2</v>
      </c>
      <c r="AV181" s="78">
        <f t="shared" si="54"/>
        <v>9.0999999999999984E-2</v>
      </c>
      <c r="AW181" s="78">
        <f t="shared" si="54"/>
        <v>9.039999999999998E-2</v>
      </c>
      <c r="AX181" s="78">
        <f t="shared" si="54"/>
        <v>8.9799999999999977E-2</v>
      </c>
      <c r="AY181" s="78">
        <f t="shared" si="54"/>
        <v>8.9199999999999974E-2</v>
      </c>
      <c r="AZ181" s="78">
        <f t="shared" si="54"/>
        <v>8.859999999999997E-2</v>
      </c>
      <c r="BA181" s="77">
        <v>8.7999999999999995E-2</v>
      </c>
      <c r="BB181" s="78">
        <f t="shared" ref="BB181:BJ181" si="55">BA181+($BK$181-$BA$181)/10</f>
        <v>8.7799999999999989E-2</v>
      </c>
      <c r="BC181" s="78">
        <f t="shared" si="55"/>
        <v>8.7599999999999983E-2</v>
      </c>
      <c r="BD181" s="78">
        <f t="shared" si="55"/>
        <v>8.7399999999999978E-2</v>
      </c>
      <c r="BE181" s="78">
        <f t="shared" si="55"/>
        <v>8.7199999999999972E-2</v>
      </c>
      <c r="BF181" s="78">
        <f t="shared" si="55"/>
        <v>8.6999999999999966E-2</v>
      </c>
      <c r="BG181" s="78">
        <f t="shared" si="55"/>
        <v>8.6799999999999961E-2</v>
      </c>
      <c r="BH181" s="78">
        <f t="shared" si="55"/>
        <v>8.6599999999999955E-2</v>
      </c>
      <c r="BI181" s="78">
        <f t="shared" si="55"/>
        <v>8.6399999999999949E-2</v>
      </c>
      <c r="BJ181" s="78">
        <f t="shared" si="55"/>
        <v>8.6199999999999943E-2</v>
      </c>
      <c r="BK181" s="77">
        <v>8.5999999999999993E-2</v>
      </c>
      <c r="BL181" s="78">
        <f t="shared" ref="BL181:BT181" si="56">BK181+($BU$181-$BK$181)/10</f>
        <v>8.6099999999999996E-2</v>
      </c>
      <c r="BM181" s="78">
        <f t="shared" si="56"/>
        <v>8.6199999999999999E-2</v>
      </c>
      <c r="BN181" s="78">
        <f t="shared" si="56"/>
        <v>8.6300000000000002E-2</v>
      </c>
      <c r="BO181" s="78">
        <f t="shared" si="56"/>
        <v>8.6400000000000005E-2</v>
      </c>
      <c r="BP181" s="78">
        <f t="shared" si="56"/>
        <v>8.6500000000000007E-2</v>
      </c>
      <c r="BQ181" s="78">
        <f t="shared" si="56"/>
        <v>8.660000000000001E-2</v>
      </c>
      <c r="BR181" s="78">
        <f t="shared" si="56"/>
        <v>8.6700000000000013E-2</v>
      </c>
      <c r="BS181" s="78">
        <f t="shared" si="56"/>
        <v>8.6800000000000016E-2</v>
      </c>
      <c r="BT181" s="78">
        <f t="shared" si="56"/>
        <v>8.6900000000000019E-2</v>
      </c>
      <c r="BU181" s="77">
        <v>8.6999999999999994E-2</v>
      </c>
      <c r="BV181" s="78">
        <f t="shared" ref="BV181:CD181" si="57">BU181+($CE$181-$BU$181)/10</f>
        <v>8.7399999999999992E-2</v>
      </c>
      <c r="BW181" s="78">
        <f t="shared" si="57"/>
        <v>8.7799999999999989E-2</v>
      </c>
      <c r="BX181" s="78">
        <f t="shared" si="57"/>
        <v>8.8199999999999987E-2</v>
      </c>
      <c r="BY181" s="78">
        <f t="shared" si="57"/>
        <v>8.8599999999999984E-2</v>
      </c>
      <c r="BZ181" s="78">
        <f t="shared" si="57"/>
        <v>8.8999999999999982E-2</v>
      </c>
      <c r="CA181" s="78">
        <f t="shared" si="57"/>
        <v>8.9399999999999979E-2</v>
      </c>
      <c r="CB181" s="78">
        <f t="shared" si="57"/>
        <v>8.9799999999999977E-2</v>
      </c>
      <c r="CC181" s="78">
        <f t="shared" si="57"/>
        <v>9.0199999999999975E-2</v>
      </c>
      <c r="CD181" s="78">
        <f t="shared" si="57"/>
        <v>9.0599999999999972E-2</v>
      </c>
      <c r="CE181" s="77">
        <v>9.0999999999999998E-2</v>
      </c>
      <c r="CF181" s="78">
        <f t="shared" ref="CF181:CN181" si="58">CE181+($CO$181-$CE$181)/10</f>
        <v>9.1700000000000004E-2</v>
      </c>
      <c r="CG181" s="78">
        <f t="shared" si="58"/>
        <v>9.240000000000001E-2</v>
      </c>
      <c r="CH181" s="78">
        <f t="shared" si="58"/>
        <v>9.3100000000000016E-2</v>
      </c>
      <c r="CI181" s="78">
        <f t="shared" si="58"/>
        <v>9.3800000000000022E-2</v>
      </c>
      <c r="CJ181" s="78">
        <f t="shared" si="58"/>
        <v>9.4500000000000028E-2</v>
      </c>
      <c r="CK181" s="78">
        <f t="shared" si="58"/>
        <v>9.5200000000000035E-2</v>
      </c>
      <c r="CL181" s="78">
        <f t="shared" si="58"/>
        <v>9.5900000000000041E-2</v>
      </c>
      <c r="CM181" s="78">
        <f t="shared" si="58"/>
        <v>9.6600000000000047E-2</v>
      </c>
      <c r="CN181" s="78">
        <f t="shared" si="58"/>
        <v>9.7300000000000053E-2</v>
      </c>
      <c r="CO181" s="77">
        <v>9.8000000000000004E-2</v>
      </c>
      <c r="CP181" s="78">
        <f t="shared" ref="CP181:CX181" si="59">CO181+($CY$181-$CO$181)/10</f>
        <v>9.9100000000000008E-2</v>
      </c>
      <c r="CQ181" s="78">
        <f t="shared" si="59"/>
        <v>0.10020000000000001</v>
      </c>
      <c r="CR181" s="78">
        <f t="shared" si="59"/>
        <v>0.10130000000000002</v>
      </c>
      <c r="CS181" s="78">
        <f t="shared" si="59"/>
        <v>0.10240000000000002</v>
      </c>
      <c r="CT181" s="78">
        <f t="shared" si="59"/>
        <v>0.10350000000000002</v>
      </c>
      <c r="CU181" s="78">
        <f t="shared" si="59"/>
        <v>0.10460000000000003</v>
      </c>
      <c r="CV181" s="78">
        <f t="shared" si="59"/>
        <v>0.10570000000000003</v>
      </c>
      <c r="CW181" s="78">
        <f t="shared" si="59"/>
        <v>0.10680000000000003</v>
      </c>
      <c r="CX181" s="78">
        <f t="shared" si="59"/>
        <v>0.10790000000000004</v>
      </c>
      <c r="CY181" s="77">
        <v>0.109</v>
      </c>
      <c r="CZ181" s="78"/>
      <c r="DA181" s="78"/>
      <c r="DB181" s="78"/>
      <c r="DC181" s="78"/>
      <c r="DD181" s="78"/>
      <c r="DE181" s="78"/>
      <c r="DF181" s="78"/>
      <c r="DG181" s="78"/>
      <c r="DH181" s="78"/>
      <c r="DI181" s="77"/>
      <c r="DJ181" s="78"/>
      <c r="DK181" s="78"/>
      <c r="DL181" s="78"/>
      <c r="DM181" s="78"/>
      <c r="DN181" s="78"/>
      <c r="DO181" s="78"/>
      <c r="DP181" s="78"/>
      <c r="DQ181" s="78"/>
      <c r="DR181" s="78"/>
      <c r="DS181" s="77"/>
    </row>
    <row r="182" spans="2:123" x14ac:dyDescent="0.2">
      <c r="B182" s="3" t="s">
        <v>127</v>
      </c>
      <c r="C182" s="77">
        <v>0.69099999999999995</v>
      </c>
      <c r="D182" s="78">
        <f t="shared" ref="D182:L182" si="60">C182+($M$182-$C$182)/10</f>
        <v>0.67649999999999999</v>
      </c>
      <c r="E182" s="78">
        <f t="shared" si="60"/>
        <v>0.66200000000000003</v>
      </c>
      <c r="F182" s="78">
        <f t="shared" si="60"/>
        <v>0.64750000000000008</v>
      </c>
      <c r="G182" s="78">
        <f t="shared" si="60"/>
        <v>0.63300000000000012</v>
      </c>
      <c r="H182" s="78">
        <f t="shared" si="60"/>
        <v>0.61850000000000016</v>
      </c>
      <c r="I182" s="78">
        <f t="shared" si="60"/>
        <v>0.6040000000000002</v>
      </c>
      <c r="J182" s="78">
        <f t="shared" si="60"/>
        <v>0.58950000000000025</v>
      </c>
      <c r="K182" s="78">
        <f t="shared" si="60"/>
        <v>0.57500000000000029</v>
      </c>
      <c r="L182" s="78">
        <f t="shared" si="60"/>
        <v>0.56050000000000033</v>
      </c>
      <c r="M182" s="77">
        <v>0.54600000000000004</v>
      </c>
      <c r="N182" s="78">
        <f t="shared" ref="N182:V182" si="61">M182+($W$182-$M$182)/10</f>
        <v>0.53550000000000009</v>
      </c>
      <c r="O182" s="78">
        <f t="shared" si="61"/>
        <v>0.52500000000000013</v>
      </c>
      <c r="P182" s="78">
        <f t="shared" si="61"/>
        <v>0.51450000000000018</v>
      </c>
      <c r="Q182" s="78">
        <f t="shared" si="61"/>
        <v>0.50400000000000023</v>
      </c>
      <c r="R182" s="78">
        <f t="shared" si="61"/>
        <v>0.49350000000000022</v>
      </c>
      <c r="S182" s="78">
        <f t="shared" si="61"/>
        <v>0.48300000000000021</v>
      </c>
      <c r="T182" s="78">
        <f t="shared" si="61"/>
        <v>0.4725000000000002</v>
      </c>
      <c r="U182" s="78">
        <f t="shared" si="61"/>
        <v>0.46200000000000019</v>
      </c>
      <c r="V182" s="78">
        <f t="shared" si="61"/>
        <v>0.45150000000000018</v>
      </c>
      <c r="W182" s="77">
        <v>0.441</v>
      </c>
      <c r="X182" s="78">
        <f t="shared" ref="X182:AF182" si="62">W182+($AG$182-$W$182)/10</f>
        <v>0.434</v>
      </c>
      <c r="Y182" s="78">
        <f t="shared" si="62"/>
        <v>0.42699999999999999</v>
      </c>
      <c r="Z182" s="78">
        <f t="shared" si="62"/>
        <v>0.42</v>
      </c>
      <c r="AA182" s="78">
        <f t="shared" si="62"/>
        <v>0.41299999999999998</v>
      </c>
      <c r="AB182" s="78">
        <f t="shared" si="62"/>
        <v>0.40599999999999997</v>
      </c>
      <c r="AC182" s="78">
        <f t="shared" si="62"/>
        <v>0.39899999999999997</v>
      </c>
      <c r="AD182" s="78">
        <f t="shared" si="62"/>
        <v>0.39199999999999996</v>
      </c>
      <c r="AE182" s="78">
        <f t="shared" si="62"/>
        <v>0.38499999999999995</v>
      </c>
      <c r="AF182" s="78">
        <f t="shared" si="62"/>
        <v>0.37799999999999995</v>
      </c>
      <c r="AG182" s="77">
        <v>0.371</v>
      </c>
      <c r="AH182" s="78">
        <f t="shared" ref="AH182:AP182" si="63">AG182+($AQ$182-$AG$182)/10</f>
        <v>0.3669</v>
      </c>
      <c r="AI182" s="78">
        <f t="shared" si="63"/>
        <v>0.36280000000000001</v>
      </c>
      <c r="AJ182" s="78">
        <f t="shared" si="63"/>
        <v>0.35870000000000002</v>
      </c>
      <c r="AK182" s="78">
        <f t="shared" si="63"/>
        <v>0.35460000000000003</v>
      </c>
      <c r="AL182" s="78">
        <f t="shared" si="63"/>
        <v>0.35050000000000003</v>
      </c>
      <c r="AM182" s="78">
        <f t="shared" si="63"/>
        <v>0.34640000000000004</v>
      </c>
      <c r="AN182" s="78">
        <f t="shared" si="63"/>
        <v>0.34230000000000005</v>
      </c>
      <c r="AO182" s="78">
        <f t="shared" si="63"/>
        <v>0.33820000000000006</v>
      </c>
      <c r="AP182" s="78">
        <f t="shared" si="63"/>
        <v>0.33410000000000006</v>
      </c>
      <c r="AQ182" s="77">
        <v>0.33</v>
      </c>
      <c r="AR182" s="78">
        <f t="shared" ref="AR182:AZ182" si="64">AQ182+($BA$182-$AQ$182)/10</f>
        <v>0.3281</v>
      </c>
      <c r="AS182" s="78">
        <f t="shared" si="64"/>
        <v>0.32619999999999999</v>
      </c>
      <c r="AT182" s="78">
        <f t="shared" si="64"/>
        <v>0.32429999999999998</v>
      </c>
      <c r="AU182" s="78">
        <f t="shared" si="64"/>
        <v>0.32239999999999996</v>
      </c>
      <c r="AV182" s="78">
        <f t="shared" si="64"/>
        <v>0.32049999999999995</v>
      </c>
      <c r="AW182" s="78">
        <f t="shared" si="64"/>
        <v>0.31859999999999994</v>
      </c>
      <c r="AX182" s="78">
        <f t="shared" si="64"/>
        <v>0.31669999999999993</v>
      </c>
      <c r="AY182" s="78">
        <f t="shared" si="64"/>
        <v>0.31479999999999991</v>
      </c>
      <c r="AZ182" s="78">
        <f t="shared" si="64"/>
        <v>0.3128999999999999</v>
      </c>
      <c r="BA182" s="77">
        <v>0.311</v>
      </c>
      <c r="BB182" s="78">
        <f t="shared" ref="BB182:BJ182" si="65">BA182+($BK$182-$BA$182)/10</f>
        <v>0.31080000000000002</v>
      </c>
      <c r="BC182" s="78">
        <f t="shared" si="65"/>
        <v>0.31060000000000004</v>
      </c>
      <c r="BD182" s="78">
        <f t="shared" si="65"/>
        <v>0.31040000000000006</v>
      </c>
      <c r="BE182" s="78">
        <f t="shared" si="65"/>
        <v>0.31020000000000009</v>
      </c>
      <c r="BF182" s="78">
        <f t="shared" si="65"/>
        <v>0.31000000000000011</v>
      </c>
      <c r="BG182" s="78">
        <f t="shared" si="65"/>
        <v>0.30980000000000013</v>
      </c>
      <c r="BH182" s="78">
        <f t="shared" si="65"/>
        <v>0.30960000000000015</v>
      </c>
      <c r="BI182" s="78">
        <f t="shared" si="65"/>
        <v>0.30940000000000017</v>
      </c>
      <c r="BJ182" s="78">
        <f t="shared" si="65"/>
        <v>0.3092000000000002</v>
      </c>
      <c r="BK182" s="77">
        <v>0.309</v>
      </c>
      <c r="BL182" s="78">
        <f t="shared" ref="BL182:BT182" si="66">BK182+($BU$182-$BK$182)/10</f>
        <v>0.30990000000000001</v>
      </c>
      <c r="BM182" s="78">
        <f t="shared" si="66"/>
        <v>0.31080000000000002</v>
      </c>
      <c r="BN182" s="78">
        <f t="shared" si="66"/>
        <v>0.31170000000000003</v>
      </c>
      <c r="BO182" s="78">
        <f t="shared" si="66"/>
        <v>0.31260000000000004</v>
      </c>
      <c r="BP182" s="78">
        <f t="shared" si="66"/>
        <v>0.31350000000000006</v>
      </c>
      <c r="BQ182" s="78">
        <f t="shared" si="66"/>
        <v>0.31440000000000007</v>
      </c>
      <c r="BR182" s="78">
        <f t="shared" si="66"/>
        <v>0.31530000000000008</v>
      </c>
      <c r="BS182" s="78">
        <f t="shared" si="66"/>
        <v>0.31620000000000009</v>
      </c>
      <c r="BT182" s="78">
        <f t="shared" si="66"/>
        <v>0.3171000000000001</v>
      </c>
      <c r="BU182" s="77">
        <v>0.318</v>
      </c>
      <c r="BV182" s="78">
        <f t="shared" ref="BV182:CD182" si="67">BU182+($CE$182-$BU$182)/10</f>
        <v>0.31940000000000002</v>
      </c>
      <c r="BW182" s="78">
        <f t="shared" si="67"/>
        <v>0.32080000000000003</v>
      </c>
      <c r="BX182" s="78">
        <f t="shared" si="67"/>
        <v>0.32220000000000004</v>
      </c>
      <c r="BY182" s="78">
        <f t="shared" si="67"/>
        <v>0.32360000000000005</v>
      </c>
      <c r="BZ182" s="78">
        <f t="shared" si="67"/>
        <v>0.32500000000000007</v>
      </c>
      <c r="CA182" s="78">
        <f t="shared" si="67"/>
        <v>0.32640000000000008</v>
      </c>
      <c r="CB182" s="78">
        <f t="shared" si="67"/>
        <v>0.32780000000000009</v>
      </c>
      <c r="CC182" s="78">
        <f t="shared" si="67"/>
        <v>0.3292000000000001</v>
      </c>
      <c r="CD182" s="78">
        <f t="shared" si="67"/>
        <v>0.33060000000000012</v>
      </c>
      <c r="CE182" s="77">
        <v>0.33200000000000002</v>
      </c>
      <c r="CF182" s="78"/>
      <c r="CG182" s="78"/>
      <c r="CH182" s="78"/>
      <c r="CI182" s="78"/>
      <c r="CJ182" s="78"/>
      <c r="CK182" s="78"/>
      <c r="CL182" s="78"/>
      <c r="CM182" s="78"/>
      <c r="CN182" s="78"/>
      <c r="CO182" s="77"/>
      <c r="CP182" s="78"/>
      <c r="CQ182" s="78"/>
      <c r="CR182" s="78"/>
      <c r="CS182" s="78"/>
      <c r="CT182" s="78"/>
      <c r="CU182" s="78"/>
      <c r="CV182" s="78"/>
      <c r="CW182" s="78"/>
      <c r="CX182" s="78"/>
      <c r="CY182" s="77"/>
      <c r="CZ182" s="78"/>
      <c r="DA182" s="78"/>
      <c r="DB182" s="78"/>
      <c r="DC182" s="78"/>
      <c r="DD182" s="78"/>
      <c r="DE182" s="78"/>
      <c r="DF182" s="78"/>
      <c r="DG182" s="78"/>
      <c r="DH182" s="78"/>
      <c r="DI182" s="77"/>
      <c r="DJ182" s="78"/>
      <c r="DK182" s="78"/>
      <c r="DL182" s="78"/>
      <c r="DM182" s="78"/>
      <c r="DN182" s="78"/>
      <c r="DO182" s="78"/>
      <c r="DP182" s="78"/>
      <c r="DQ182" s="78"/>
      <c r="DR182" s="78"/>
      <c r="DS182" s="77"/>
    </row>
    <row r="183" spans="2:123" x14ac:dyDescent="0.2">
      <c r="B183" s="3" t="s">
        <v>128</v>
      </c>
      <c r="C183" s="77">
        <v>0.83199999999999996</v>
      </c>
      <c r="D183" s="78">
        <f t="shared" ref="D183:L183" si="68">C183+($M$183-$C$183)/10</f>
        <v>0.8175</v>
      </c>
      <c r="E183" s="78">
        <f t="shared" si="68"/>
        <v>0.80300000000000005</v>
      </c>
      <c r="F183" s="78">
        <f t="shared" si="68"/>
        <v>0.78850000000000009</v>
      </c>
      <c r="G183" s="78">
        <f t="shared" si="68"/>
        <v>0.77400000000000013</v>
      </c>
      <c r="H183" s="78">
        <f t="shared" si="68"/>
        <v>0.75950000000000017</v>
      </c>
      <c r="I183" s="78">
        <f t="shared" si="68"/>
        <v>0.74500000000000022</v>
      </c>
      <c r="J183" s="78">
        <f t="shared" si="68"/>
        <v>0.73050000000000026</v>
      </c>
      <c r="K183" s="78">
        <f t="shared" si="68"/>
        <v>0.7160000000000003</v>
      </c>
      <c r="L183" s="78">
        <f t="shared" si="68"/>
        <v>0.70150000000000035</v>
      </c>
      <c r="M183" s="77">
        <v>0.68700000000000006</v>
      </c>
      <c r="N183" s="78">
        <f t="shared" ref="N183:V183" si="69">M183+($W$183-$M$183)/10</f>
        <v>0.6765000000000001</v>
      </c>
      <c r="O183" s="78">
        <f t="shared" si="69"/>
        <v>0.66600000000000015</v>
      </c>
      <c r="P183" s="78">
        <f t="shared" si="69"/>
        <v>0.65550000000000019</v>
      </c>
      <c r="Q183" s="78">
        <f t="shared" si="69"/>
        <v>0.64500000000000024</v>
      </c>
      <c r="R183" s="78">
        <f t="shared" si="69"/>
        <v>0.63450000000000029</v>
      </c>
      <c r="S183" s="78">
        <f t="shared" si="69"/>
        <v>0.62400000000000033</v>
      </c>
      <c r="T183" s="78">
        <f t="shared" si="69"/>
        <v>0.61350000000000038</v>
      </c>
      <c r="U183" s="78">
        <f t="shared" si="69"/>
        <v>0.60300000000000042</v>
      </c>
      <c r="V183" s="78">
        <f t="shared" si="69"/>
        <v>0.59250000000000047</v>
      </c>
      <c r="W183" s="77">
        <v>0.58199999999999996</v>
      </c>
      <c r="X183" s="78">
        <f t="shared" ref="X183:AF183" si="70">W183+($AG$183-$W$183)/10</f>
        <v>0.57499999999999996</v>
      </c>
      <c r="Y183" s="78">
        <f t="shared" si="70"/>
        <v>0.56799999999999995</v>
      </c>
      <c r="Z183" s="78">
        <f t="shared" si="70"/>
        <v>0.56099999999999994</v>
      </c>
      <c r="AA183" s="78">
        <f t="shared" si="70"/>
        <v>0.55399999999999994</v>
      </c>
      <c r="AB183" s="78">
        <f t="shared" si="70"/>
        <v>0.54699999999999993</v>
      </c>
      <c r="AC183" s="78">
        <f t="shared" si="70"/>
        <v>0.53999999999999992</v>
      </c>
      <c r="AD183" s="78">
        <f t="shared" si="70"/>
        <v>0.53299999999999992</v>
      </c>
      <c r="AE183" s="78">
        <f t="shared" si="70"/>
        <v>0.52599999999999991</v>
      </c>
      <c r="AF183" s="78">
        <f t="shared" si="70"/>
        <v>0.51899999999999991</v>
      </c>
      <c r="AG183" s="77">
        <v>0.51200000000000001</v>
      </c>
      <c r="AH183" s="78">
        <f t="shared" ref="AH183:AP183" si="71">AG183+($AQ$183-$AG$183)/10</f>
        <v>0.50790000000000002</v>
      </c>
      <c r="AI183" s="78">
        <f t="shared" si="71"/>
        <v>0.50380000000000003</v>
      </c>
      <c r="AJ183" s="78">
        <f t="shared" si="71"/>
        <v>0.49970000000000003</v>
      </c>
      <c r="AK183" s="78">
        <f t="shared" si="71"/>
        <v>0.49560000000000004</v>
      </c>
      <c r="AL183" s="78">
        <f t="shared" si="71"/>
        <v>0.49150000000000005</v>
      </c>
      <c r="AM183" s="78">
        <f t="shared" si="71"/>
        <v>0.48740000000000006</v>
      </c>
      <c r="AN183" s="78">
        <f t="shared" si="71"/>
        <v>0.48330000000000006</v>
      </c>
      <c r="AO183" s="78">
        <f t="shared" si="71"/>
        <v>0.47920000000000007</v>
      </c>
      <c r="AP183" s="78">
        <f t="shared" si="71"/>
        <v>0.47510000000000008</v>
      </c>
      <c r="AQ183" s="77">
        <v>0.47099999999999997</v>
      </c>
      <c r="AR183" s="78">
        <f t="shared" ref="AR183:AZ183" si="72">AQ183+($BA$183-$AQ$183)/10</f>
        <v>0.46909999999999996</v>
      </c>
      <c r="AS183" s="78">
        <f t="shared" si="72"/>
        <v>0.46719999999999995</v>
      </c>
      <c r="AT183" s="78">
        <f t="shared" si="72"/>
        <v>0.46529999999999994</v>
      </c>
      <c r="AU183" s="78">
        <f t="shared" si="72"/>
        <v>0.46339999999999992</v>
      </c>
      <c r="AV183" s="78">
        <f t="shared" si="72"/>
        <v>0.46149999999999991</v>
      </c>
      <c r="AW183" s="78">
        <f t="shared" si="72"/>
        <v>0.4595999999999999</v>
      </c>
      <c r="AX183" s="78">
        <f t="shared" si="72"/>
        <v>0.45769999999999988</v>
      </c>
      <c r="AY183" s="78">
        <f t="shared" si="72"/>
        <v>0.45579999999999987</v>
      </c>
      <c r="AZ183" s="78">
        <f t="shared" si="72"/>
        <v>0.45389999999999986</v>
      </c>
      <c r="BA183" s="77">
        <v>0.45200000000000001</v>
      </c>
      <c r="BB183" s="78">
        <f t="shared" ref="BB183:BJ183" si="73">BA183+($BK$183-$BA$183)/10</f>
        <v>0.45180000000000003</v>
      </c>
      <c r="BC183" s="78">
        <f t="shared" si="73"/>
        <v>0.45160000000000006</v>
      </c>
      <c r="BD183" s="78">
        <f t="shared" si="73"/>
        <v>0.45140000000000008</v>
      </c>
      <c r="BE183" s="78">
        <f t="shared" si="73"/>
        <v>0.4512000000000001</v>
      </c>
      <c r="BF183" s="78">
        <f t="shared" si="73"/>
        <v>0.45100000000000012</v>
      </c>
      <c r="BG183" s="78">
        <f t="shared" si="73"/>
        <v>0.45080000000000015</v>
      </c>
      <c r="BH183" s="78">
        <f t="shared" si="73"/>
        <v>0.45060000000000017</v>
      </c>
      <c r="BI183" s="78">
        <f t="shared" si="73"/>
        <v>0.45040000000000019</v>
      </c>
      <c r="BJ183" s="78">
        <f t="shared" si="73"/>
        <v>0.45020000000000021</v>
      </c>
      <c r="BK183" s="77">
        <v>0.45</v>
      </c>
      <c r="BL183" s="78">
        <f t="shared" ref="BL183:BT183" si="74">BK183+($BU$183-$BK$183)/10</f>
        <v>0.45090000000000002</v>
      </c>
      <c r="BM183" s="78">
        <f t="shared" si="74"/>
        <v>0.45180000000000003</v>
      </c>
      <c r="BN183" s="78">
        <f t="shared" si="74"/>
        <v>0.45270000000000005</v>
      </c>
      <c r="BO183" s="78">
        <f t="shared" si="74"/>
        <v>0.45360000000000006</v>
      </c>
      <c r="BP183" s="78">
        <f t="shared" si="74"/>
        <v>0.45450000000000007</v>
      </c>
      <c r="BQ183" s="78">
        <f t="shared" si="74"/>
        <v>0.45540000000000008</v>
      </c>
      <c r="BR183" s="78">
        <f t="shared" si="74"/>
        <v>0.45630000000000009</v>
      </c>
      <c r="BS183" s="78">
        <f t="shared" si="74"/>
        <v>0.45720000000000011</v>
      </c>
      <c r="BT183" s="78">
        <f t="shared" si="74"/>
        <v>0.45810000000000012</v>
      </c>
      <c r="BU183" s="77">
        <v>0.45900000000000002</v>
      </c>
      <c r="BV183" s="78">
        <f t="shared" ref="BV183:CD183" si="75">BU183+($CE$183-$BU$183)/10</f>
        <v>0.4607</v>
      </c>
      <c r="BW183" s="78">
        <f t="shared" si="75"/>
        <v>0.46239999999999998</v>
      </c>
      <c r="BX183" s="78">
        <f t="shared" si="75"/>
        <v>0.46409999999999996</v>
      </c>
      <c r="BY183" s="78">
        <f t="shared" si="75"/>
        <v>0.46579999999999994</v>
      </c>
      <c r="BZ183" s="78">
        <f t="shared" si="75"/>
        <v>0.46749999999999992</v>
      </c>
      <c r="CA183" s="78">
        <f t="shared" si="75"/>
        <v>0.46919999999999989</v>
      </c>
      <c r="CB183" s="78">
        <f t="shared" si="75"/>
        <v>0.47089999999999987</v>
      </c>
      <c r="CC183" s="78">
        <f t="shared" si="75"/>
        <v>0.47259999999999985</v>
      </c>
      <c r="CD183" s="78">
        <f t="shared" si="75"/>
        <v>0.47429999999999983</v>
      </c>
      <c r="CE183" s="77">
        <v>0.47599999999999998</v>
      </c>
      <c r="CF183" s="78"/>
      <c r="CG183" s="78"/>
      <c r="CH183" s="78"/>
      <c r="CI183" s="78"/>
      <c r="CJ183" s="78"/>
      <c r="CK183" s="78"/>
      <c r="CL183" s="78"/>
      <c r="CM183" s="78"/>
      <c r="CN183" s="78"/>
      <c r="CO183" s="77"/>
      <c r="CP183" s="78"/>
      <c r="CQ183" s="78"/>
      <c r="CR183" s="78"/>
      <c r="CS183" s="78"/>
      <c r="CT183" s="78"/>
      <c r="CU183" s="78"/>
      <c r="CV183" s="78"/>
      <c r="CW183" s="78"/>
      <c r="CX183" s="78"/>
      <c r="CY183" s="77"/>
      <c r="CZ183" s="78"/>
      <c r="DA183" s="78"/>
      <c r="DB183" s="78"/>
      <c r="DC183" s="78"/>
      <c r="DD183" s="78"/>
      <c r="DE183" s="78"/>
      <c r="DF183" s="78"/>
      <c r="DG183" s="78"/>
      <c r="DH183" s="78"/>
      <c r="DI183" s="77"/>
      <c r="DJ183" s="78"/>
      <c r="DK183" s="78"/>
      <c r="DL183" s="78"/>
      <c r="DM183" s="78"/>
      <c r="DN183" s="78"/>
      <c r="DO183" s="78"/>
      <c r="DP183" s="78"/>
      <c r="DQ183" s="78"/>
      <c r="DR183" s="78"/>
      <c r="DS183" s="77"/>
    </row>
    <row r="184" spans="2:123" x14ac:dyDescent="0.2">
      <c r="B184" s="3" t="s">
        <v>77</v>
      </c>
      <c r="C184" s="77">
        <v>0.65100000000000002</v>
      </c>
      <c r="D184" s="78">
        <f t="shared" ref="D184:L184" si="76">C184+($M$184-$C$184)/10</f>
        <v>0.63650000000000007</v>
      </c>
      <c r="E184" s="78">
        <f t="shared" si="76"/>
        <v>0.62200000000000011</v>
      </c>
      <c r="F184" s="78">
        <f t="shared" si="76"/>
        <v>0.60750000000000015</v>
      </c>
      <c r="G184" s="78">
        <f t="shared" si="76"/>
        <v>0.59300000000000019</v>
      </c>
      <c r="H184" s="78">
        <f t="shared" si="76"/>
        <v>0.57850000000000024</v>
      </c>
      <c r="I184" s="78">
        <f t="shared" si="76"/>
        <v>0.56400000000000028</v>
      </c>
      <c r="J184" s="78">
        <f t="shared" si="76"/>
        <v>0.54950000000000032</v>
      </c>
      <c r="K184" s="78">
        <f t="shared" si="76"/>
        <v>0.53500000000000036</v>
      </c>
      <c r="L184" s="78">
        <f t="shared" si="76"/>
        <v>0.52050000000000041</v>
      </c>
      <c r="M184" s="77">
        <v>0.50600000000000001</v>
      </c>
      <c r="N184" s="78">
        <f t="shared" ref="N184:V184" si="77">M184+($W$184-$M$184)/10</f>
        <v>0.4955</v>
      </c>
      <c r="O184" s="78">
        <f t="shared" si="77"/>
        <v>0.48499999999999999</v>
      </c>
      <c r="P184" s="78">
        <f t="shared" si="77"/>
        <v>0.47449999999999998</v>
      </c>
      <c r="Q184" s="78">
        <f t="shared" si="77"/>
        <v>0.46399999999999997</v>
      </c>
      <c r="R184" s="78">
        <f t="shared" si="77"/>
        <v>0.45349999999999996</v>
      </c>
      <c r="S184" s="78">
        <f t="shared" si="77"/>
        <v>0.44299999999999995</v>
      </c>
      <c r="T184" s="78">
        <f t="shared" si="77"/>
        <v>0.43249999999999994</v>
      </c>
      <c r="U184" s="78">
        <f t="shared" si="77"/>
        <v>0.42199999999999993</v>
      </c>
      <c r="V184" s="78">
        <f t="shared" si="77"/>
        <v>0.41149999999999992</v>
      </c>
      <c r="W184" s="77">
        <v>0.40100000000000002</v>
      </c>
      <c r="X184" s="78">
        <f t="shared" ref="X184:AF184" si="78">W184+($AG$184-$W$184)/10</f>
        <v>0.39400000000000002</v>
      </c>
      <c r="Y184" s="78">
        <f t="shared" si="78"/>
        <v>0.38700000000000001</v>
      </c>
      <c r="Z184" s="78">
        <f t="shared" si="78"/>
        <v>0.38</v>
      </c>
      <c r="AA184" s="78">
        <f t="shared" si="78"/>
        <v>0.373</v>
      </c>
      <c r="AB184" s="78">
        <f t="shared" si="78"/>
        <v>0.36599999999999999</v>
      </c>
      <c r="AC184" s="78">
        <f t="shared" si="78"/>
        <v>0.35899999999999999</v>
      </c>
      <c r="AD184" s="78">
        <f t="shared" si="78"/>
        <v>0.35199999999999998</v>
      </c>
      <c r="AE184" s="78">
        <f t="shared" si="78"/>
        <v>0.34499999999999997</v>
      </c>
      <c r="AF184" s="78">
        <f t="shared" si="78"/>
        <v>0.33799999999999997</v>
      </c>
      <c r="AG184" s="77">
        <v>0.33100000000000002</v>
      </c>
      <c r="AH184" s="78">
        <f t="shared" ref="AH184:AP184" si="79">AG184+($AQ$184-$AG$184)/10</f>
        <v>0.32690000000000002</v>
      </c>
      <c r="AI184" s="78">
        <f t="shared" si="79"/>
        <v>0.32280000000000003</v>
      </c>
      <c r="AJ184" s="78">
        <f t="shared" si="79"/>
        <v>0.31870000000000004</v>
      </c>
      <c r="AK184" s="78">
        <f t="shared" si="79"/>
        <v>0.31460000000000005</v>
      </c>
      <c r="AL184" s="78">
        <f t="shared" si="79"/>
        <v>0.31050000000000005</v>
      </c>
      <c r="AM184" s="78">
        <f t="shared" si="79"/>
        <v>0.30640000000000006</v>
      </c>
      <c r="AN184" s="78">
        <f t="shared" si="79"/>
        <v>0.30230000000000007</v>
      </c>
      <c r="AO184" s="78">
        <f t="shared" si="79"/>
        <v>0.29820000000000008</v>
      </c>
      <c r="AP184" s="78">
        <f t="shared" si="79"/>
        <v>0.29410000000000008</v>
      </c>
      <c r="AQ184" s="77">
        <v>0.28999999999999998</v>
      </c>
      <c r="AR184" s="78">
        <f t="shared" ref="AR184:AZ184" si="80">AQ184+($BA$184-$AQ$184)/10</f>
        <v>0.28809999999999997</v>
      </c>
      <c r="AS184" s="78">
        <f t="shared" si="80"/>
        <v>0.28619999999999995</v>
      </c>
      <c r="AT184" s="78">
        <f t="shared" si="80"/>
        <v>0.28429999999999994</v>
      </c>
      <c r="AU184" s="78">
        <f t="shared" si="80"/>
        <v>0.28239999999999993</v>
      </c>
      <c r="AV184" s="78">
        <f t="shared" si="80"/>
        <v>0.28049999999999992</v>
      </c>
      <c r="AW184" s="78">
        <f t="shared" si="80"/>
        <v>0.2785999999999999</v>
      </c>
      <c r="AX184" s="78">
        <f t="shared" si="80"/>
        <v>0.27669999999999989</v>
      </c>
      <c r="AY184" s="78">
        <f t="shared" si="80"/>
        <v>0.27479999999999988</v>
      </c>
      <c r="AZ184" s="78">
        <f t="shared" si="80"/>
        <v>0.27289999999999986</v>
      </c>
      <c r="BA184" s="77">
        <v>0.27100000000000002</v>
      </c>
      <c r="BB184" s="78">
        <f t="shared" ref="BB184:BJ184" si="81">BA184+($BK$184-$BA$184)/10</f>
        <v>0.27080000000000004</v>
      </c>
      <c r="BC184" s="78">
        <f t="shared" si="81"/>
        <v>0.27060000000000006</v>
      </c>
      <c r="BD184" s="78">
        <f t="shared" si="81"/>
        <v>0.27040000000000008</v>
      </c>
      <c r="BE184" s="78">
        <f t="shared" si="81"/>
        <v>0.27020000000000011</v>
      </c>
      <c r="BF184" s="78">
        <f t="shared" si="81"/>
        <v>0.27000000000000013</v>
      </c>
      <c r="BG184" s="78">
        <f t="shared" si="81"/>
        <v>0.26980000000000015</v>
      </c>
      <c r="BH184" s="78">
        <f t="shared" si="81"/>
        <v>0.26960000000000017</v>
      </c>
      <c r="BI184" s="78">
        <f t="shared" si="81"/>
        <v>0.26940000000000019</v>
      </c>
      <c r="BJ184" s="78">
        <f t="shared" si="81"/>
        <v>0.26920000000000022</v>
      </c>
      <c r="BK184" s="77">
        <v>0.26900000000000002</v>
      </c>
      <c r="BL184" s="78">
        <f t="shared" ref="BL184:BT184" si="82">BK184+($BU$184-$BK$184)/10</f>
        <v>0.26990000000000003</v>
      </c>
      <c r="BM184" s="78">
        <f t="shared" si="82"/>
        <v>0.27080000000000004</v>
      </c>
      <c r="BN184" s="78">
        <f t="shared" si="82"/>
        <v>0.27170000000000005</v>
      </c>
      <c r="BO184" s="78">
        <f t="shared" si="82"/>
        <v>0.27260000000000006</v>
      </c>
      <c r="BP184" s="78">
        <f t="shared" si="82"/>
        <v>0.27350000000000008</v>
      </c>
      <c r="BQ184" s="78">
        <f t="shared" si="82"/>
        <v>0.27440000000000009</v>
      </c>
      <c r="BR184" s="78">
        <f t="shared" si="82"/>
        <v>0.2753000000000001</v>
      </c>
      <c r="BS184" s="78">
        <f t="shared" si="82"/>
        <v>0.27620000000000011</v>
      </c>
      <c r="BT184" s="78">
        <f t="shared" si="82"/>
        <v>0.27710000000000012</v>
      </c>
      <c r="BU184" s="77">
        <v>0.27800000000000002</v>
      </c>
      <c r="BV184" s="78">
        <f t="shared" ref="BV184:CD184" si="83">BU184+($CE$184-$BU$184)/10</f>
        <v>0.27940000000000004</v>
      </c>
      <c r="BW184" s="78">
        <f t="shared" si="83"/>
        <v>0.28080000000000005</v>
      </c>
      <c r="BX184" s="78">
        <f t="shared" si="83"/>
        <v>0.28220000000000006</v>
      </c>
      <c r="BY184" s="78">
        <f t="shared" si="83"/>
        <v>0.28360000000000007</v>
      </c>
      <c r="BZ184" s="78">
        <f t="shared" si="83"/>
        <v>0.28500000000000009</v>
      </c>
      <c r="CA184" s="78">
        <f t="shared" si="83"/>
        <v>0.2864000000000001</v>
      </c>
      <c r="CB184" s="78">
        <f t="shared" si="83"/>
        <v>0.28780000000000011</v>
      </c>
      <c r="CC184" s="78">
        <f t="shared" si="83"/>
        <v>0.28920000000000012</v>
      </c>
      <c r="CD184" s="78">
        <f t="shared" si="83"/>
        <v>0.29060000000000014</v>
      </c>
      <c r="CE184" s="77">
        <v>0.29199999999999998</v>
      </c>
      <c r="CF184" s="78">
        <f t="shared" ref="CF184:CN184" si="84">CE184+($CO$184-$CE$184)/10</f>
        <v>0.29330000000000001</v>
      </c>
      <c r="CG184" s="78">
        <f t="shared" si="84"/>
        <v>0.29460000000000003</v>
      </c>
      <c r="CH184" s="78">
        <f t="shared" si="84"/>
        <v>0.29590000000000005</v>
      </c>
      <c r="CI184" s="78">
        <f t="shared" si="84"/>
        <v>0.29720000000000008</v>
      </c>
      <c r="CJ184" s="78">
        <f t="shared" si="84"/>
        <v>0.2985000000000001</v>
      </c>
      <c r="CK184" s="78">
        <f t="shared" si="84"/>
        <v>0.29980000000000012</v>
      </c>
      <c r="CL184" s="78">
        <f t="shared" si="84"/>
        <v>0.30110000000000015</v>
      </c>
      <c r="CM184" s="78">
        <f t="shared" si="84"/>
        <v>0.30240000000000017</v>
      </c>
      <c r="CN184" s="78">
        <f t="shared" si="84"/>
        <v>0.30370000000000019</v>
      </c>
      <c r="CO184" s="77">
        <v>0.30499999999999999</v>
      </c>
      <c r="CP184" s="78"/>
      <c r="CQ184" s="78"/>
      <c r="CR184" s="78"/>
      <c r="CS184" s="78"/>
      <c r="CT184" s="78"/>
      <c r="CU184" s="78"/>
      <c r="CV184" s="78"/>
      <c r="CW184" s="78"/>
      <c r="CX184" s="78"/>
      <c r="CY184" s="77"/>
      <c r="CZ184" s="78"/>
      <c r="DA184" s="78"/>
      <c r="DB184" s="78"/>
      <c r="DC184" s="78"/>
      <c r="DD184" s="78"/>
      <c r="DE184" s="78"/>
      <c r="DF184" s="78"/>
      <c r="DG184" s="78"/>
      <c r="DH184" s="78"/>
      <c r="DI184" s="77"/>
      <c r="DJ184" s="78"/>
      <c r="DK184" s="78"/>
      <c r="DL184" s="78"/>
      <c r="DM184" s="78"/>
      <c r="DN184" s="78"/>
      <c r="DO184" s="78"/>
      <c r="DP184" s="78"/>
      <c r="DQ184" s="78"/>
      <c r="DR184" s="78"/>
      <c r="DS184" s="77"/>
    </row>
    <row r="185" spans="2:123" x14ac:dyDescent="0.2">
      <c r="B185" s="1" t="s">
        <v>78</v>
      </c>
    </row>
    <row r="186" spans="2:123" x14ac:dyDescent="0.2">
      <c r="B186" s="1"/>
    </row>
    <row r="187" spans="2:123" ht="17.25" customHeight="1" x14ac:dyDescent="0.2">
      <c r="B187" s="147" t="s">
        <v>131</v>
      </c>
      <c r="C187" s="81">
        <f>C188+C189</f>
        <v>1</v>
      </c>
    </row>
    <row r="188" spans="2:123" x14ac:dyDescent="0.2">
      <c r="B188" s="65" t="s">
        <v>129</v>
      </c>
      <c r="C188" s="37">
        <v>0.75</v>
      </c>
    </row>
    <row r="189" spans="2:123" x14ac:dyDescent="0.2">
      <c r="B189" s="43" t="s">
        <v>130</v>
      </c>
      <c r="C189" s="38">
        <v>0.25</v>
      </c>
    </row>
    <row r="190" spans="2:123" x14ac:dyDescent="0.2">
      <c r="B190" s="1" t="s">
        <v>140</v>
      </c>
    </row>
    <row r="191" spans="2:123" x14ac:dyDescent="0.2">
      <c r="B191" s="1"/>
    </row>
    <row r="192" spans="2:123" ht="22.5" x14ac:dyDescent="0.2">
      <c r="B192" s="147" t="s">
        <v>134</v>
      </c>
      <c r="C192" s="545" t="s">
        <v>135</v>
      </c>
      <c r="D192" s="546"/>
      <c r="E192" s="546"/>
      <c r="F192" s="546"/>
      <c r="G192" s="546"/>
      <c r="H192" s="547"/>
    </row>
    <row r="193" spans="2:10" ht="33.75" x14ac:dyDescent="0.2">
      <c r="B193" s="94" t="s">
        <v>102</v>
      </c>
      <c r="C193" s="135" t="s">
        <v>255</v>
      </c>
      <c r="D193" s="135" t="s">
        <v>260</v>
      </c>
      <c r="E193" s="135" t="s">
        <v>256</v>
      </c>
      <c r="F193" s="135" t="s">
        <v>257</v>
      </c>
      <c r="G193" s="135" t="s">
        <v>258</v>
      </c>
      <c r="H193" s="135" t="s">
        <v>259</v>
      </c>
    </row>
    <row r="194" spans="2:10" x14ac:dyDescent="0.2">
      <c r="B194" s="3" t="s">
        <v>124</v>
      </c>
      <c r="C194" s="78">
        <v>5.7000000000000002E-2</v>
      </c>
      <c r="D194" s="78">
        <v>2.4E-2</v>
      </c>
      <c r="E194" s="78">
        <v>8.1000000000000003E-2</v>
      </c>
      <c r="F194" s="78">
        <v>3.3000000000000002E-2</v>
      </c>
      <c r="G194" s="78">
        <v>0.09</v>
      </c>
      <c r="H194" s="78">
        <v>0.115</v>
      </c>
    </row>
    <row r="195" spans="2:10" x14ac:dyDescent="0.2">
      <c r="B195" s="3" t="s">
        <v>125</v>
      </c>
      <c r="C195" s="78">
        <v>5.0999999999999997E-2</v>
      </c>
      <c r="D195" s="78">
        <v>2.1999999999999999E-2</v>
      </c>
      <c r="E195" s="78">
        <v>7.2999999999999995E-2</v>
      </c>
      <c r="F195" s="78">
        <v>0.03</v>
      </c>
      <c r="G195" s="78">
        <v>8.1000000000000003E-2</v>
      </c>
      <c r="H195" s="78">
        <v>0.10299999999999999</v>
      </c>
    </row>
    <row r="196" spans="2:10" x14ac:dyDescent="0.2">
      <c r="B196" s="3" t="s">
        <v>126</v>
      </c>
      <c r="C196" s="78">
        <v>7.0000000000000007E-2</v>
      </c>
      <c r="D196" s="78">
        <v>2.9000000000000001E-2</v>
      </c>
      <c r="E196" s="78">
        <v>9.9000000000000005E-2</v>
      </c>
      <c r="F196" s="78">
        <v>0.04</v>
      </c>
      <c r="G196" s="78">
        <v>0.11</v>
      </c>
      <c r="H196" s="78">
        <v>0.14099999999999999</v>
      </c>
      <c r="J196" s="2" t="s">
        <v>145</v>
      </c>
    </row>
    <row r="197" spans="2:10" x14ac:dyDescent="0.2">
      <c r="B197" s="3" t="s">
        <v>127</v>
      </c>
      <c r="C197" s="78">
        <v>0.27600000000000002</v>
      </c>
      <c r="D197" s="78">
        <v>0.13100000000000001</v>
      </c>
      <c r="E197" s="78">
        <v>0.40699999999999997</v>
      </c>
      <c r="F197" s="78">
        <v>0.184</v>
      </c>
      <c r="G197" s="78">
        <v>0.46</v>
      </c>
      <c r="H197" s="78">
        <v>0.51900000000000002</v>
      </c>
      <c r="J197" s="2" t="s">
        <v>146</v>
      </c>
    </row>
    <row r="198" spans="2:10" x14ac:dyDescent="0.2">
      <c r="B198" s="3" t="s">
        <v>128</v>
      </c>
      <c r="C198" s="78">
        <v>0.39300000000000002</v>
      </c>
      <c r="D198" s="78">
        <v>0.16500000000000001</v>
      </c>
      <c r="E198" s="78">
        <v>0.55800000000000005</v>
      </c>
      <c r="F198" s="78">
        <v>0.22800000000000001</v>
      </c>
      <c r="G198" s="78">
        <v>0.621</v>
      </c>
      <c r="H198" s="78">
        <v>0.80400000000000005</v>
      </c>
      <c r="J198" s="2" t="s">
        <v>147</v>
      </c>
    </row>
    <row r="199" spans="2:10" x14ac:dyDescent="0.2">
      <c r="B199" s="3" t="s">
        <v>77</v>
      </c>
      <c r="C199" s="78">
        <v>0.25600000000000001</v>
      </c>
      <c r="D199" s="78">
        <v>0.123</v>
      </c>
      <c r="E199" s="78">
        <v>0.379</v>
      </c>
      <c r="F199" s="78">
        <v>0.17399999999999999</v>
      </c>
      <c r="G199" s="78">
        <v>0.43</v>
      </c>
      <c r="H199" s="78">
        <v>0.47699999999999998</v>
      </c>
    </row>
    <row r="200" spans="2:10" x14ac:dyDescent="0.2">
      <c r="B200" s="1" t="s">
        <v>136</v>
      </c>
    </row>
    <row r="202" spans="2:10" ht="16.5" customHeight="1" x14ac:dyDescent="0.2">
      <c r="B202" s="147" t="s">
        <v>137</v>
      </c>
      <c r="C202" s="81" t="s">
        <v>138</v>
      </c>
    </row>
    <row r="203" spans="2:10" x14ac:dyDescent="0.2">
      <c r="B203" s="65" t="s">
        <v>129</v>
      </c>
      <c r="C203" s="83">
        <v>0.52300000000000002</v>
      </c>
      <c r="E203" s="2" t="s">
        <v>139</v>
      </c>
    </row>
    <row r="204" spans="2:10" x14ac:dyDescent="0.2">
      <c r="B204" s="43" t="s">
        <v>130</v>
      </c>
      <c r="C204" s="84">
        <v>0.56999999999999995</v>
      </c>
    </row>
    <row r="205" spans="2:10" x14ac:dyDescent="0.2">
      <c r="B205" s="1" t="s">
        <v>140</v>
      </c>
    </row>
    <row r="206" spans="2:10" x14ac:dyDescent="0.2">
      <c r="B206" s="1"/>
    </row>
    <row r="207" spans="2:10" ht="15.75" customHeight="1" x14ac:dyDescent="0.2">
      <c r="B207" s="535" t="s">
        <v>143</v>
      </c>
      <c r="C207" s="548"/>
      <c r="D207" s="549"/>
    </row>
    <row r="208" spans="2:10" ht="16.5" customHeight="1" x14ac:dyDescent="0.2">
      <c r="B208" s="95" t="s">
        <v>102</v>
      </c>
      <c r="C208" s="92" t="s">
        <v>141</v>
      </c>
      <c r="D208" s="92" t="s">
        <v>142</v>
      </c>
    </row>
    <row r="209" spans="2:8" x14ac:dyDescent="0.2">
      <c r="B209" s="93" t="s">
        <v>124</v>
      </c>
      <c r="C209" s="96">
        <v>4.1000000000000002E-2</v>
      </c>
      <c r="D209" s="78">
        <v>3.6429999999999998</v>
      </c>
    </row>
    <row r="210" spans="2:8" x14ac:dyDescent="0.2">
      <c r="B210" s="46" t="s">
        <v>125</v>
      </c>
      <c r="C210" s="97">
        <v>3.4000000000000002E-2</v>
      </c>
      <c r="D210" s="78">
        <v>2.4289999999999998</v>
      </c>
    </row>
    <row r="211" spans="2:8" x14ac:dyDescent="0.2">
      <c r="B211" s="46" t="s">
        <v>126</v>
      </c>
      <c r="C211" s="97">
        <v>4.2000000000000003E-2</v>
      </c>
      <c r="D211" s="78">
        <v>14.138</v>
      </c>
    </row>
    <row r="212" spans="2:8" x14ac:dyDescent="0.2">
      <c r="B212" s="46" t="s">
        <v>127</v>
      </c>
      <c r="C212" s="97">
        <v>6.5000000000000002E-2</v>
      </c>
      <c r="D212" s="78">
        <v>15.584</v>
      </c>
    </row>
    <row r="213" spans="2:8" x14ac:dyDescent="0.2">
      <c r="B213" s="46" t="s">
        <v>128</v>
      </c>
      <c r="C213" s="97">
        <v>0.12</v>
      </c>
      <c r="D213" s="78">
        <v>18.013999999999999</v>
      </c>
    </row>
    <row r="214" spans="2:8" x14ac:dyDescent="0.2">
      <c r="B214" s="46" t="s">
        <v>77</v>
      </c>
      <c r="C214" s="97">
        <v>8.4000000000000005E-2</v>
      </c>
      <c r="D214" s="78">
        <v>16.393000000000001</v>
      </c>
    </row>
    <row r="215" spans="2:8" x14ac:dyDescent="0.2">
      <c r="B215" s="1" t="s">
        <v>144</v>
      </c>
    </row>
    <row r="217" spans="2:8" ht="23.25" customHeight="1" x14ac:dyDescent="0.2">
      <c r="B217" s="535" t="s">
        <v>148</v>
      </c>
      <c r="C217" s="538"/>
      <c r="D217" s="538"/>
      <c r="E217" s="538"/>
      <c r="F217" s="98"/>
    </row>
    <row r="218" spans="2:8" ht="22.5" customHeight="1" x14ac:dyDescent="0.2">
      <c r="B218" s="95" t="s">
        <v>79</v>
      </c>
      <c r="C218" s="91" t="s">
        <v>61</v>
      </c>
      <c r="D218" s="91" t="s">
        <v>62</v>
      </c>
      <c r="E218" s="91" t="s">
        <v>63</v>
      </c>
      <c r="F218" s="98"/>
    </row>
    <row r="219" spans="2:8" ht="22.5" customHeight="1" x14ac:dyDescent="0.2">
      <c r="B219" s="47" t="s">
        <v>149</v>
      </c>
      <c r="C219" s="101">
        <v>1.1120000000000001</v>
      </c>
      <c r="D219" s="101">
        <v>6.5410000000000004</v>
      </c>
      <c r="E219" s="101">
        <v>47.969000000000001</v>
      </c>
      <c r="F219" s="99"/>
      <c r="G219" s="137" t="s">
        <v>262</v>
      </c>
      <c r="H219" s="2" t="s">
        <v>156</v>
      </c>
    </row>
    <row r="220" spans="2:8" ht="22.5" x14ac:dyDescent="0.2">
      <c r="B220" s="100" t="s">
        <v>150</v>
      </c>
      <c r="C220" s="101">
        <v>0.26</v>
      </c>
      <c r="D220" s="101">
        <v>4.585</v>
      </c>
      <c r="E220" s="101">
        <v>24.452999999999999</v>
      </c>
      <c r="F220" s="99"/>
      <c r="G220" s="137" t="s">
        <v>261</v>
      </c>
    </row>
    <row r="221" spans="2:8" ht="22.5" x14ac:dyDescent="0.2">
      <c r="B221" s="47" t="s">
        <v>151</v>
      </c>
      <c r="C221" s="101">
        <v>0.754</v>
      </c>
      <c r="D221" s="101">
        <v>4.4370000000000003</v>
      </c>
      <c r="E221" s="101">
        <v>29.582999999999998</v>
      </c>
      <c r="F221" s="99"/>
      <c r="G221" s="137" t="s">
        <v>267</v>
      </c>
    </row>
    <row r="222" spans="2:8" ht="22.5" x14ac:dyDescent="0.2">
      <c r="B222" s="100" t="s">
        <v>152</v>
      </c>
      <c r="C222" s="101">
        <v>0.14299999999999999</v>
      </c>
      <c r="D222" s="101">
        <v>1.054</v>
      </c>
      <c r="E222" s="101">
        <v>11.382999999999999</v>
      </c>
      <c r="F222" s="99"/>
      <c r="G222" s="137" t="s">
        <v>266</v>
      </c>
    </row>
    <row r="223" spans="2:8" ht="22.5" x14ac:dyDescent="0.2">
      <c r="B223" s="47" t="s">
        <v>153</v>
      </c>
      <c r="C223" s="101">
        <v>0.78200000000000003</v>
      </c>
      <c r="D223" s="101">
        <v>1.1499999999999999</v>
      </c>
      <c r="E223" s="101">
        <v>6.9029999999999996</v>
      </c>
      <c r="F223" s="99"/>
      <c r="G223" s="137" t="s">
        <v>263</v>
      </c>
    </row>
    <row r="224" spans="2:8" ht="22.5" x14ac:dyDescent="0.2">
      <c r="B224" s="47" t="s">
        <v>154</v>
      </c>
      <c r="C224" s="101">
        <v>0.26500000000000001</v>
      </c>
      <c r="D224" s="101">
        <v>1.216</v>
      </c>
      <c r="E224" s="101">
        <v>12.846</v>
      </c>
      <c r="F224" s="99"/>
      <c r="G224" s="137" t="s">
        <v>264</v>
      </c>
    </row>
    <row r="225" spans="2:43" ht="22.5" x14ac:dyDescent="0.2">
      <c r="B225" s="47" t="s">
        <v>155</v>
      </c>
      <c r="C225" s="101">
        <v>0.24099999999999999</v>
      </c>
      <c r="D225" s="101">
        <v>0.97299999999999998</v>
      </c>
      <c r="E225" s="101">
        <v>6.8970000000000002</v>
      </c>
      <c r="F225" s="99"/>
      <c r="G225" s="137" t="s">
        <v>265</v>
      </c>
    </row>
    <row r="226" spans="2:43" x14ac:dyDescent="0.2">
      <c r="B226" s="1" t="s">
        <v>319</v>
      </c>
    </row>
    <row r="228" spans="2:43" ht="22.5" x14ac:dyDescent="0.2">
      <c r="B228" s="147" t="s">
        <v>157</v>
      </c>
      <c r="C228" s="69">
        <v>2021</v>
      </c>
      <c r="D228" s="69">
        <v>2022</v>
      </c>
      <c r="E228" s="69">
        <v>2023</v>
      </c>
      <c r="F228" s="69">
        <v>2024</v>
      </c>
      <c r="G228" s="69">
        <v>2025</v>
      </c>
      <c r="H228" s="69">
        <v>2026</v>
      </c>
      <c r="I228" s="69">
        <v>2027</v>
      </c>
      <c r="J228" s="69">
        <v>2028</v>
      </c>
      <c r="K228" s="69">
        <v>2029</v>
      </c>
      <c r="L228" s="69">
        <v>2030</v>
      </c>
      <c r="M228" s="69">
        <v>2031</v>
      </c>
      <c r="N228" s="69">
        <v>2032</v>
      </c>
      <c r="O228" s="69">
        <v>2033</v>
      </c>
      <c r="P228" s="69">
        <v>2034</v>
      </c>
      <c r="Q228" s="69">
        <v>2035</v>
      </c>
      <c r="R228" s="69">
        <v>2036</v>
      </c>
      <c r="S228" s="69">
        <v>2037</v>
      </c>
      <c r="T228" s="69">
        <v>2038</v>
      </c>
      <c r="U228" s="69">
        <v>2039</v>
      </c>
      <c r="V228" s="69">
        <v>2040</v>
      </c>
      <c r="W228" s="69">
        <v>2041</v>
      </c>
      <c r="X228" s="69">
        <v>2042</v>
      </c>
      <c r="Y228" s="69">
        <v>2043</v>
      </c>
      <c r="Z228" s="69">
        <v>2044</v>
      </c>
      <c r="AA228" s="69">
        <v>2045</v>
      </c>
      <c r="AB228" s="69">
        <v>2046</v>
      </c>
      <c r="AC228" s="69">
        <v>2047</v>
      </c>
      <c r="AD228" s="69">
        <v>2048</v>
      </c>
      <c r="AE228" s="69">
        <v>2049</v>
      </c>
      <c r="AF228" s="69">
        <v>2050</v>
      </c>
      <c r="AG228" s="69">
        <v>2051</v>
      </c>
      <c r="AH228" s="69">
        <v>2052</v>
      </c>
      <c r="AI228" s="69">
        <v>2053</v>
      </c>
      <c r="AJ228" s="69">
        <v>2054</v>
      </c>
      <c r="AK228" s="69">
        <v>2055</v>
      </c>
      <c r="AL228" s="69">
        <v>2056</v>
      </c>
      <c r="AM228" s="69">
        <v>2057</v>
      </c>
      <c r="AN228" s="69">
        <v>2058</v>
      </c>
      <c r="AO228" s="69">
        <v>2059</v>
      </c>
      <c r="AP228" s="69">
        <v>2060</v>
      </c>
    </row>
    <row r="229" spans="2:43" x14ac:dyDescent="0.2">
      <c r="B229" s="46" t="s">
        <v>61</v>
      </c>
      <c r="C229" s="102">
        <v>3296699</v>
      </c>
      <c r="D229" s="102">
        <f t="shared" ref="D229:AP229" si="85">ROUND(C229*(1+(0.7*D42)),2)</f>
        <v>3336474.14</v>
      </c>
      <c r="E229" s="102">
        <f t="shared" si="85"/>
        <v>3366023.67</v>
      </c>
      <c r="F229" s="102">
        <f t="shared" si="85"/>
        <v>3407414.87</v>
      </c>
      <c r="G229" s="102">
        <f t="shared" si="85"/>
        <v>3470721.33</v>
      </c>
      <c r="H229" s="102">
        <f t="shared" si="85"/>
        <v>3517076.2</v>
      </c>
      <c r="I229" s="102">
        <f t="shared" si="85"/>
        <v>3558929.41</v>
      </c>
      <c r="J229" s="102">
        <f t="shared" si="85"/>
        <v>3601280.67</v>
      </c>
      <c r="K229" s="102">
        <f t="shared" si="85"/>
        <v>3644135.91</v>
      </c>
      <c r="L229" s="102">
        <f t="shared" si="85"/>
        <v>3687501.13</v>
      </c>
      <c r="M229" s="102">
        <f t="shared" si="85"/>
        <v>3718476.14</v>
      </c>
      <c r="N229" s="102">
        <f t="shared" si="85"/>
        <v>3749711.34</v>
      </c>
      <c r="O229" s="102">
        <f t="shared" si="85"/>
        <v>3781208.92</v>
      </c>
      <c r="P229" s="102">
        <f t="shared" si="85"/>
        <v>3812971.07</v>
      </c>
      <c r="Q229" s="102">
        <f t="shared" si="85"/>
        <v>3845000.03</v>
      </c>
      <c r="R229" s="102">
        <f t="shared" si="85"/>
        <v>3877298.03</v>
      </c>
      <c r="S229" s="102">
        <f t="shared" si="85"/>
        <v>3909867.33</v>
      </c>
      <c r="T229" s="102">
        <f t="shared" si="85"/>
        <v>3942710.22</v>
      </c>
      <c r="U229" s="102">
        <f t="shared" si="85"/>
        <v>3975828.99</v>
      </c>
      <c r="V229" s="102">
        <f t="shared" si="85"/>
        <v>4009225.95</v>
      </c>
      <c r="W229" s="102">
        <f t="shared" si="85"/>
        <v>4037290.53</v>
      </c>
      <c r="X229" s="102">
        <f t="shared" si="85"/>
        <v>4065551.56</v>
      </c>
      <c r="Y229" s="102">
        <f t="shared" si="85"/>
        <v>4094010.42</v>
      </c>
      <c r="Z229" s="102">
        <f t="shared" si="85"/>
        <v>4122668.49</v>
      </c>
      <c r="AA229" s="102">
        <f t="shared" si="85"/>
        <v>4151527.17</v>
      </c>
      <c r="AB229" s="102">
        <f t="shared" si="85"/>
        <v>4180587.86</v>
      </c>
      <c r="AC229" s="102">
        <f t="shared" si="85"/>
        <v>4209851.9800000004</v>
      </c>
      <c r="AD229" s="102">
        <f t="shared" si="85"/>
        <v>4239320.9400000004</v>
      </c>
      <c r="AE229" s="102">
        <f t="shared" si="85"/>
        <v>4268996.1900000004</v>
      </c>
      <c r="AF229" s="102">
        <f t="shared" si="85"/>
        <v>4298879.16</v>
      </c>
      <c r="AG229" s="102">
        <f t="shared" si="85"/>
        <v>4337998.96</v>
      </c>
      <c r="AH229" s="102">
        <f t="shared" si="85"/>
        <v>4377474.75</v>
      </c>
      <c r="AI229" s="102">
        <f t="shared" si="85"/>
        <v>4417309.7699999996</v>
      </c>
      <c r="AJ229" s="102">
        <f t="shared" si="85"/>
        <v>4457507.29</v>
      </c>
      <c r="AK229" s="102">
        <f t="shared" si="85"/>
        <v>4498070.6100000003</v>
      </c>
      <c r="AL229" s="102">
        <f t="shared" si="85"/>
        <v>4539003.05</v>
      </c>
      <c r="AM229" s="102">
        <f t="shared" si="85"/>
        <v>4580307.9800000004</v>
      </c>
      <c r="AN229" s="102">
        <f t="shared" si="85"/>
        <v>4621988.78</v>
      </c>
      <c r="AO229" s="102">
        <f t="shared" si="85"/>
        <v>4664048.88</v>
      </c>
      <c r="AP229" s="102">
        <f t="shared" si="85"/>
        <v>4706491.72</v>
      </c>
      <c r="AQ229" s="115">
        <f>SUM(C229:AP229)</f>
        <v>160377440.44</v>
      </c>
    </row>
    <row r="230" spans="2:43" x14ac:dyDescent="0.2">
      <c r="B230" s="46" t="s">
        <v>62</v>
      </c>
      <c r="C230" s="102">
        <v>468484</v>
      </c>
      <c r="D230" s="102">
        <f t="shared" ref="D230:AP230" si="86">ROUND(C230*(1+(0.7*D42)),2)</f>
        <v>474136.33</v>
      </c>
      <c r="E230" s="102">
        <f t="shared" si="86"/>
        <v>478335.53</v>
      </c>
      <c r="F230" s="102">
        <f t="shared" si="86"/>
        <v>484217.51</v>
      </c>
      <c r="G230" s="102">
        <f t="shared" si="86"/>
        <v>493213.8</v>
      </c>
      <c r="H230" s="102">
        <f t="shared" si="86"/>
        <v>499801.15</v>
      </c>
      <c r="I230" s="102">
        <f t="shared" si="86"/>
        <v>505748.78</v>
      </c>
      <c r="J230" s="102">
        <f t="shared" si="86"/>
        <v>511767.19</v>
      </c>
      <c r="K230" s="102">
        <f t="shared" si="86"/>
        <v>517857.22</v>
      </c>
      <c r="L230" s="102">
        <f t="shared" si="86"/>
        <v>524019.72</v>
      </c>
      <c r="M230" s="102">
        <f t="shared" si="86"/>
        <v>528421.49</v>
      </c>
      <c r="N230" s="102">
        <f t="shared" si="86"/>
        <v>532860.23</v>
      </c>
      <c r="O230" s="102">
        <f t="shared" si="86"/>
        <v>537336.26</v>
      </c>
      <c r="P230" s="102">
        <f t="shared" si="86"/>
        <v>541849.88</v>
      </c>
      <c r="Q230" s="102">
        <f t="shared" si="86"/>
        <v>546401.42000000004</v>
      </c>
      <c r="R230" s="102">
        <f t="shared" si="86"/>
        <v>550991.18999999994</v>
      </c>
      <c r="S230" s="102">
        <f t="shared" si="86"/>
        <v>555619.52</v>
      </c>
      <c r="T230" s="102">
        <f t="shared" si="86"/>
        <v>560286.71999999997</v>
      </c>
      <c r="U230" s="102">
        <f t="shared" si="86"/>
        <v>564993.13</v>
      </c>
      <c r="V230" s="102">
        <f t="shared" si="86"/>
        <v>569739.06999999995</v>
      </c>
      <c r="W230" s="102">
        <f t="shared" si="86"/>
        <v>573727.24</v>
      </c>
      <c r="X230" s="102">
        <f t="shared" si="86"/>
        <v>577743.32999999996</v>
      </c>
      <c r="Y230" s="102">
        <f t="shared" si="86"/>
        <v>581787.53</v>
      </c>
      <c r="Z230" s="102">
        <f t="shared" si="86"/>
        <v>585860.04</v>
      </c>
      <c r="AA230" s="102">
        <f t="shared" si="86"/>
        <v>589961.06000000006</v>
      </c>
      <c r="AB230" s="102">
        <f t="shared" si="86"/>
        <v>594090.79</v>
      </c>
      <c r="AC230" s="102">
        <f t="shared" si="86"/>
        <v>598249.43000000005</v>
      </c>
      <c r="AD230" s="102">
        <f t="shared" si="86"/>
        <v>602437.18000000005</v>
      </c>
      <c r="AE230" s="102">
        <f t="shared" si="86"/>
        <v>606654.24</v>
      </c>
      <c r="AF230" s="102">
        <f t="shared" si="86"/>
        <v>610900.81999999995</v>
      </c>
      <c r="AG230" s="102">
        <f t="shared" si="86"/>
        <v>616460.02</v>
      </c>
      <c r="AH230" s="102">
        <f t="shared" si="86"/>
        <v>622069.81000000006</v>
      </c>
      <c r="AI230" s="102">
        <f t="shared" si="86"/>
        <v>627730.65</v>
      </c>
      <c r="AJ230" s="102">
        <f t="shared" si="86"/>
        <v>633443</v>
      </c>
      <c r="AK230" s="102">
        <f t="shared" si="86"/>
        <v>639207.32999999996</v>
      </c>
      <c r="AL230" s="102">
        <f t="shared" si="86"/>
        <v>645024.12</v>
      </c>
      <c r="AM230" s="102">
        <f t="shared" si="86"/>
        <v>650893.84</v>
      </c>
      <c r="AN230" s="102">
        <f t="shared" si="86"/>
        <v>656816.97</v>
      </c>
      <c r="AO230" s="102">
        <f t="shared" si="86"/>
        <v>662794</v>
      </c>
      <c r="AP230" s="102">
        <f t="shared" si="86"/>
        <v>668825.43000000005</v>
      </c>
      <c r="AQ230" s="115">
        <f t="shared" ref="AQ230:AQ231" si="87">SUM(C230:AP230)</f>
        <v>22790756.969999999</v>
      </c>
    </row>
    <row r="231" spans="2:43" x14ac:dyDescent="0.2">
      <c r="B231" s="46" t="s">
        <v>63</v>
      </c>
      <c r="C231" s="102">
        <v>36161</v>
      </c>
      <c r="D231" s="102">
        <f t="shared" ref="D231:AP231" si="88">ROUND(C231*(1+(0.7*D42)),2)</f>
        <v>36597.29</v>
      </c>
      <c r="E231" s="102">
        <f t="shared" si="88"/>
        <v>36921.410000000003</v>
      </c>
      <c r="F231" s="102">
        <f t="shared" si="88"/>
        <v>37375.42</v>
      </c>
      <c r="G231" s="102">
        <f t="shared" si="88"/>
        <v>38069.82</v>
      </c>
      <c r="H231" s="102">
        <f t="shared" si="88"/>
        <v>38578.28</v>
      </c>
      <c r="I231" s="102">
        <f t="shared" si="88"/>
        <v>39037.360000000001</v>
      </c>
      <c r="J231" s="102">
        <f t="shared" si="88"/>
        <v>39501.9</v>
      </c>
      <c r="K231" s="102">
        <f t="shared" si="88"/>
        <v>39971.97</v>
      </c>
      <c r="L231" s="102">
        <f t="shared" si="88"/>
        <v>40447.64</v>
      </c>
      <c r="M231" s="102">
        <f t="shared" si="88"/>
        <v>40787.4</v>
      </c>
      <c r="N231" s="102">
        <f t="shared" si="88"/>
        <v>41130.01</v>
      </c>
      <c r="O231" s="102">
        <f t="shared" si="88"/>
        <v>41475.5</v>
      </c>
      <c r="P231" s="102">
        <f t="shared" si="88"/>
        <v>41823.89</v>
      </c>
      <c r="Q231" s="102">
        <f t="shared" si="88"/>
        <v>42175.21</v>
      </c>
      <c r="R231" s="102">
        <f t="shared" si="88"/>
        <v>42529.48</v>
      </c>
      <c r="S231" s="102">
        <f t="shared" si="88"/>
        <v>42886.73</v>
      </c>
      <c r="T231" s="102">
        <f t="shared" si="88"/>
        <v>43246.98</v>
      </c>
      <c r="U231" s="102">
        <f t="shared" si="88"/>
        <v>43610.25</v>
      </c>
      <c r="V231" s="102">
        <f t="shared" si="88"/>
        <v>43976.58</v>
      </c>
      <c r="W231" s="102">
        <f t="shared" si="88"/>
        <v>44284.42</v>
      </c>
      <c r="X231" s="102">
        <f t="shared" si="88"/>
        <v>44594.41</v>
      </c>
      <c r="Y231" s="102">
        <f t="shared" si="88"/>
        <v>44906.57</v>
      </c>
      <c r="Z231" s="102">
        <f t="shared" si="88"/>
        <v>45220.92</v>
      </c>
      <c r="AA231" s="102">
        <f t="shared" si="88"/>
        <v>45537.47</v>
      </c>
      <c r="AB231" s="102">
        <f t="shared" si="88"/>
        <v>45856.23</v>
      </c>
      <c r="AC231" s="102">
        <f t="shared" si="88"/>
        <v>46177.22</v>
      </c>
      <c r="AD231" s="102">
        <f t="shared" si="88"/>
        <v>46500.46</v>
      </c>
      <c r="AE231" s="102">
        <f t="shared" si="88"/>
        <v>46825.96</v>
      </c>
      <c r="AF231" s="102">
        <f t="shared" si="88"/>
        <v>47153.74</v>
      </c>
      <c r="AG231" s="102">
        <f t="shared" si="88"/>
        <v>47582.84</v>
      </c>
      <c r="AH231" s="102">
        <f t="shared" si="88"/>
        <v>48015.839999999997</v>
      </c>
      <c r="AI231" s="102">
        <f t="shared" si="88"/>
        <v>48452.78</v>
      </c>
      <c r="AJ231" s="102">
        <f t="shared" si="88"/>
        <v>48893.7</v>
      </c>
      <c r="AK231" s="102">
        <f t="shared" si="88"/>
        <v>49338.63</v>
      </c>
      <c r="AL231" s="102">
        <f t="shared" si="88"/>
        <v>49787.61</v>
      </c>
      <c r="AM231" s="102">
        <f t="shared" si="88"/>
        <v>50240.68</v>
      </c>
      <c r="AN231" s="102">
        <f t="shared" si="88"/>
        <v>50697.87</v>
      </c>
      <c r="AO231" s="102">
        <f t="shared" si="88"/>
        <v>51159.22</v>
      </c>
      <c r="AP231" s="102">
        <f t="shared" si="88"/>
        <v>51624.77</v>
      </c>
      <c r="AQ231" s="115">
        <f t="shared" si="87"/>
        <v>1759155.4600000002</v>
      </c>
    </row>
    <row r="232" spans="2:43" x14ac:dyDescent="0.2">
      <c r="B232" s="1" t="s">
        <v>85</v>
      </c>
    </row>
    <row r="233" spans="2:43" x14ac:dyDescent="0.2">
      <c r="B233" s="1"/>
    </row>
    <row r="234" spans="2:43" ht="16.5" customHeight="1" x14ac:dyDescent="0.2">
      <c r="B234" s="535" t="s">
        <v>184</v>
      </c>
      <c r="C234" s="538"/>
      <c r="D234" s="538"/>
      <c r="E234" s="538"/>
      <c r="F234" s="544"/>
      <c r="G234" s="544"/>
    </row>
    <row r="235" spans="2:43" ht="16.5" customHeight="1" x14ac:dyDescent="0.2">
      <c r="B235" s="95" t="s">
        <v>102</v>
      </c>
      <c r="C235" s="103" t="s">
        <v>166</v>
      </c>
      <c r="D235" s="103" t="s">
        <v>167</v>
      </c>
      <c r="E235" s="103" t="s">
        <v>168</v>
      </c>
      <c r="F235" s="104" t="s">
        <v>165</v>
      </c>
      <c r="G235" s="104" t="s">
        <v>169</v>
      </c>
    </row>
    <row r="236" spans="2:43" x14ac:dyDescent="0.2">
      <c r="B236" s="47" t="s">
        <v>124</v>
      </c>
      <c r="C236" s="101">
        <v>0.03</v>
      </c>
      <c r="D236" s="101">
        <v>8.73</v>
      </c>
      <c r="E236" s="101">
        <v>0.02</v>
      </c>
      <c r="F236" s="84">
        <v>10.050000000000001</v>
      </c>
      <c r="G236" s="84">
        <v>1.1060000000000001</v>
      </c>
    </row>
    <row r="237" spans="2:43" x14ac:dyDescent="0.2">
      <c r="B237" s="100" t="s">
        <v>125</v>
      </c>
      <c r="C237" s="101">
        <v>1.1000000000000001</v>
      </c>
      <c r="D237" s="101">
        <v>12.96</v>
      </c>
      <c r="E237" s="101">
        <v>0.02</v>
      </c>
      <c r="F237" s="84">
        <v>0.7</v>
      </c>
      <c r="G237" s="84">
        <v>6.5000000000000002E-2</v>
      </c>
    </row>
    <row r="238" spans="2:43" x14ac:dyDescent="0.2">
      <c r="B238" s="47" t="s">
        <v>170</v>
      </c>
      <c r="C238" s="101">
        <v>1.52</v>
      </c>
      <c r="D238" s="101">
        <v>14.91</v>
      </c>
      <c r="E238" s="101">
        <v>0.02</v>
      </c>
      <c r="F238" s="84">
        <v>1.54</v>
      </c>
      <c r="G238" s="84">
        <v>3.7999999999999999E-2</v>
      </c>
    </row>
    <row r="239" spans="2:43" x14ac:dyDescent="0.2">
      <c r="B239" s="100" t="s">
        <v>171</v>
      </c>
      <c r="C239" s="101">
        <v>0.94</v>
      </c>
      <c r="D239" s="101">
        <v>33.369999999999997</v>
      </c>
      <c r="E239" s="101">
        <v>0.02</v>
      </c>
      <c r="F239" s="84">
        <v>1.92</v>
      </c>
      <c r="G239" s="84">
        <v>1.2999999999999999E-2</v>
      </c>
    </row>
    <row r="240" spans="2:43" x14ac:dyDescent="0.2">
      <c r="B240" s="47" t="s">
        <v>172</v>
      </c>
      <c r="C240" s="101">
        <v>0.94</v>
      </c>
      <c r="D240" s="101">
        <v>33.369999999999997</v>
      </c>
      <c r="E240" s="101">
        <v>0.02</v>
      </c>
      <c r="F240" s="84">
        <v>1.92</v>
      </c>
      <c r="G240" s="84">
        <v>1.2999999999999999E-2</v>
      </c>
    </row>
    <row r="241" spans="2:43" x14ac:dyDescent="0.2">
      <c r="B241" s="47" t="s">
        <v>173</v>
      </c>
      <c r="C241" s="101">
        <v>0.94</v>
      </c>
      <c r="D241" s="101">
        <v>33.369999999999997</v>
      </c>
      <c r="E241" s="101">
        <v>0.02</v>
      </c>
      <c r="F241" s="84">
        <v>1.92</v>
      </c>
      <c r="G241" s="84">
        <v>1.2999999999999999E-2</v>
      </c>
    </row>
    <row r="242" spans="2:43" x14ac:dyDescent="0.2">
      <c r="B242" s="1" t="s">
        <v>174</v>
      </c>
    </row>
    <row r="244" spans="2:43" ht="16.5" customHeight="1" x14ac:dyDescent="0.2">
      <c r="B244" s="535" t="s">
        <v>185</v>
      </c>
      <c r="C244" s="536"/>
      <c r="D244" s="536"/>
      <c r="E244" s="536"/>
      <c r="F244"/>
      <c r="G244"/>
    </row>
    <row r="245" spans="2:43" ht="16.5" customHeight="1" x14ac:dyDescent="0.2">
      <c r="B245" s="95" t="s">
        <v>102</v>
      </c>
      <c r="C245" s="103" t="s">
        <v>186</v>
      </c>
      <c r="D245" s="103" t="s">
        <v>187</v>
      </c>
      <c r="E245" s="103" t="s">
        <v>188</v>
      </c>
      <c r="F245" s="109"/>
      <c r="G245" s="109"/>
    </row>
    <row r="246" spans="2:43" x14ac:dyDescent="0.2">
      <c r="B246" s="47" t="s">
        <v>124</v>
      </c>
      <c r="C246" s="111">
        <v>3180</v>
      </c>
      <c r="D246" s="112">
        <v>1.0900000000000001</v>
      </c>
      <c r="E246" s="101">
        <v>0.20599999999999999</v>
      </c>
      <c r="F246" s="108"/>
      <c r="G246" s="108"/>
    </row>
    <row r="247" spans="2:43" x14ac:dyDescent="0.2">
      <c r="B247" s="100" t="s">
        <v>125</v>
      </c>
      <c r="C247" s="111">
        <v>3140</v>
      </c>
      <c r="D247" s="112">
        <v>0.23</v>
      </c>
      <c r="E247" s="101">
        <v>8.6999999999999994E-2</v>
      </c>
      <c r="F247" s="108"/>
      <c r="G247" s="108"/>
    </row>
    <row r="248" spans="2:43" x14ac:dyDescent="0.2">
      <c r="B248" s="47" t="s">
        <v>170</v>
      </c>
      <c r="C248" s="111">
        <v>3140</v>
      </c>
      <c r="D248" s="112">
        <v>0.16</v>
      </c>
      <c r="E248" s="101">
        <v>5.6000000000000001E-2</v>
      </c>
      <c r="F248" s="108"/>
      <c r="G248" s="108"/>
    </row>
    <row r="249" spans="2:43" x14ac:dyDescent="0.2">
      <c r="B249" s="100" t="s">
        <v>171</v>
      </c>
      <c r="C249" s="111">
        <v>3140</v>
      </c>
      <c r="D249" s="112">
        <v>0.27</v>
      </c>
      <c r="E249" s="101">
        <v>5.0999999999999997E-2</v>
      </c>
      <c r="F249" s="108"/>
      <c r="G249" s="108"/>
    </row>
    <row r="250" spans="2:43" x14ac:dyDescent="0.2">
      <c r="B250" s="47" t="s">
        <v>172</v>
      </c>
      <c r="C250" s="111">
        <v>3140</v>
      </c>
      <c r="D250" s="112">
        <v>0.27</v>
      </c>
      <c r="E250" s="101">
        <v>5.0999999999999997E-2</v>
      </c>
      <c r="F250" s="108"/>
      <c r="G250" s="108"/>
    </row>
    <row r="251" spans="2:43" x14ac:dyDescent="0.2">
      <c r="B251" s="47" t="s">
        <v>173</v>
      </c>
      <c r="C251" s="111">
        <v>3140</v>
      </c>
      <c r="D251" s="112">
        <v>0.27</v>
      </c>
      <c r="E251" s="101">
        <v>5.0999999999999997E-2</v>
      </c>
      <c r="F251" s="108"/>
      <c r="G251" s="108"/>
    </row>
    <row r="252" spans="2:43" x14ac:dyDescent="0.2">
      <c r="B252" s="113" t="s">
        <v>189</v>
      </c>
      <c r="C252" s="107"/>
      <c r="D252" s="107"/>
      <c r="E252" s="107"/>
      <c r="F252" s="108"/>
      <c r="G252" s="108"/>
    </row>
    <row r="254" spans="2:43" ht="22.5" x14ac:dyDescent="0.2">
      <c r="B254" s="147" t="s">
        <v>194</v>
      </c>
      <c r="C254" s="69">
        <v>2021</v>
      </c>
      <c r="D254" s="69">
        <v>2022</v>
      </c>
      <c r="E254" s="69">
        <v>2023</v>
      </c>
      <c r="F254" s="69">
        <v>2024</v>
      </c>
      <c r="G254" s="69">
        <v>2025</v>
      </c>
      <c r="H254" s="69">
        <v>2026</v>
      </c>
      <c r="I254" s="69">
        <v>2027</v>
      </c>
      <c r="J254" s="69">
        <v>2028</v>
      </c>
      <c r="K254" s="69">
        <v>2029</v>
      </c>
      <c r="L254" s="69">
        <v>2030</v>
      </c>
      <c r="M254" s="69">
        <v>2031</v>
      </c>
      <c r="N254" s="69">
        <v>2032</v>
      </c>
      <c r="O254" s="69">
        <v>2033</v>
      </c>
      <c r="P254" s="69">
        <v>2034</v>
      </c>
      <c r="Q254" s="69">
        <v>2035</v>
      </c>
      <c r="R254" s="69">
        <v>2036</v>
      </c>
      <c r="S254" s="69">
        <v>2037</v>
      </c>
      <c r="T254" s="69">
        <v>2038</v>
      </c>
      <c r="U254" s="69">
        <v>2039</v>
      </c>
      <c r="V254" s="69">
        <v>2040</v>
      </c>
      <c r="W254" s="69">
        <v>2041</v>
      </c>
      <c r="X254" s="69">
        <v>2042</v>
      </c>
      <c r="Y254" s="69">
        <v>2043</v>
      </c>
      <c r="Z254" s="69">
        <v>2044</v>
      </c>
      <c r="AA254" s="69">
        <v>2045</v>
      </c>
      <c r="AB254" s="69">
        <v>2046</v>
      </c>
      <c r="AC254" s="69">
        <v>2047</v>
      </c>
      <c r="AD254" s="69">
        <v>2048</v>
      </c>
      <c r="AE254" s="69">
        <v>2049</v>
      </c>
      <c r="AF254" s="69">
        <v>2050</v>
      </c>
      <c r="AG254" s="69">
        <v>2051</v>
      </c>
      <c r="AH254" s="69">
        <v>2052</v>
      </c>
      <c r="AI254" s="69">
        <v>2053</v>
      </c>
      <c r="AJ254" s="69">
        <v>2054</v>
      </c>
      <c r="AK254" s="69">
        <v>2055</v>
      </c>
      <c r="AL254" s="69">
        <v>2056</v>
      </c>
      <c r="AM254" s="69">
        <v>2057</v>
      </c>
      <c r="AN254" s="69">
        <v>2058</v>
      </c>
      <c r="AO254" s="69">
        <v>2059</v>
      </c>
      <c r="AP254" s="69">
        <v>2060</v>
      </c>
      <c r="AQ254" s="70"/>
    </row>
    <row r="255" spans="2:43" x14ac:dyDescent="0.2">
      <c r="B255" s="46" t="s">
        <v>195</v>
      </c>
      <c r="C255" s="114">
        <f>1.4*0.01</f>
        <v>1.3999999999999999E-2</v>
      </c>
      <c r="D255" s="114">
        <f>ROUND(C255*(1+(0.7*D42)),5)</f>
        <v>1.417E-2</v>
      </c>
      <c r="E255" s="114">
        <f t="shared" ref="E255:AP255" si="89">ROUND(D255*(1+(0.7*E42)),5)</f>
        <v>1.43E-2</v>
      </c>
      <c r="F255" s="114">
        <f t="shared" si="89"/>
        <v>1.448E-2</v>
      </c>
      <c r="G255" s="114">
        <f t="shared" si="89"/>
        <v>1.4749999999999999E-2</v>
      </c>
      <c r="H255" s="114">
        <f t="shared" si="89"/>
        <v>1.495E-2</v>
      </c>
      <c r="I255" s="114">
        <f t="shared" si="89"/>
        <v>1.5129999999999999E-2</v>
      </c>
      <c r="J255" s="114">
        <f t="shared" si="89"/>
        <v>1.5310000000000001E-2</v>
      </c>
      <c r="K255" s="114">
        <f t="shared" si="89"/>
        <v>1.549E-2</v>
      </c>
      <c r="L255" s="114">
        <f t="shared" si="89"/>
        <v>1.567E-2</v>
      </c>
      <c r="M255" s="114">
        <f t="shared" si="89"/>
        <v>1.5800000000000002E-2</v>
      </c>
      <c r="N255" s="114">
        <f t="shared" si="89"/>
        <v>1.593E-2</v>
      </c>
      <c r="O255" s="114">
        <f t="shared" si="89"/>
        <v>1.6060000000000001E-2</v>
      </c>
      <c r="P255" s="114">
        <f t="shared" si="89"/>
        <v>1.619E-2</v>
      </c>
      <c r="Q255" s="114">
        <f t="shared" si="89"/>
        <v>1.6330000000000001E-2</v>
      </c>
      <c r="R255" s="114">
        <f t="shared" si="89"/>
        <v>1.6469999999999999E-2</v>
      </c>
      <c r="S255" s="114">
        <f t="shared" si="89"/>
        <v>1.661E-2</v>
      </c>
      <c r="T255" s="114">
        <f t="shared" si="89"/>
        <v>1.6750000000000001E-2</v>
      </c>
      <c r="U255" s="114">
        <f t="shared" si="89"/>
        <v>1.6889999999999999E-2</v>
      </c>
      <c r="V255" s="114">
        <f t="shared" si="89"/>
        <v>1.703E-2</v>
      </c>
      <c r="W255" s="114">
        <f t="shared" si="89"/>
        <v>1.7149999999999999E-2</v>
      </c>
      <c r="X255" s="114">
        <f t="shared" si="89"/>
        <v>1.7270000000000001E-2</v>
      </c>
      <c r="Y255" s="114">
        <f t="shared" si="89"/>
        <v>1.7389999999999999E-2</v>
      </c>
      <c r="Z255" s="114">
        <f t="shared" si="89"/>
        <v>1.7510000000000001E-2</v>
      </c>
      <c r="AA255" s="114">
        <f t="shared" si="89"/>
        <v>1.763E-2</v>
      </c>
      <c r="AB255" s="114">
        <f t="shared" si="89"/>
        <v>1.7749999999999998E-2</v>
      </c>
      <c r="AC255" s="114">
        <f t="shared" si="89"/>
        <v>1.787E-2</v>
      </c>
      <c r="AD255" s="114">
        <f t="shared" si="89"/>
        <v>1.7999999999999999E-2</v>
      </c>
      <c r="AE255" s="114">
        <f t="shared" si="89"/>
        <v>1.813E-2</v>
      </c>
      <c r="AF255" s="114">
        <f t="shared" si="89"/>
        <v>1.8259999999999998E-2</v>
      </c>
      <c r="AG255" s="114">
        <f t="shared" si="89"/>
        <v>1.8429999999999998E-2</v>
      </c>
      <c r="AH255" s="114">
        <f t="shared" si="89"/>
        <v>1.8599999999999998E-2</v>
      </c>
      <c r="AI255" s="114">
        <f t="shared" si="89"/>
        <v>1.8769999999999998E-2</v>
      </c>
      <c r="AJ255" s="114">
        <f t="shared" si="89"/>
        <v>1.8939999999999999E-2</v>
      </c>
      <c r="AK255" s="114">
        <f t="shared" si="89"/>
        <v>1.9109999999999999E-2</v>
      </c>
      <c r="AL255" s="114">
        <f t="shared" si="89"/>
        <v>1.9279999999999999E-2</v>
      </c>
      <c r="AM255" s="114">
        <f t="shared" si="89"/>
        <v>1.9460000000000002E-2</v>
      </c>
      <c r="AN255" s="114">
        <f t="shared" si="89"/>
        <v>1.9640000000000001E-2</v>
      </c>
      <c r="AO255" s="114">
        <f t="shared" si="89"/>
        <v>1.9820000000000001E-2</v>
      </c>
      <c r="AP255" s="114">
        <f t="shared" si="89"/>
        <v>0.02</v>
      </c>
      <c r="AQ255" s="116">
        <f>SUM(C255:AP255)</f>
        <v>0.68131999999999981</v>
      </c>
    </row>
    <row r="256" spans="2:43" x14ac:dyDescent="0.2">
      <c r="B256" s="46" t="s">
        <v>200</v>
      </c>
      <c r="C256" s="114">
        <f>0.09*0.01</f>
        <v>8.9999999999999998E-4</v>
      </c>
      <c r="D256" s="114">
        <f>ROUND(C256*(1+(0.7*D42)),5)</f>
        <v>9.1E-4</v>
      </c>
      <c r="E256" s="114">
        <f t="shared" ref="E256:AP256" si="90">ROUND(D256*(1+(0.7*E42)),5)</f>
        <v>9.2000000000000003E-4</v>
      </c>
      <c r="F256" s="114">
        <f t="shared" si="90"/>
        <v>9.3000000000000005E-4</v>
      </c>
      <c r="G256" s="114">
        <f t="shared" si="90"/>
        <v>9.5E-4</v>
      </c>
      <c r="H256" s="114">
        <f t="shared" si="90"/>
        <v>9.6000000000000002E-4</v>
      </c>
      <c r="I256" s="114">
        <f t="shared" si="90"/>
        <v>9.7000000000000005E-4</v>
      </c>
      <c r="J256" s="114">
        <f t="shared" si="90"/>
        <v>9.7999999999999997E-4</v>
      </c>
      <c r="K256" s="114">
        <f t="shared" si="90"/>
        <v>9.8999999999999999E-4</v>
      </c>
      <c r="L256" s="114">
        <f t="shared" si="90"/>
        <v>1E-3</v>
      </c>
      <c r="M256" s="114">
        <f t="shared" si="90"/>
        <v>1.01E-3</v>
      </c>
      <c r="N256" s="114">
        <f t="shared" si="90"/>
        <v>1.0200000000000001E-3</v>
      </c>
      <c r="O256" s="114">
        <f t="shared" si="90"/>
        <v>1.0300000000000001E-3</v>
      </c>
      <c r="P256" s="114">
        <f t="shared" si="90"/>
        <v>1.0399999999999999E-3</v>
      </c>
      <c r="Q256" s="114">
        <f t="shared" si="90"/>
        <v>1.0499999999999999E-3</v>
      </c>
      <c r="R256" s="114">
        <f t="shared" si="90"/>
        <v>1.06E-3</v>
      </c>
      <c r="S256" s="114">
        <f t="shared" si="90"/>
        <v>1.07E-3</v>
      </c>
      <c r="T256" s="114">
        <f t="shared" si="90"/>
        <v>1.08E-3</v>
      </c>
      <c r="U256" s="114">
        <f t="shared" si="90"/>
        <v>1.09E-3</v>
      </c>
      <c r="V256" s="114">
        <f t="shared" si="90"/>
        <v>1.1000000000000001E-3</v>
      </c>
      <c r="W256" s="114">
        <f t="shared" si="90"/>
        <v>1.1100000000000001E-3</v>
      </c>
      <c r="X256" s="114">
        <f t="shared" si="90"/>
        <v>1.1199999999999999E-3</v>
      </c>
      <c r="Y256" s="114">
        <f t="shared" si="90"/>
        <v>1.1299999999999999E-3</v>
      </c>
      <c r="Z256" s="114">
        <f t="shared" si="90"/>
        <v>1.14E-3</v>
      </c>
      <c r="AA256" s="114">
        <f t="shared" si="90"/>
        <v>1.15E-3</v>
      </c>
      <c r="AB256" s="114">
        <f t="shared" si="90"/>
        <v>1.16E-3</v>
      </c>
      <c r="AC256" s="114">
        <f t="shared" si="90"/>
        <v>1.17E-3</v>
      </c>
      <c r="AD256" s="114">
        <f t="shared" si="90"/>
        <v>1.1800000000000001E-3</v>
      </c>
      <c r="AE256" s="114">
        <f t="shared" si="90"/>
        <v>1.1900000000000001E-3</v>
      </c>
      <c r="AF256" s="114">
        <f t="shared" si="90"/>
        <v>1.1999999999999999E-3</v>
      </c>
      <c r="AG256" s="114">
        <f t="shared" si="90"/>
        <v>1.2099999999999999E-3</v>
      </c>
      <c r="AH256" s="114">
        <f t="shared" si="90"/>
        <v>1.2199999999999999E-3</v>
      </c>
      <c r="AI256" s="114">
        <f t="shared" si="90"/>
        <v>1.23E-3</v>
      </c>
      <c r="AJ256" s="114">
        <f t="shared" si="90"/>
        <v>1.24E-3</v>
      </c>
      <c r="AK256" s="114">
        <f t="shared" si="90"/>
        <v>1.25E-3</v>
      </c>
      <c r="AL256" s="114">
        <f t="shared" si="90"/>
        <v>1.2600000000000001E-3</v>
      </c>
      <c r="AM256" s="114">
        <f t="shared" si="90"/>
        <v>1.2700000000000001E-3</v>
      </c>
      <c r="AN256" s="114">
        <f t="shared" si="90"/>
        <v>1.2800000000000001E-3</v>
      </c>
      <c r="AO256" s="114">
        <f t="shared" si="90"/>
        <v>1.2899999999999999E-3</v>
      </c>
      <c r="AP256" s="114">
        <f t="shared" si="90"/>
        <v>1.2999999999999999E-3</v>
      </c>
      <c r="AQ256" s="116">
        <f t="shared" ref="AQ256:AQ269" si="91">SUM(C256:AP256)</f>
        <v>4.4160000000000012E-2</v>
      </c>
    </row>
    <row r="257" spans="2:43" x14ac:dyDescent="0.2">
      <c r="B257" s="46" t="s">
        <v>205</v>
      </c>
      <c r="C257" s="114">
        <f>0.01*0.01</f>
        <v>1E-4</v>
      </c>
      <c r="D257" s="114">
        <f>ROUND(C257*(1+(0.7*D42)),5)</f>
        <v>1E-4</v>
      </c>
      <c r="E257" s="114">
        <f t="shared" ref="E257:AP257" si="92">ROUND(D257*(1+(0.7*E42)),5)</f>
        <v>1E-4</v>
      </c>
      <c r="F257" s="114">
        <f t="shared" si="92"/>
        <v>1E-4</v>
      </c>
      <c r="G257" s="114">
        <f t="shared" si="92"/>
        <v>1E-4</v>
      </c>
      <c r="H257" s="114">
        <f t="shared" si="92"/>
        <v>1E-4</v>
      </c>
      <c r="I257" s="114">
        <f t="shared" si="92"/>
        <v>1E-4</v>
      </c>
      <c r="J257" s="114">
        <f t="shared" si="92"/>
        <v>1E-4</v>
      </c>
      <c r="K257" s="114">
        <f t="shared" si="92"/>
        <v>1E-4</v>
      </c>
      <c r="L257" s="114">
        <f t="shared" si="92"/>
        <v>1E-4</v>
      </c>
      <c r="M257" s="114">
        <f t="shared" si="92"/>
        <v>1E-4</v>
      </c>
      <c r="N257" s="114">
        <f t="shared" si="92"/>
        <v>1E-4</v>
      </c>
      <c r="O257" s="114">
        <f t="shared" si="92"/>
        <v>1E-4</v>
      </c>
      <c r="P257" s="114">
        <f t="shared" si="92"/>
        <v>1E-4</v>
      </c>
      <c r="Q257" s="114">
        <f t="shared" si="92"/>
        <v>1E-4</v>
      </c>
      <c r="R257" s="114">
        <f t="shared" si="92"/>
        <v>1E-4</v>
      </c>
      <c r="S257" s="114">
        <f t="shared" si="92"/>
        <v>1E-4</v>
      </c>
      <c r="T257" s="114">
        <f t="shared" si="92"/>
        <v>1E-4</v>
      </c>
      <c r="U257" s="114">
        <f t="shared" si="92"/>
        <v>1E-4</v>
      </c>
      <c r="V257" s="114">
        <f t="shared" si="92"/>
        <v>1E-4</v>
      </c>
      <c r="W257" s="114">
        <f t="shared" si="92"/>
        <v>1E-4</v>
      </c>
      <c r="X257" s="114">
        <f t="shared" si="92"/>
        <v>1E-4</v>
      </c>
      <c r="Y257" s="114">
        <f t="shared" si="92"/>
        <v>1E-4</v>
      </c>
      <c r="Z257" s="114">
        <f t="shared" si="92"/>
        <v>1E-4</v>
      </c>
      <c r="AA257" s="114">
        <f t="shared" si="92"/>
        <v>1E-4</v>
      </c>
      <c r="AB257" s="114">
        <f t="shared" si="92"/>
        <v>1E-4</v>
      </c>
      <c r="AC257" s="114">
        <f t="shared" si="92"/>
        <v>1E-4</v>
      </c>
      <c r="AD257" s="114">
        <f t="shared" si="92"/>
        <v>1E-4</v>
      </c>
      <c r="AE257" s="114">
        <f t="shared" si="92"/>
        <v>1E-4</v>
      </c>
      <c r="AF257" s="114">
        <f t="shared" si="92"/>
        <v>1E-4</v>
      </c>
      <c r="AG257" s="114">
        <f t="shared" si="92"/>
        <v>1E-4</v>
      </c>
      <c r="AH257" s="114">
        <f t="shared" si="92"/>
        <v>1E-4</v>
      </c>
      <c r="AI257" s="114">
        <f t="shared" si="92"/>
        <v>1E-4</v>
      </c>
      <c r="AJ257" s="114">
        <f t="shared" si="92"/>
        <v>1E-4</v>
      </c>
      <c r="AK257" s="114">
        <f t="shared" si="92"/>
        <v>1E-4</v>
      </c>
      <c r="AL257" s="114">
        <f t="shared" si="92"/>
        <v>1E-4</v>
      </c>
      <c r="AM257" s="114">
        <f t="shared" si="92"/>
        <v>1E-4</v>
      </c>
      <c r="AN257" s="114">
        <f t="shared" si="92"/>
        <v>1E-4</v>
      </c>
      <c r="AO257" s="114">
        <f t="shared" si="92"/>
        <v>1E-4</v>
      </c>
      <c r="AP257" s="114">
        <f t="shared" si="92"/>
        <v>1E-4</v>
      </c>
      <c r="AQ257" s="116">
        <f t="shared" si="91"/>
        <v>3.9999999999999975E-3</v>
      </c>
    </row>
    <row r="258" spans="2:43" x14ac:dyDescent="0.2">
      <c r="B258" s="46" t="s">
        <v>196</v>
      </c>
      <c r="C258" s="114">
        <f>2.95*0.01</f>
        <v>2.9500000000000002E-2</v>
      </c>
      <c r="D258" s="114">
        <f>ROUND(C258*(1+(0.7*D42)),5)</f>
        <v>2.9860000000000001E-2</v>
      </c>
      <c r="E258" s="114">
        <f t="shared" ref="E258:AP258" si="93">ROUND(D258*(1+(0.7*E42)),5)</f>
        <v>3.0120000000000001E-2</v>
      </c>
      <c r="F258" s="114">
        <f t="shared" si="93"/>
        <v>3.049E-2</v>
      </c>
      <c r="G258" s="114">
        <f t="shared" si="93"/>
        <v>3.1060000000000001E-2</v>
      </c>
      <c r="H258" s="114">
        <f t="shared" si="93"/>
        <v>3.1469999999999998E-2</v>
      </c>
      <c r="I258" s="114">
        <f t="shared" si="93"/>
        <v>3.184E-2</v>
      </c>
      <c r="J258" s="114">
        <f t="shared" si="93"/>
        <v>3.2219999999999999E-2</v>
      </c>
      <c r="K258" s="114">
        <f t="shared" si="93"/>
        <v>3.2599999999999997E-2</v>
      </c>
      <c r="L258" s="114">
        <f t="shared" si="93"/>
        <v>3.2989999999999998E-2</v>
      </c>
      <c r="M258" s="114">
        <f t="shared" si="93"/>
        <v>3.3270000000000001E-2</v>
      </c>
      <c r="N258" s="114">
        <f t="shared" si="93"/>
        <v>3.3550000000000003E-2</v>
      </c>
      <c r="O258" s="114">
        <f t="shared" si="93"/>
        <v>3.3829999999999999E-2</v>
      </c>
      <c r="P258" s="114">
        <f t="shared" si="93"/>
        <v>3.4110000000000001E-2</v>
      </c>
      <c r="Q258" s="114">
        <f t="shared" si="93"/>
        <v>3.44E-2</v>
      </c>
      <c r="R258" s="114">
        <f t="shared" si="93"/>
        <v>3.4689999999999999E-2</v>
      </c>
      <c r="S258" s="114">
        <f t="shared" si="93"/>
        <v>3.4979999999999997E-2</v>
      </c>
      <c r="T258" s="114">
        <f t="shared" si="93"/>
        <v>3.5270000000000003E-2</v>
      </c>
      <c r="U258" s="114">
        <f t="shared" si="93"/>
        <v>3.5569999999999997E-2</v>
      </c>
      <c r="V258" s="114">
        <f t="shared" si="93"/>
        <v>3.5869999999999999E-2</v>
      </c>
      <c r="W258" s="114">
        <f t="shared" si="93"/>
        <v>3.6119999999999999E-2</v>
      </c>
      <c r="X258" s="114">
        <f t="shared" si="93"/>
        <v>3.637E-2</v>
      </c>
      <c r="Y258" s="114">
        <f t="shared" si="93"/>
        <v>3.662E-2</v>
      </c>
      <c r="Z258" s="114">
        <f t="shared" si="93"/>
        <v>3.6880000000000003E-2</v>
      </c>
      <c r="AA258" s="114">
        <f t="shared" si="93"/>
        <v>3.7139999999999999E-2</v>
      </c>
      <c r="AB258" s="114">
        <f t="shared" si="93"/>
        <v>3.7400000000000003E-2</v>
      </c>
      <c r="AC258" s="114">
        <f t="shared" si="93"/>
        <v>3.7659999999999999E-2</v>
      </c>
      <c r="AD258" s="114">
        <f t="shared" si="93"/>
        <v>3.7920000000000002E-2</v>
      </c>
      <c r="AE258" s="114">
        <f t="shared" si="93"/>
        <v>3.8190000000000002E-2</v>
      </c>
      <c r="AF258" s="114">
        <f t="shared" si="93"/>
        <v>3.8460000000000001E-2</v>
      </c>
      <c r="AG258" s="114">
        <f t="shared" si="93"/>
        <v>3.8809999999999997E-2</v>
      </c>
      <c r="AH258" s="114">
        <f t="shared" si="93"/>
        <v>3.916E-2</v>
      </c>
      <c r="AI258" s="114">
        <f t="shared" si="93"/>
        <v>3.952E-2</v>
      </c>
      <c r="AJ258" s="114">
        <f t="shared" si="93"/>
        <v>3.9879999999999999E-2</v>
      </c>
      <c r="AK258" s="114">
        <f t="shared" si="93"/>
        <v>4.0239999999999998E-2</v>
      </c>
      <c r="AL258" s="114">
        <f t="shared" si="93"/>
        <v>4.061E-2</v>
      </c>
      <c r="AM258" s="114">
        <f t="shared" si="93"/>
        <v>4.0980000000000003E-2</v>
      </c>
      <c r="AN258" s="114">
        <f t="shared" si="93"/>
        <v>4.1349999999999998E-2</v>
      </c>
      <c r="AO258" s="114">
        <f t="shared" si="93"/>
        <v>4.1730000000000003E-2</v>
      </c>
      <c r="AP258" s="114">
        <f t="shared" si="93"/>
        <v>4.2110000000000002E-2</v>
      </c>
      <c r="AQ258" s="116">
        <f t="shared" si="91"/>
        <v>1.4348400000000001</v>
      </c>
    </row>
    <row r="259" spans="2:43" x14ac:dyDescent="0.2">
      <c r="B259" s="46" t="s">
        <v>201</v>
      </c>
      <c r="C259" s="114">
        <f>0.18*0.01</f>
        <v>1.8E-3</v>
      </c>
      <c r="D259" s="114">
        <f>ROUND(C259*(1+(0.7*D42)),5)</f>
        <v>1.82E-3</v>
      </c>
      <c r="E259" s="114">
        <f t="shared" ref="E259:AP259" si="94">ROUND(D259*(1+(0.7*E42)),5)</f>
        <v>1.8400000000000001E-3</v>
      </c>
      <c r="F259" s="114">
        <f t="shared" si="94"/>
        <v>1.8600000000000001E-3</v>
      </c>
      <c r="G259" s="114">
        <f t="shared" si="94"/>
        <v>1.89E-3</v>
      </c>
      <c r="H259" s="114">
        <f t="shared" si="94"/>
        <v>1.92E-3</v>
      </c>
      <c r="I259" s="114">
        <f t="shared" si="94"/>
        <v>1.9400000000000001E-3</v>
      </c>
      <c r="J259" s="114">
        <f t="shared" si="94"/>
        <v>1.9599999999999999E-3</v>
      </c>
      <c r="K259" s="114">
        <f t="shared" si="94"/>
        <v>1.98E-3</v>
      </c>
      <c r="L259" s="114">
        <f t="shared" si="94"/>
        <v>2E-3</v>
      </c>
      <c r="M259" s="114">
        <f t="shared" si="94"/>
        <v>2.0200000000000001E-3</v>
      </c>
      <c r="N259" s="114">
        <f t="shared" si="94"/>
        <v>2.0400000000000001E-3</v>
      </c>
      <c r="O259" s="114">
        <f t="shared" si="94"/>
        <v>2.0600000000000002E-3</v>
      </c>
      <c r="P259" s="114">
        <f t="shared" si="94"/>
        <v>2.0799999999999998E-3</v>
      </c>
      <c r="Q259" s="114">
        <f t="shared" si="94"/>
        <v>2.0999999999999999E-3</v>
      </c>
      <c r="R259" s="114">
        <f t="shared" si="94"/>
        <v>2.1199999999999999E-3</v>
      </c>
      <c r="S259" s="114">
        <f t="shared" si="94"/>
        <v>2.14E-3</v>
      </c>
      <c r="T259" s="114">
        <f t="shared" si="94"/>
        <v>2.16E-3</v>
      </c>
      <c r="U259" s="114">
        <f t="shared" si="94"/>
        <v>2.1800000000000001E-3</v>
      </c>
      <c r="V259" s="114">
        <f t="shared" si="94"/>
        <v>2.2000000000000001E-3</v>
      </c>
      <c r="W259" s="114">
        <f t="shared" si="94"/>
        <v>2.2200000000000002E-3</v>
      </c>
      <c r="X259" s="114">
        <f t="shared" si="94"/>
        <v>2.2399999999999998E-3</v>
      </c>
      <c r="Y259" s="114">
        <f t="shared" si="94"/>
        <v>2.2599999999999999E-3</v>
      </c>
      <c r="Z259" s="114">
        <f t="shared" si="94"/>
        <v>2.2799999999999999E-3</v>
      </c>
      <c r="AA259" s="114">
        <f t="shared" si="94"/>
        <v>2.3E-3</v>
      </c>
      <c r="AB259" s="114">
        <f t="shared" si="94"/>
        <v>2.32E-3</v>
      </c>
      <c r="AC259" s="114">
        <f t="shared" si="94"/>
        <v>2.3400000000000001E-3</v>
      </c>
      <c r="AD259" s="114">
        <f t="shared" si="94"/>
        <v>2.3600000000000001E-3</v>
      </c>
      <c r="AE259" s="114">
        <f t="shared" si="94"/>
        <v>2.3800000000000002E-3</v>
      </c>
      <c r="AF259" s="114">
        <f t="shared" si="94"/>
        <v>2.3999999999999998E-3</v>
      </c>
      <c r="AG259" s="114">
        <f t="shared" si="94"/>
        <v>2.4199999999999998E-3</v>
      </c>
      <c r="AH259" s="114">
        <f t="shared" si="94"/>
        <v>2.4399999999999999E-3</v>
      </c>
      <c r="AI259" s="114">
        <f t="shared" si="94"/>
        <v>2.4599999999999999E-3</v>
      </c>
      <c r="AJ259" s="114">
        <f t="shared" si="94"/>
        <v>2.48E-3</v>
      </c>
      <c r="AK259" s="114">
        <f t="shared" si="94"/>
        <v>2.5000000000000001E-3</v>
      </c>
      <c r="AL259" s="114">
        <f t="shared" si="94"/>
        <v>2.5200000000000001E-3</v>
      </c>
      <c r="AM259" s="114">
        <f t="shared" si="94"/>
        <v>2.5400000000000002E-3</v>
      </c>
      <c r="AN259" s="114">
        <f t="shared" si="94"/>
        <v>2.5600000000000002E-3</v>
      </c>
      <c r="AO259" s="114">
        <f t="shared" si="94"/>
        <v>2.5799999999999998E-3</v>
      </c>
      <c r="AP259" s="114">
        <f t="shared" si="94"/>
        <v>2.5999999999999999E-3</v>
      </c>
      <c r="AQ259" s="116">
        <f t="shared" si="91"/>
        <v>8.8310000000000013E-2</v>
      </c>
    </row>
    <row r="260" spans="2:43" x14ac:dyDescent="0.2">
      <c r="B260" s="46" t="s">
        <v>206</v>
      </c>
      <c r="C260" s="114">
        <f>0.02*0.01</f>
        <v>2.0000000000000001E-4</v>
      </c>
      <c r="D260" s="114">
        <f>ROUND(C260*(1+(0.7*D42)),5)</f>
        <v>2.0000000000000001E-4</v>
      </c>
      <c r="E260" s="114">
        <f t="shared" ref="E260:AP260" si="95">ROUND(D260*(1+(0.7*E42)),5)</f>
        <v>2.0000000000000001E-4</v>
      </c>
      <c r="F260" s="114">
        <f t="shared" si="95"/>
        <v>2.0000000000000001E-4</v>
      </c>
      <c r="G260" s="114">
        <f t="shared" si="95"/>
        <v>2.0000000000000001E-4</v>
      </c>
      <c r="H260" s="114">
        <f t="shared" si="95"/>
        <v>2.0000000000000001E-4</v>
      </c>
      <c r="I260" s="114">
        <f t="shared" si="95"/>
        <v>2.0000000000000001E-4</v>
      </c>
      <c r="J260" s="114">
        <f t="shared" si="95"/>
        <v>2.0000000000000001E-4</v>
      </c>
      <c r="K260" s="114">
        <f t="shared" si="95"/>
        <v>2.0000000000000001E-4</v>
      </c>
      <c r="L260" s="114">
        <f t="shared" si="95"/>
        <v>2.0000000000000001E-4</v>
      </c>
      <c r="M260" s="114">
        <f t="shared" si="95"/>
        <v>2.0000000000000001E-4</v>
      </c>
      <c r="N260" s="114">
        <f t="shared" si="95"/>
        <v>2.0000000000000001E-4</v>
      </c>
      <c r="O260" s="114">
        <f t="shared" si="95"/>
        <v>2.0000000000000001E-4</v>
      </c>
      <c r="P260" s="114">
        <f t="shared" si="95"/>
        <v>2.0000000000000001E-4</v>
      </c>
      <c r="Q260" s="114">
        <f t="shared" si="95"/>
        <v>2.0000000000000001E-4</v>
      </c>
      <c r="R260" s="114">
        <f t="shared" si="95"/>
        <v>2.0000000000000001E-4</v>
      </c>
      <c r="S260" s="114">
        <f t="shared" si="95"/>
        <v>2.0000000000000001E-4</v>
      </c>
      <c r="T260" s="114">
        <f t="shared" si="95"/>
        <v>2.0000000000000001E-4</v>
      </c>
      <c r="U260" s="114">
        <f t="shared" si="95"/>
        <v>2.0000000000000001E-4</v>
      </c>
      <c r="V260" s="114">
        <f t="shared" si="95"/>
        <v>2.0000000000000001E-4</v>
      </c>
      <c r="W260" s="114">
        <f t="shared" si="95"/>
        <v>2.0000000000000001E-4</v>
      </c>
      <c r="X260" s="114">
        <f t="shared" si="95"/>
        <v>2.0000000000000001E-4</v>
      </c>
      <c r="Y260" s="114">
        <f t="shared" si="95"/>
        <v>2.0000000000000001E-4</v>
      </c>
      <c r="Z260" s="114">
        <f t="shared" si="95"/>
        <v>2.0000000000000001E-4</v>
      </c>
      <c r="AA260" s="114">
        <f t="shared" si="95"/>
        <v>2.0000000000000001E-4</v>
      </c>
      <c r="AB260" s="114">
        <f t="shared" si="95"/>
        <v>2.0000000000000001E-4</v>
      </c>
      <c r="AC260" s="114">
        <f t="shared" si="95"/>
        <v>2.0000000000000001E-4</v>
      </c>
      <c r="AD260" s="114">
        <f t="shared" si="95"/>
        <v>2.0000000000000001E-4</v>
      </c>
      <c r="AE260" s="114">
        <f t="shared" si="95"/>
        <v>2.0000000000000001E-4</v>
      </c>
      <c r="AF260" s="114">
        <f t="shared" si="95"/>
        <v>2.0000000000000001E-4</v>
      </c>
      <c r="AG260" s="114">
        <f t="shared" si="95"/>
        <v>2.0000000000000001E-4</v>
      </c>
      <c r="AH260" s="114">
        <f t="shared" si="95"/>
        <v>2.0000000000000001E-4</v>
      </c>
      <c r="AI260" s="114">
        <f t="shared" si="95"/>
        <v>2.0000000000000001E-4</v>
      </c>
      <c r="AJ260" s="114">
        <f t="shared" si="95"/>
        <v>2.0000000000000001E-4</v>
      </c>
      <c r="AK260" s="114">
        <f t="shared" si="95"/>
        <v>2.0000000000000001E-4</v>
      </c>
      <c r="AL260" s="114">
        <f t="shared" si="95"/>
        <v>2.0000000000000001E-4</v>
      </c>
      <c r="AM260" s="114">
        <f t="shared" si="95"/>
        <v>2.0000000000000001E-4</v>
      </c>
      <c r="AN260" s="114">
        <f t="shared" si="95"/>
        <v>2.0000000000000001E-4</v>
      </c>
      <c r="AO260" s="114">
        <f t="shared" si="95"/>
        <v>2.0000000000000001E-4</v>
      </c>
      <c r="AP260" s="114">
        <f t="shared" si="95"/>
        <v>2.0000000000000001E-4</v>
      </c>
      <c r="AQ260" s="116">
        <f t="shared" si="91"/>
        <v>7.999999999999995E-3</v>
      </c>
    </row>
    <row r="261" spans="2:43" x14ac:dyDescent="0.2">
      <c r="B261" s="46" t="s">
        <v>197</v>
      </c>
      <c r="C261" s="114">
        <f>11.75*0.01</f>
        <v>0.11750000000000001</v>
      </c>
      <c r="D261" s="114">
        <f>ROUND(C261*(1+(0.7*D42)),5)</f>
        <v>0.11892</v>
      </c>
      <c r="E261" s="114">
        <f t="shared" ref="E261:AP261" si="96">ROUND(D261*(1+(0.7*E42)),5)</f>
        <v>0.11996999999999999</v>
      </c>
      <c r="F261" s="114">
        <f t="shared" si="96"/>
        <v>0.12145</v>
      </c>
      <c r="G261" s="114">
        <f t="shared" si="96"/>
        <v>0.12371</v>
      </c>
      <c r="H261" s="114">
        <f t="shared" si="96"/>
        <v>0.12536</v>
      </c>
      <c r="I261" s="114">
        <f t="shared" si="96"/>
        <v>0.12684999999999999</v>
      </c>
      <c r="J261" s="114">
        <f t="shared" si="96"/>
        <v>0.12836</v>
      </c>
      <c r="K261" s="114">
        <f t="shared" si="96"/>
        <v>0.12989000000000001</v>
      </c>
      <c r="L261" s="114">
        <f t="shared" si="96"/>
        <v>0.13144</v>
      </c>
      <c r="M261" s="114">
        <f t="shared" si="96"/>
        <v>0.13253999999999999</v>
      </c>
      <c r="N261" s="114">
        <f t="shared" si="96"/>
        <v>0.13364999999999999</v>
      </c>
      <c r="O261" s="114">
        <f t="shared" si="96"/>
        <v>0.13477</v>
      </c>
      <c r="P261" s="114">
        <f t="shared" si="96"/>
        <v>0.13589999999999999</v>
      </c>
      <c r="Q261" s="114">
        <f t="shared" si="96"/>
        <v>0.13704</v>
      </c>
      <c r="R261" s="114">
        <f t="shared" si="96"/>
        <v>0.13819000000000001</v>
      </c>
      <c r="S261" s="114">
        <f t="shared" si="96"/>
        <v>0.13935</v>
      </c>
      <c r="T261" s="114">
        <f t="shared" si="96"/>
        <v>0.14052000000000001</v>
      </c>
      <c r="U261" s="114">
        <f t="shared" si="96"/>
        <v>0.14169999999999999</v>
      </c>
      <c r="V261" s="114">
        <f t="shared" si="96"/>
        <v>0.14288999999999999</v>
      </c>
      <c r="W261" s="114">
        <f t="shared" si="96"/>
        <v>0.14388999999999999</v>
      </c>
      <c r="X261" s="114">
        <f t="shared" si="96"/>
        <v>0.1449</v>
      </c>
      <c r="Y261" s="114">
        <f t="shared" si="96"/>
        <v>0.14591000000000001</v>
      </c>
      <c r="Z261" s="114">
        <f t="shared" si="96"/>
        <v>0.14693000000000001</v>
      </c>
      <c r="AA261" s="114">
        <f t="shared" si="96"/>
        <v>0.14796000000000001</v>
      </c>
      <c r="AB261" s="114">
        <f t="shared" si="96"/>
        <v>0.14899999999999999</v>
      </c>
      <c r="AC261" s="114">
        <f t="shared" si="96"/>
        <v>0.15004000000000001</v>
      </c>
      <c r="AD261" s="114">
        <f t="shared" si="96"/>
        <v>0.15109</v>
      </c>
      <c r="AE261" s="114">
        <f t="shared" si="96"/>
        <v>0.15215000000000001</v>
      </c>
      <c r="AF261" s="114">
        <f t="shared" si="96"/>
        <v>0.15322</v>
      </c>
      <c r="AG261" s="114">
        <f t="shared" si="96"/>
        <v>0.15461</v>
      </c>
      <c r="AH261" s="114">
        <f t="shared" si="96"/>
        <v>0.15601999999999999</v>
      </c>
      <c r="AI261" s="114">
        <f t="shared" si="96"/>
        <v>0.15744</v>
      </c>
      <c r="AJ261" s="114">
        <f t="shared" si="96"/>
        <v>0.15887000000000001</v>
      </c>
      <c r="AK261" s="114">
        <f t="shared" si="96"/>
        <v>0.16031999999999999</v>
      </c>
      <c r="AL261" s="114">
        <f t="shared" si="96"/>
        <v>0.16178000000000001</v>
      </c>
      <c r="AM261" s="114">
        <f t="shared" si="96"/>
        <v>0.16325000000000001</v>
      </c>
      <c r="AN261" s="114">
        <f t="shared" si="96"/>
        <v>0.16474</v>
      </c>
      <c r="AO261" s="114">
        <f t="shared" si="96"/>
        <v>0.16624</v>
      </c>
      <c r="AP261" s="114">
        <f t="shared" si="96"/>
        <v>0.16775000000000001</v>
      </c>
      <c r="AQ261" s="116">
        <f t="shared" si="91"/>
        <v>5.7161099999999996</v>
      </c>
    </row>
    <row r="262" spans="2:43" x14ac:dyDescent="0.2">
      <c r="B262" s="46" t="s">
        <v>202</v>
      </c>
      <c r="C262" s="114">
        <f>0.73*0.01</f>
        <v>7.3000000000000001E-3</v>
      </c>
      <c r="D262" s="114">
        <f>ROUND(C262*(1+(0.7*D42)),5)</f>
        <v>7.3899999999999999E-3</v>
      </c>
      <c r="E262" s="114">
        <f t="shared" ref="E262:AP262" si="97">ROUND(D262*(1+(0.7*E42)),5)</f>
        <v>7.4599999999999996E-3</v>
      </c>
      <c r="F262" s="114">
        <f t="shared" si="97"/>
        <v>7.5500000000000003E-3</v>
      </c>
      <c r="G262" s="114">
        <f t="shared" si="97"/>
        <v>7.6899999999999998E-3</v>
      </c>
      <c r="H262" s="114">
        <f t="shared" si="97"/>
        <v>7.79E-3</v>
      </c>
      <c r="I262" s="114">
        <f t="shared" si="97"/>
        <v>7.8799999999999999E-3</v>
      </c>
      <c r="J262" s="114">
        <f t="shared" si="97"/>
        <v>7.9699999999999997E-3</v>
      </c>
      <c r="K262" s="114">
        <f t="shared" si="97"/>
        <v>8.0599999999999995E-3</v>
      </c>
      <c r="L262" s="114">
        <f t="shared" si="97"/>
        <v>8.1600000000000006E-3</v>
      </c>
      <c r="M262" s="114">
        <f t="shared" si="97"/>
        <v>8.2299999999999995E-3</v>
      </c>
      <c r="N262" s="114">
        <f t="shared" si="97"/>
        <v>8.3000000000000001E-3</v>
      </c>
      <c r="O262" s="114">
        <f t="shared" si="97"/>
        <v>8.3700000000000007E-3</v>
      </c>
      <c r="P262" s="114">
        <f t="shared" si="97"/>
        <v>8.4399999999999996E-3</v>
      </c>
      <c r="Q262" s="114">
        <f t="shared" si="97"/>
        <v>8.5100000000000002E-3</v>
      </c>
      <c r="R262" s="114">
        <f t="shared" si="97"/>
        <v>8.5800000000000008E-3</v>
      </c>
      <c r="S262" s="114">
        <f t="shared" si="97"/>
        <v>8.6499999999999997E-3</v>
      </c>
      <c r="T262" s="114">
        <f t="shared" si="97"/>
        <v>8.7200000000000003E-3</v>
      </c>
      <c r="U262" s="114">
        <f t="shared" si="97"/>
        <v>8.7899999999999992E-3</v>
      </c>
      <c r="V262" s="114">
        <f t="shared" si="97"/>
        <v>8.8599999999999998E-3</v>
      </c>
      <c r="W262" s="114">
        <f t="shared" si="97"/>
        <v>8.9200000000000008E-3</v>
      </c>
      <c r="X262" s="114">
        <f t="shared" si="97"/>
        <v>8.9800000000000001E-3</v>
      </c>
      <c r="Y262" s="114">
        <f t="shared" si="97"/>
        <v>9.0399999999999994E-3</v>
      </c>
      <c r="Z262" s="114">
        <f t="shared" si="97"/>
        <v>9.1000000000000004E-3</v>
      </c>
      <c r="AA262" s="114">
        <f t="shared" si="97"/>
        <v>9.1599999999999997E-3</v>
      </c>
      <c r="AB262" s="114">
        <f t="shared" si="97"/>
        <v>9.2200000000000008E-3</v>
      </c>
      <c r="AC262" s="114">
        <f t="shared" si="97"/>
        <v>9.2800000000000001E-3</v>
      </c>
      <c r="AD262" s="114">
        <f t="shared" si="97"/>
        <v>9.3399999999999993E-3</v>
      </c>
      <c r="AE262" s="114">
        <f t="shared" si="97"/>
        <v>9.41E-3</v>
      </c>
      <c r="AF262" s="114">
        <f t="shared" si="97"/>
        <v>9.4800000000000006E-3</v>
      </c>
      <c r="AG262" s="114">
        <f t="shared" si="97"/>
        <v>9.5700000000000004E-3</v>
      </c>
      <c r="AH262" s="114">
        <f t="shared" si="97"/>
        <v>9.6600000000000002E-3</v>
      </c>
      <c r="AI262" s="114">
        <f t="shared" si="97"/>
        <v>9.75E-3</v>
      </c>
      <c r="AJ262" s="114">
        <f t="shared" si="97"/>
        <v>9.8399999999999998E-3</v>
      </c>
      <c r="AK262" s="114">
        <f t="shared" si="97"/>
        <v>9.9299999999999996E-3</v>
      </c>
      <c r="AL262" s="114">
        <f t="shared" si="97"/>
        <v>1.0019999999999999E-2</v>
      </c>
      <c r="AM262" s="114">
        <f t="shared" si="97"/>
        <v>1.0109999999999999E-2</v>
      </c>
      <c r="AN262" s="114">
        <f t="shared" si="97"/>
        <v>1.0200000000000001E-2</v>
      </c>
      <c r="AO262" s="114">
        <f t="shared" si="97"/>
        <v>1.0290000000000001E-2</v>
      </c>
      <c r="AP262" s="114">
        <f t="shared" si="97"/>
        <v>1.038E-2</v>
      </c>
      <c r="AQ262" s="116">
        <f t="shared" si="91"/>
        <v>0.35438000000000003</v>
      </c>
    </row>
    <row r="263" spans="2:43" x14ac:dyDescent="0.2">
      <c r="B263" s="46" t="s">
        <v>207</v>
      </c>
      <c r="C263" s="114">
        <f>0.09*0.01</f>
        <v>8.9999999999999998E-4</v>
      </c>
      <c r="D263" s="114">
        <f>ROUND(C263*(1+(0.7*D42)),5)</f>
        <v>9.1E-4</v>
      </c>
      <c r="E263" s="114">
        <f t="shared" ref="E263:AP263" si="98">ROUND(D263*(1+(0.7*E42)),5)</f>
        <v>9.2000000000000003E-4</v>
      </c>
      <c r="F263" s="114">
        <f t="shared" si="98"/>
        <v>9.3000000000000005E-4</v>
      </c>
      <c r="G263" s="114">
        <f t="shared" si="98"/>
        <v>9.5E-4</v>
      </c>
      <c r="H263" s="114">
        <f t="shared" si="98"/>
        <v>9.6000000000000002E-4</v>
      </c>
      <c r="I263" s="114">
        <f t="shared" si="98"/>
        <v>9.7000000000000005E-4</v>
      </c>
      <c r="J263" s="114">
        <f t="shared" si="98"/>
        <v>9.7999999999999997E-4</v>
      </c>
      <c r="K263" s="114">
        <f t="shared" si="98"/>
        <v>9.8999999999999999E-4</v>
      </c>
      <c r="L263" s="114">
        <f t="shared" si="98"/>
        <v>1E-3</v>
      </c>
      <c r="M263" s="114">
        <f t="shared" si="98"/>
        <v>1.01E-3</v>
      </c>
      <c r="N263" s="114">
        <f t="shared" si="98"/>
        <v>1.0200000000000001E-3</v>
      </c>
      <c r="O263" s="114">
        <f t="shared" si="98"/>
        <v>1.0300000000000001E-3</v>
      </c>
      <c r="P263" s="114">
        <f t="shared" si="98"/>
        <v>1.0399999999999999E-3</v>
      </c>
      <c r="Q263" s="114">
        <f t="shared" si="98"/>
        <v>1.0499999999999999E-3</v>
      </c>
      <c r="R263" s="114">
        <f t="shared" si="98"/>
        <v>1.06E-3</v>
      </c>
      <c r="S263" s="114">
        <f t="shared" si="98"/>
        <v>1.07E-3</v>
      </c>
      <c r="T263" s="114">
        <f t="shared" si="98"/>
        <v>1.08E-3</v>
      </c>
      <c r="U263" s="114">
        <f t="shared" si="98"/>
        <v>1.09E-3</v>
      </c>
      <c r="V263" s="114">
        <f t="shared" si="98"/>
        <v>1.1000000000000001E-3</v>
      </c>
      <c r="W263" s="114">
        <f t="shared" si="98"/>
        <v>1.1100000000000001E-3</v>
      </c>
      <c r="X263" s="114">
        <f t="shared" si="98"/>
        <v>1.1199999999999999E-3</v>
      </c>
      <c r="Y263" s="114">
        <f t="shared" si="98"/>
        <v>1.1299999999999999E-3</v>
      </c>
      <c r="Z263" s="114">
        <f t="shared" si="98"/>
        <v>1.14E-3</v>
      </c>
      <c r="AA263" s="114">
        <f t="shared" si="98"/>
        <v>1.15E-3</v>
      </c>
      <c r="AB263" s="114">
        <f t="shared" si="98"/>
        <v>1.16E-3</v>
      </c>
      <c r="AC263" s="114">
        <f t="shared" si="98"/>
        <v>1.17E-3</v>
      </c>
      <c r="AD263" s="114">
        <f t="shared" si="98"/>
        <v>1.1800000000000001E-3</v>
      </c>
      <c r="AE263" s="114">
        <f t="shared" si="98"/>
        <v>1.1900000000000001E-3</v>
      </c>
      <c r="AF263" s="114">
        <f t="shared" si="98"/>
        <v>1.1999999999999999E-3</v>
      </c>
      <c r="AG263" s="114">
        <f t="shared" si="98"/>
        <v>1.2099999999999999E-3</v>
      </c>
      <c r="AH263" s="114">
        <f t="shared" si="98"/>
        <v>1.2199999999999999E-3</v>
      </c>
      <c r="AI263" s="114">
        <f t="shared" si="98"/>
        <v>1.23E-3</v>
      </c>
      <c r="AJ263" s="114">
        <f t="shared" si="98"/>
        <v>1.24E-3</v>
      </c>
      <c r="AK263" s="114">
        <f t="shared" si="98"/>
        <v>1.25E-3</v>
      </c>
      <c r="AL263" s="114">
        <f t="shared" si="98"/>
        <v>1.2600000000000001E-3</v>
      </c>
      <c r="AM263" s="114">
        <f t="shared" si="98"/>
        <v>1.2700000000000001E-3</v>
      </c>
      <c r="AN263" s="114">
        <f t="shared" si="98"/>
        <v>1.2800000000000001E-3</v>
      </c>
      <c r="AO263" s="114">
        <f t="shared" si="98"/>
        <v>1.2899999999999999E-3</v>
      </c>
      <c r="AP263" s="114">
        <f t="shared" si="98"/>
        <v>1.2999999999999999E-3</v>
      </c>
      <c r="AQ263" s="116">
        <f t="shared" si="91"/>
        <v>4.4160000000000012E-2</v>
      </c>
    </row>
    <row r="264" spans="2:43" x14ac:dyDescent="0.2">
      <c r="B264" s="46" t="s">
        <v>198</v>
      </c>
      <c r="C264" s="114">
        <f>16.46*0.01</f>
        <v>0.16460000000000002</v>
      </c>
      <c r="D264" s="114">
        <f>ROUND(C264*(1+(0.7*D42)),5)</f>
        <v>0.16658999999999999</v>
      </c>
      <c r="E264" s="114">
        <f t="shared" ref="E264:AP264" si="99">ROUND(D264*(1+(0.7*E42)),5)</f>
        <v>0.16807</v>
      </c>
      <c r="F264" s="114">
        <f t="shared" si="99"/>
        <v>0.17014000000000001</v>
      </c>
      <c r="G264" s="114">
        <f t="shared" si="99"/>
        <v>0.17330000000000001</v>
      </c>
      <c r="H264" s="114">
        <f t="shared" si="99"/>
        <v>0.17560999999999999</v>
      </c>
      <c r="I264" s="114">
        <f t="shared" si="99"/>
        <v>0.1777</v>
      </c>
      <c r="J264" s="114">
        <f t="shared" si="99"/>
        <v>0.17981</v>
      </c>
      <c r="K264" s="114">
        <f t="shared" si="99"/>
        <v>0.18195</v>
      </c>
      <c r="L264" s="114">
        <f t="shared" si="99"/>
        <v>0.18412000000000001</v>
      </c>
      <c r="M264" s="114">
        <f t="shared" si="99"/>
        <v>0.18567</v>
      </c>
      <c r="N264" s="114">
        <f t="shared" si="99"/>
        <v>0.18723000000000001</v>
      </c>
      <c r="O264" s="114">
        <f t="shared" si="99"/>
        <v>0.1888</v>
      </c>
      <c r="P264" s="114">
        <f t="shared" si="99"/>
        <v>0.19039</v>
      </c>
      <c r="Q264" s="114">
        <f t="shared" si="99"/>
        <v>0.19198999999999999</v>
      </c>
      <c r="R264" s="114">
        <f t="shared" si="99"/>
        <v>0.19359999999999999</v>
      </c>
      <c r="S264" s="114">
        <f t="shared" si="99"/>
        <v>0.19522999999999999</v>
      </c>
      <c r="T264" s="114">
        <f t="shared" si="99"/>
        <v>0.19686999999999999</v>
      </c>
      <c r="U264" s="114">
        <f t="shared" si="99"/>
        <v>0.19852</v>
      </c>
      <c r="V264" s="114">
        <f t="shared" si="99"/>
        <v>0.20019000000000001</v>
      </c>
      <c r="W264" s="114">
        <f t="shared" si="99"/>
        <v>0.20158999999999999</v>
      </c>
      <c r="X264" s="114">
        <f t="shared" si="99"/>
        <v>0.20300000000000001</v>
      </c>
      <c r="Y264" s="114">
        <f t="shared" si="99"/>
        <v>0.20441999999999999</v>
      </c>
      <c r="Z264" s="114">
        <f t="shared" si="99"/>
        <v>0.20585000000000001</v>
      </c>
      <c r="AA264" s="114">
        <f t="shared" si="99"/>
        <v>0.20729</v>
      </c>
      <c r="AB264" s="114">
        <f t="shared" si="99"/>
        <v>0.20874000000000001</v>
      </c>
      <c r="AC264" s="114">
        <f t="shared" si="99"/>
        <v>0.2102</v>
      </c>
      <c r="AD264" s="114">
        <f t="shared" si="99"/>
        <v>0.21167</v>
      </c>
      <c r="AE264" s="114">
        <f t="shared" si="99"/>
        <v>0.21315000000000001</v>
      </c>
      <c r="AF264" s="114">
        <f t="shared" si="99"/>
        <v>0.21464</v>
      </c>
      <c r="AG264" s="114">
        <f t="shared" si="99"/>
        <v>0.21659</v>
      </c>
      <c r="AH264" s="114">
        <f t="shared" si="99"/>
        <v>0.21856</v>
      </c>
      <c r="AI264" s="114">
        <f t="shared" si="99"/>
        <v>0.22055</v>
      </c>
      <c r="AJ264" s="114">
        <f t="shared" si="99"/>
        <v>0.22256000000000001</v>
      </c>
      <c r="AK264" s="114">
        <f t="shared" si="99"/>
        <v>0.22459000000000001</v>
      </c>
      <c r="AL264" s="114">
        <f t="shared" si="99"/>
        <v>0.22663</v>
      </c>
      <c r="AM264" s="114">
        <f t="shared" si="99"/>
        <v>0.22869</v>
      </c>
      <c r="AN264" s="114">
        <f t="shared" si="99"/>
        <v>0.23077</v>
      </c>
      <c r="AO264" s="114">
        <f t="shared" si="99"/>
        <v>0.23286999999999999</v>
      </c>
      <c r="AP264" s="114">
        <f t="shared" si="99"/>
        <v>0.23499</v>
      </c>
      <c r="AQ264" s="116">
        <f t="shared" si="91"/>
        <v>8.0077300000000005</v>
      </c>
    </row>
    <row r="265" spans="2:43" x14ac:dyDescent="0.2">
      <c r="B265" s="46" t="s">
        <v>203</v>
      </c>
      <c r="C265" s="114">
        <f>1.02*0.01</f>
        <v>1.0200000000000001E-2</v>
      </c>
      <c r="D265" s="114">
        <f>ROUND(C265*(1+(0.7*D42)),5)</f>
        <v>1.0319999999999999E-2</v>
      </c>
      <c r="E265" s="114">
        <f t="shared" ref="E265:AP265" si="100">ROUND(D265*(1+(0.7*E42)),5)</f>
        <v>1.0410000000000001E-2</v>
      </c>
      <c r="F265" s="114">
        <f t="shared" si="100"/>
        <v>1.0540000000000001E-2</v>
      </c>
      <c r="G265" s="114">
        <f t="shared" si="100"/>
        <v>1.074E-2</v>
      </c>
      <c r="H265" s="114">
        <f t="shared" si="100"/>
        <v>1.0880000000000001E-2</v>
      </c>
      <c r="I265" s="114">
        <f t="shared" si="100"/>
        <v>1.1010000000000001E-2</v>
      </c>
      <c r="J265" s="114">
        <f t="shared" si="100"/>
        <v>1.1140000000000001E-2</v>
      </c>
      <c r="K265" s="114">
        <f t="shared" si="100"/>
        <v>1.1270000000000001E-2</v>
      </c>
      <c r="L265" s="114">
        <f t="shared" si="100"/>
        <v>1.14E-2</v>
      </c>
      <c r="M265" s="114">
        <f t="shared" si="100"/>
        <v>1.15E-2</v>
      </c>
      <c r="N265" s="114">
        <f t="shared" si="100"/>
        <v>1.1599999999999999E-2</v>
      </c>
      <c r="O265" s="114">
        <f t="shared" si="100"/>
        <v>1.17E-2</v>
      </c>
      <c r="P265" s="114">
        <f t="shared" si="100"/>
        <v>1.18E-2</v>
      </c>
      <c r="Q265" s="114">
        <f t="shared" si="100"/>
        <v>1.1900000000000001E-2</v>
      </c>
      <c r="R265" s="114">
        <f t="shared" si="100"/>
        <v>1.2E-2</v>
      </c>
      <c r="S265" s="114">
        <f t="shared" si="100"/>
        <v>1.21E-2</v>
      </c>
      <c r="T265" s="114">
        <f t="shared" si="100"/>
        <v>1.2200000000000001E-2</v>
      </c>
      <c r="U265" s="114">
        <f t="shared" si="100"/>
        <v>1.23E-2</v>
      </c>
      <c r="V265" s="114">
        <f t="shared" si="100"/>
        <v>1.24E-2</v>
      </c>
      <c r="W265" s="114">
        <f t="shared" si="100"/>
        <v>1.2489999999999999E-2</v>
      </c>
      <c r="X265" s="114">
        <f t="shared" si="100"/>
        <v>1.2579999999999999E-2</v>
      </c>
      <c r="Y265" s="114">
        <f t="shared" si="100"/>
        <v>1.2670000000000001E-2</v>
      </c>
      <c r="Z265" s="114">
        <f t="shared" si="100"/>
        <v>1.2760000000000001E-2</v>
      </c>
      <c r="AA265" s="114">
        <f t="shared" si="100"/>
        <v>1.285E-2</v>
      </c>
      <c r="AB265" s="114">
        <f t="shared" si="100"/>
        <v>1.294E-2</v>
      </c>
      <c r="AC265" s="114">
        <f t="shared" si="100"/>
        <v>1.303E-2</v>
      </c>
      <c r="AD265" s="114">
        <f t="shared" si="100"/>
        <v>1.312E-2</v>
      </c>
      <c r="AE265" s="114">
        <f t="shared" si="100"/>
        <v>1.321E-2</v>
      </c>
      <c r="AF265" s="114">
        <f t="shared" si="100"/>
        <v>1.3299999999999999E-2</v>
      </c>
      <c r="AG265" s="114">
        <f t="shared" si="100"/>
        <v>1.342E-2</v>
      </c>
      <c r="AH265" s="114">
        <f t="shared" si="100"/>
        <v>1.354E-2</v>
      </c>
      <c r="AI265" s="114">
        <f t="shared" si="100"/>
        <v>1.366E-2</v>
      </c>
      <c r="AJ265" s="114">
        <f t="shared" si="100"/>
        <v>1.3780000000000001E-2</v>
      </c>
      <c r="AK265" s="114">
        <f t="shared" si="100"/>
        <v>1.391E-2</v>
      </c>
      <c r="AL265" s="114">
        <f t="shared" si="100"/>
        <v>1.404E-2</v>
      </c>
      <c r="AM265" s="114">
        <f t="shared" si="100"/>
        <v>1.417E-2</v>
      </c>
      <c r="AN265" s="114">
        <f t="shared" si="100"/>
        <v>1.43E-2</v>
      </c>
      <c r="AO265" s="114">
        <f t="shared" si="100"/>
        <v>1.443E-2</v>
      </c>
      <c r="AP265" s="114">
        <f t="shared" si="100"/>
        <v>1.456E-2</v>
      </c>
      <c r="AQ265" s="116">
        <f t="shared" si="91"/>
        <v>0.49617</v>
      </c>
    </row>
    <row r="266" spans="2:43" x14ac:dyDescent="0.2">
      <c r="B266" s="46" t="s">
        <v>208</v>
      </c>
      <c r="C266" s="114">
        <f>0.13*0.01</f>
        <v>1.3000000000000002E-3</v>
      </c>
      <c r="D266" s="114">
        <f>ROUND(C266*(1+(0.7*D42)),5)</f>
        <v>1.32E-3</v>
      </c>
      <c r="E266" s="114">
        <f t="shared" ref="E266:AP266" si="101">ROUND(D266*(1+(0.7*E42)),5)</f>
        <v>1.33E-3</v>
      </c>
      <c r="F266" s="114">
        <f t="shared" si="101"/>
        <v>1.3500000000000001E-3</v>
      </c>
      <c r="G266" s="114">
        <f t="shared" si="101"/>
        <v>1.3799999999999999E-3</v>
      </c>
      <c r="H266" s="114">
        <f t="shared" si="101"/>
        <v>1.4E-3</v>
      </c>
      <c r="I266" s="114">
        <f t="shared" si="101"/>
        <v>1.42E-3</v>
      </c>
      <c r="J266" s="114">
        <f t="shared" si="101"/>
        <v>1.4400000000000001E-3</v>
      </c>
      <c r="K266" s="114">
        <f t="shared" si="101"/>
        <v>1.4599999999999999E-3</v>
      </c>
      <c r="L266" s="114">
        <f t="shared" si="101"/>
        <v>1.48E-3</v>
      </c>
      <c r="M266" s="114">
        <f t="shared" si="101"/>
        <v>1.49E-3</v>
      </c>
      <c r="N266" s="114">
        <f t="shared" si="101"/>
        <v>1.5E-3</v>
      </c>
      <c r="O266" s="114">
        <f t="shared" si="101"/>
        <v>1.5100000000000001E-3</v>
      </c>
      <c r="P266" s="114">
        <f t="shared" si="101"/>
        <v>1.5200000000000001E-3</v>
      </c>
      <c r="Q266" s="114">
        <f t="shared" si="101"/>
        <v>1.5299999999999999E-3</v>
      </c>
      <c r="R266" s="114">
        <f t="shared" si="101"/>
        <v>1.5399999999999999E-3</v>
      </c>
      <c r="S266" s="114">
        <f t="shared" si="101"/>
        <v>1.5499999999999999E-3</v>
      </c>
      <c r="T266" s="114">
        <f t="shared" si="101"/>
        <v>1.56E-3</v>
      </c>
      <c r="U266" s="114">
        <f t="shared" si="101"/>
        <v>1.57E-3</v>
      </c>
      <c r="V266" s="114">
        <f t="shared" si="101"/>
        <v>1.58E-3</v>
      </c>
      <c r="W266" s="114">
        <f t="shared" si="101"/>
        <v>1.5900000000000001E-3</v>
      </c>
      <c r="X266" s="114">
        <f t="shared" si="101"/>
        <v>1.6000000000000001E-3</v>
      </c>
      <c r="Y266" s="114">
        <f t="shared" si="101"/>
        <v>1.6100000000000001E-3</v>
      </c>
      <c r="Z266" s="114">
        <f t="shared" si="101"/>
        <v>1.6199999999999999E-3</v>
      </c>
      <c r="AA266" s="114">
        <f t="shared" si="101"/>
        <v>1.6299999999999999E-3</v>
      </c>
      <c r="AB266" s="114">
        <f t="shared" si="101"/>
        <v>1.64E-3</v>
      </c>
      <c r="AC266" s="114">
        <f t="shared" si="101"/>
        <v>1.65E-3</v>
      </c>
      <c r="AD266" s="114">
        <f t="shared" si="101"/>
        <v>1.66E-3</v>
      </c>
      <c r="AE266" s="114">
        <f t="shared" si="101"/>
        <v>1.67E-3</v>
      </c>
      <c r="AF266" s="114">
        <f t="shared" si="101"/>
        <v>1.6800000000000001E-3</v>
      </c>
      <c r="AG266" s="114">
        <f t="shared" si="101"/>
        <v>1.6999999999999999E-3</v>
      </c>
      <c r="AH266" s="114">
        <f t="shared" si="101"/>
        <v>1.72E-3</v>
      </c>
      <c r="AI266" s="114">
        <f t="shared" si="101"/>
        <v>1.74E-3</v>
      </c>
      <c r="AJ266" s="114">
        <f t="shared" si="101"/>
        <v>1.7600000000000001E-3</v>
      </c>
      <c r="AK266" s="114">
        <f t="shared" si="101"/>
        <v>1.7799999999999999E-3</v>
      </c>
      <c r="AL266" s="114">
        <f t="shared" si="101"/>
        <v>1.8E-3</v>
      </c>
      <c r="AM266" s="114">
        <f t="shared" si="101"/>
        <v>1.82E-3</v>
      </c>
      <c r="AN266" s="114">
        <f t="shared" si="101"/>
        <v>1.8400000000000001E-3</v>
      </c>
      <c r="AO266" s="114">
        <f t="shared" si="101"/>
        <v>1.8600000000000001E-3</v>
      </c>
      <c r="AP266" s="114">
        <f t="shared" si="101"/>
        <v>1.8799999999999999E-3</v>
      </c>
      <c r="AQ266" s="116">
        <f t="shared" si="91"/>
        <v>6.3480000000000009E-2</v>
      </c>
    </row>
    <row r="267" spans="2:43" x14ac:dyDescent="0.2">
      <c r="B267" s="46" t="s">
        <v>199</v>
      </c>
      <c r="C267" s="114">
        <f>12.61*0.01</f>
        <v>0.12609999999999999</v>
      </c>
      <c r="D267" s="114">
        <f>ROUND(C267*(1+(0.7*D42)),5)</f>
        <v>0.12762000000000001</v>
      </c>
      <c r="E267" s="114">
        <f t="shared" ref="E267:AP267" si="102">ROUND(D267*(1+(0.7*E42)),5)</f>
        <v>0.12875</v>
      </c>
      <c r="F267" s="114">
        <f t="shared" si="102"/>
        <v>0.13033</v>
      </c>
      <c r="G267" s="114">
        <f t="shared" si="102"/>
        <v>0.13275000000000001</v>
      </c>
      <c r="H267" s="114">
        <f t="shared" si="102"/>
        <v>0.13452</v>
      </c>
      <c r="I267" s="114">
        <f t="shared" si="102"/>
        <v>0.13611999999999999</v>
      </c>
      <c r="J267" s="114">
        <f t="shared" si="102"/>
        <v>0.13774</v>
      </c>
      <c r="K267" s="114">
        <f t="shared" si="102"/>
        <v>0.13938</v>
      </c>
      <c r="L267" s="114">
        <f t="shared" si="102"/>
        <v>0.14104</v>
      </c>
      <c r="M267" s="114">
        <f t="shared" si="102"/>
        <v>0.14222000000000001</v>
      </c>
      <c r="N267" s="114">
        <f t="shared" si="102"/>
        <v>0.14341000000000001</v>
      </c>
      <c r="O267" s="114">
        <f t="shared" si="102"/>
        <v>0.14460999999999999</v>
      </c>
      <c r="P267" s="114">
        <f t="shared" si="102"/>
        <v>0.14582000000000001</v>
      </c>
      <c r="Q267" s="114">
        <f t="shared" si="102"/>
        <v>0.14704</v>
      </c>
      <c r="R267" s="114">
        <f t="shared" si="102"/>
        <v>0.14828</v>
      </c>
      <c r="S267" s="114">
        <f t="shared" si="102"/>
        <v>0.14953</v>
      </c>
      <c r="T267" s="114">
        <f t="shared" si="102"/>
        <v>0.15079000000000001</v>
      </c>
      <c r="U267" s="114">
        <f t="shared" si="102"/>
        <v>0.15206</v>
      </c>
      <c r="V267" s="114">
        <f t="shared" si="102"/>
        <v>0.15334</v>
      </c>
      <c r="W267" s="114">
        <f t="shared" si="102"/>
        <v>0.15440999999999999</v>
      </c>
      <c r="X267" s="114">
        <f t="shared" si="102"/>
        <v>0.15548999999999999</v>
      </c>
      <c r="Y267" s="114">
        <f t="shared" si="102"/>
        <v>0.15658</v>
      </c>
      <c r="Z267" s="114">
        <f t="shared" si="102"/>
        <v>0.15767999999999999</v>
      </c>
      <c r="AA267" s="114">
        <f t="shared" si="102"/>
        <v>0.15878</v>
      </c>
      <c r="AB267" s="114">
        <f t="shared" si="102"/>
        <v>0.15989</v>
      </c>
      <c r="AC267" s="114">
        <f t="shared" si="102"/>
        <v>0.16100999999999999</v>
      </c>
      <c r="AD267" s="114">
        <f t="shared" si="102"/>
        <v>0.16214000000000001</v>
      </c>
      <c r="AE267" s="114">
        <f t="shared" si="102"/>
        <v>0.16327</v>
      </c>
      <c r="AF267" s="114">
        <f t="shared" si="102"/>
        <v>0.16441</v>
      </c>
      <c r="AG267" s="114">
        <f t="shared" si="102"/>
        <v>0.16591</v>
      </c>
      <c r="AH267" s="114">
        <f t="shared" si="102"/>
        <v>0.16742000000000001</v>
      </c>
      <c r="AI267" s="114">
        <f t="shared" si="102"/>
        <v>0.16894000000000001</v>
      </c>
      <c r="AJ267" s="114">
        <f t="shared" si="102"/>
        <v>0.17047999999999999</v>
      </c>
      <c r="AK267" s="114">
        <f t="shared" si="102"/>
        <v>0.17202999999999999</v>
      </c>
      <c r="AL267" s="114">
        <f t="shared" si="102"/>
        <v>0.1736</v>
      </c>
      <c r="AM267" s="114">
        <f t="shared" si="102"/>
        <v>0.17518</v>
      </c>
      <c r="AN267" s="114">
        <f t="shared" si="102"/>
        <v>0.17677000000000001</v>
      </c>
      <c r="AO267" s="114">
        <f t="shared" si="102"/>
        <v>0.17838000000000001</v>
      </c>
      <c r="AP267" s="114">
        <f t="shared" si="102"/>
        <v>0.18</v>
      </c>
      <c r="AQ267" s="116">
        <f t="shared" si="91"/>
        <v>6.1338200000000018</v>
      </c>
    </row>
    <row r="268" spans="2:43" x14ac:dyDescent="0.2">
      <c r="B268" s="46" t="s">
        <v>204</v>
      </c>
      <c r="C268" s="114">
        <f>0.78*0.01</f>
        <v>7.8000000000000005E-3</v>
      </c>
      <c r="D268" s="114">
        <f>ROUND(C268*(1+(0.7*D42)),5)</f>
        <v>7.8899999999999994E-3</v>
      </c>
      <c r="E268" s="114">
        <f t="shared" ref="E268:AP268" si="103">ROUND(D268*(1+(0.7*E42)),5)</f>
        <v>7.9600000000000001E-3</v>
      </c>
      <c r="F268" s="114">
        <f t="shared" si="103"/>
        <v>8.0599999999999995E-3</v>
      </c>
      <c r="G268" s="114">
        <f t="shared" si="103"/>
        <v>8.2100000000000003E-3</v>
      </c>
      <c r="H268" s="114">
        <f t="shared" si="103"/>
        <v>8.3199999999999993E-3</v>
      </c>
      <c r="I268" s="114">
        <f t="shared" si="103"/>
        <v>8.4200000000000004E-3</v>
      </c>
      <c r="J268" s="114">
        <f t="shared" si="103"/>
        <v>8.5199999999999998E-3</v>
      </c>
      <c r="K268" s="114">
        <f t="shared" si="103"/>
        <v>8.6199999999999992E-3</v>
      </c>
      <c r="L268" s="114">
        <f t="shared" si="103"/>
        <v>8.7200000000000003E-3</v>
      </c>
      <c r="M268" s="114">
        <f t="shared" si="103"/>
        <v>8.7899999999999992E-3</v>
      </c>
      <c r="N268" s="114">
        <f t="shared" si="103"/>
        <v>8.8599999999999998E-3</v>
      </c>
      <c r="O268" s="114">
        <f t="shared" si="103"/>
        <v>8.9300000000000004E-3</v>
      </c>
      <c r="P268" s="114">
        <f t="shared" si="103"/>
        <v>9.0100000000000006E-3</v>
      </c>
      <c r="Q268" s="114">
        <f t="shared" si="103"/>
        <v>9.0900000000000009E-3</v>
      </c>
      <c r="R268" s="114">
        <f t="shared" si="103"/>
        <v>9.1699999999999993E-3</v>
      </c>
      <c r="S268" s="114">
        <f t="shared" si="103"/>
        <v>9.2499999999999995E-3</v>
      </c>
      <c r="T268" s="114">
        <f t="shared" si="103"/>
        <v>9.3299999999999998E-3</v>
      </c>
      <c r="U268" s="114">
        <f t="shared" si="103"/>
        <v>9.41E-3</v>
      </c>
      <c r="V268" s="114">
        <f t="shared" si="103"/>
        <v>9.4900000000000002E-3</v>
      </c>
      <c r="W268" s="114">
        <f t="shared" si="103"/>
        <v>9.5600000000000008E-3</v>
      </c>
      <c r="X268" s="114">
        <f t="shared" si="103"/>
        <v>9.6299999999999997E-3</v>
      </c>
      <c r="Y268" s="114">
        <f t="shared" si="103"/>
        <v>9.7000000000000003E-3</v>
      </c>
      <c r="Z268" s="114">
        <f t="shared" si="103"/>
        <v>9.7699999999999992E-3</v>
      </c>
      <c r="AA268" s="114">
        <f t="shared" si="103"/>
        <v>9.8399999999999998E-3</v>
      </c>
      <c r="AB268" s="114">
        <f t="shared" si="103"/>
        <v>9.9100000000000004E-3</v>
      </c>
      <c r="AC268" s="114">
        <f t="shared" si="103"/>
        <v>9.9799999999999993E-3</v>
      </c>
      <c r="AD268" s="114">
        <f t="shared" si="103"/>
        <v>1.005E-2</v>
      </c>
      <c r="AE268" s="114">
        <f t="shared" si="103"/>
        <v>1.0120000000000001E-2</v>
      </c>
      <c r="AF268" s="114">
        <f t="shared" si="103"/>
        <v>1.0189999999999999E-2</v>
      </c>
      <c r="AG268" s="114">
        <f t="shared" si="103"/>
        <v>1.0279999999999999E-2</v>
      </c>
      <c r="AH268" s="114">
        <f t="shared" si="103"/>
        <v>1.0370000000000001E-2</v>
      </c>
      <c r="AI268" s="114">
        <f t="shared" si="103"/>
        <v>1.0460000000000001E-2</v>
      </c>
      <c r="AJ268" s="114">
        <f t="shared" si="103"/>
        <v>1.056E-2</v>
      </c>
      <c r="AK268" s="114">
        <f t="shared" si="103"/>
        <v>1.0659999999999999E-2</v>
      </c>
      <c r="AL268" s="114">
        <f t="shared" si="103"/>
        <v>1.076E-2</v>
      </c>
      <c r="AM268" s="114">
        <f t="shared" si="103"/>
        <v>1.086E-2</v>
      </c>
      <c r="AN268" s="114">
        <f t="shared" si="103"/>
        <v>1.0959999999999999E-2</v>
      </c>
      <c r="AO268" s="114">
        <f t="shared" si="103"/>
        <v>1.106E-2</v>
      </c>
      <c r="AP268" s="114">
        <f t="shared" si="103"/>
        <v>1.116E-2</v>
      </c>
      <c r="AQ268" s="116">
        <f t="shared" si="91"/>
        <v>0.37973000000000007</v>
      </c>
    </row>
    <row r="269" spans="2:43" x14ac:dyDescent="0.2">
      <c r="B269" s="46" t="s">
        <v>209</v>
      </c>
      <c r="C269" s="114">
        <f>0.1*0.01</f>
        <v>1E-3</v>
      </c>
      <c r="D269" s="114">
        <f>ROUND(C269*(1+(0.7*D42)),5)</f>
        <v>1.01E-3</v>
      </c>
      <c r="E269" s="114">
        <f t="shared" ref="E269:AP269" si="104">ROUND(D269*(1+(0.7*E42)),5)</f>
        <v>1.0200000000000001E-3</v>
      </c>
      <c r="F269" s="114">
        <f t="shared" si="104"/>
        <v>1.0300000000000001E-3</v>
      </c>
      <c r="G269" s="114">
        <f t="shared" si="104"/>
        <v>1.0499999999999999E-3</v>
      </c>
      <c r="H269" s="114">
        <f t="shared" si="104"/>
        <v>1.06E-3</v>
      </c>
      <c r="I269" s="114">
        <f t="shared" si="104"/>
        <v>1.07E-3</v>
      </c>
      <c r="J269" s="114">
        <f t="shared" si="104"/>
        <v>1.08E-3</v>
      </c>
      <c r="K269" s="114">
        <f t="shared" si="104"/>
        <v>1.09E-3</v>
      </c>
      <c r="L269" s="114">
        <f t="shared" si="104"/>
        <v>1.1000000000000001E-3</v>
      </c>
      <c r="M269" s="114">
        <f t="shared" si="104"/>
        <v>1.1100000000000001E-3</v>
      </c>
      <c r="N269" s="114">
        <f t="shared" si="104"/>
        <v>1.1199999999999999E-3</v>
      </c>
      <c r="O269" s="114">
        <f t="shared" si="104"/>
        <v>1.1299999999999999E-3</v>
      </c>
      <c r="P269" s="114">
        <f t="shared" si="104"/>
        <v>1.14E-3</v>
      </c>
      <c r="Q269" s="114">
        <f t="shared" si="104"/>
        <v>1.15E-3</v>
      </c>
      <c r="R269" s="114">
        <f t="shared" si="104"/>
        <v>1.16E-3</v>
      </c>
      <c r="S269" s="114">
        <f t="shared" si="104"/>
        <v>1.17E-3</v>
      </c>
      <c r="T269" s="114">
        <f t="shared" si="104"/>
        <v>1.1800000000000001E-3</v>
      </c>
      <c r="U269" s="114">
        <f t="shared" si="104"/>
        <v>1.1900000000000001E-3</v>
      </c>
      <c r="V269" s="114">
        <f t="shared" si="104"/>
        <v>1.1999999999999999E-3</v>
      </c>
      <c r="W269" s="114">
        <f t="shared" si="104"/>
        <v>1.2099999999999999E-3</v>
      </c>
      <c r="X269" s="114">
        <f t="shared" si="104"/>
        <v>1.2199999999999999E-3</v>
      </c>
      <c r="Y269" s="114">
        <f t="shared" si="104"/>
        <v>1.23E-3</v>
      </c>
      <c r="Z269" s="114">
        <f t="shared" si="104"/>
        <v>1.24E-3</v>
      </c>
      <c r="AA269" s="114">
        <f t="shared" si="104"/>
        <v>1.25E-3</v>
      </c>
      <c r="AB269" s="114">
        <f t="shared" si="104"/>
        <v>1.2600000000000001E-3</v>
      </c>
      <c r="AC269" s="114">
        <f t="shared" si="104"/>
        <v>1.2700000000000001E-3</v>
      </c>
      <c r="AD269" s="114">
        <f t="shared" si="104"/>
        <v>1.2800000000000001E-3</v>
      </c>
      <c r="AE269" s="114">
        <f t="shared" si="104"/>
        <v>1.2899999999999999E-3</v>
      </c>
      <c r="AF269" s="114">
        <f t="shared" si="104"/>
        <v>1.2999999999999999E-3</v>
      </c>
      <c r="AG269" s="114">
        <f t="shared" si="104"/>
        <v>1.31E-3</v>
      </c>
      <c r="AH269" s="114">
        <f t="shared" si="104"/>
        <v>1.32E-3</v>
      </c>
      <c r="AI269" s="114">
        <f t="shared" si="104"/>
        <v>1.33E-3</v>
      </c>
      <c r="AJ269" s="114">
        <f t="shared" si="104"/>
        <v>1.34E-3</v>
      </c>
      <c r="AK269" s="114">
        <f t="shared" si="104"/>
        <v>1.3500000000000001E-3</v>
      </c>
      <c r="AL269" s="114">
        <f t="shared" si="104"/>
        <v>1.3600000000000001E-3</v>
      </c>
      <c r="AM269" s="114">
        <f t="shared" si="104"/>
        <v>1.3699999999999999E-3</v>
      </c>
      <c r="AN269" s="114">
        <f t="shared" si="104"/>
        <v>1.3799999999999999E-3</v>
      </c>
      <c r="AO269" s="114">
        <f t="shared" si="104"/>
        <v>1.39E-3</v>
      </c>
      <c r="AP269" s="114">
        <f t="shared" si="104"/>
        <v>1.4E-3</v>
      </c>
      <c r="AQ269" s="116">
        <f t="shared" si="91"/>
        <v>4.8160000000000008E-2</v>
      </c>
    </row>
    <row r="270" spans="2:43" x14ac:dyDescent="0.2">
      <c r="B270" s="1" t="s">
        <v>210</v>
      </c>
    </row>
  </sheetData>
  <sheetProtection algorithmName="SHA-512" hashValue="i+KXn7AU2L/3XNzULZIBovw9ukiTKltI2tyV1lzPCKkaoIwrO7yYUelWBP+FU+Y8FF4QwhDDJJmZvk/C14Sm0Q==" saltValue="tautG6WP2Y2635QUZpWnKA==" spinCount="100000" sheet="1" formatCells="0" formatColumns="0" formatRows="0" insertColumns="0" insertRows="0" insertHyperlinks="0" deleteColumns="0" deleteRows="0" sort="0" autoFilter="0" pivotTables="0"/>
  <mergeCells count="21">
    <mergeCell ref="B244:E244"/>
    <mergeCell ref="B151:C151"/>
    <mergeCell ref="B124:D124"/>
    <mergeCell ref="C87:C89"/>
    <mergeCell ref="D87:I87"/>
    <mergeCell ref="B87:B88"/>
    <mergeCell ref="B234:G234"/>
    <mergeCell ref="C192:H192"/>
    <mergeCell ref="B207:D207"/>
    <mergeCell ref="B217:E217"/>
    <mergeCell ref="B165:C165"/>
    <mergeCell ref="B8:C8"/>
    <mergeCell ref="B64:C64"/>
    <mergeCell ref="B41:B42"/>
    <mergeCell ref="B129:E129"/>
    <mergeCell ref="B117:E117"/>
    <mergeCell ref="B94:G94"/>
    <mergeCell ref="B45:B47"/>
    <mergeCell ref="C45:C47"/>
    <mergeCell ref="D45:I45"/>
    <mergeCell ref="B24:C25"/>
  </mergeCells>
  <phoneticPr fontId="5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BB22-C3B7-471F-BC84-7672C8C02532}">
  <sheetPr>
    <tabColor rgb="FF7030A0"/>
  </sheetPr>
  <dimension ref="A1"/>
  <sheetViews>
    <sheetView workbookViewId="0">
      <selection activeCell="E29" sqref="E29"/>
    </sheetView>
  </sheetViews>
  <sheetFormatPr defaultColWidth="8.7109375" defaultRowHeight="12.75" x14ac:dyDescent="0.2"/>
  <sheetData/>
  <sheetProtection algorithmName="SHA-512" hashValue="vuLhRh2HD/wmgiE/h5fAxxJ0IxMRH7aJ52+VWx4Pgbp8kTgpbRbEUvESyoYvpuxDdYYr4zHLNVs9ujLFXMxigQ==" saltValue="OYg8+NCQ2c8eAkjAjw427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O44"/>
  <sheetViews>
    <sheetView zoomScaleNormal="100" workbookViewId="0">
      <selection activeCell="D25" sqref="D25"/>
    </sheetView>
  </sheetViews>
  <sheetFormatPr defaultColWidth="9.140625" defaultRowHeight="11.25" x14ac:dyDescent="0.2"/>
  <cols>
    <col min="1" max="1" width="2.7109375" style="2" customWidth="1"/>
    <col min="2" max="2" width="42.28515625" style="2" customWidth="1"/>
    <col min="3" max="3" width="12.7109375" style="2" bestFit="1" customWidth="1"/>
    <col min="4" max="10" width="11.42578125" style="2" customWidth="1"/>
    <col min="11" max="16384" width="9.140625" style="2"/>
  </cols>
  <sheetData>
    <row r="2" spans="2:10" x14ac:dyDescent="0.2">
      <c r="B2" s="3" t="s">
        <v>339</v>
      </c>
      <c r="C2" s="3"/>
      <c r="D2" s="3" t="s">
        <v>10</v>
      </c>
      <c r="E2" s="3"/>
      <c r="F2" s="3"/>
      <c r="G2" s="3"/>
      <c r="H2" s="3"/>
      <c r="I2" s="3"/>
      <c r="J2" s="3"/>
    </row>
    <row r="3" spans="2:10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/>
      <c r="J3" s="5">
        <v>30</v>
      </c>
    </row>
    <row r="4" spans="2:10" x14ac:dyDescent="0.2">
      <c r="B4" s="6" t="s">
        <v>216</v>
      </c>
      <c r="C4" s="6" t="s">
        <v>9</v>
      </c>
      <c r="D4" s="7">
        <v>2023</v>
      </c>
      <c r="E4" s="7">
        <f>$D$4+D3</f>
        <v>2024</v>
      </c>
      <c r="F4" s="7">
        <f>$D$4+E3</f>
        <v>2025</v>
      </c>
      <c r="G4" s="7">
        <f>$D$4+F3</f>
        <v>2026</v>
      </c>
      <c r="H4" s="7">
        <v>2027</v>
      </c>
      <c r="I4" s="7" t="s">
        <v>47</v>
      </c>
      <c r="J4" s="7">
        <v>2052</v>
      </c>
    </row>
    <row r="5" spans="2:10" x14ac:dyDescent="0.2">
      <c r="B5" s="3" t="s">
        <v>341</v>
      </c>
      <c r="C5" s="183">
        <f t="shared" ref="C5:C13" si="0">SUM(D5:J5)</f>
        <v>63000000</v>
      </c>
      <c r="D5" s="183">
        <f t="shared" ref="D5:J5" si="1">SUM(D6:D6)</f>
        <v>0</v>
      </c>
      <c r="E5" s="183">
        <f t="shared" si="1"/>
        <v>0</v>
      </c>
      <c r="F5" s="183">
        <f t="shared" si="1"/>
        <v>0</v>
      </c>
      <c r="G5" s="183">
        <f t="shared" si="1"/>
        <v>42000000</v>
      </c>
      <c r="H5" s="183">
        <f t="shared" si="1"/>
        <v>21000000</v>
      </c>
      <c r="I5" s="183">
        <f t="shared" si="1"/>
        <v>0</v>
      </c>
      <c r="J5" s="183">
        <f t="shared" si="1"/>
        <v>0</v>
      </c>
    </row>
    <row r="6" spans="2:10" x14ac:dyDescent="0.2">
      <c r="B6" s="122" t="s">
        <v>365</v>
      </c>
      <c r="C6" s="184">
        <f t="shared" si="0"/>
        <v>63000000</v>
      </c>
      <c r="D6" s="185">
        <v>0</v>
      </c>
      <c r="E6" s="185">
        <v>0</v>
      </c>
      <c r="F6" s="185">
        <v>0</v>
      </c>
      <c r="G6" s="185">
        <f>12*3500000</f>
        <v>42000000</v>
      </c>
      <c r="H6" s="185">
        <f>6*3500000</f>
        <v>21000000</v>
      </c>
      <c r="I6" s="185">
        <v>0</v>
      </c>
      <c r="J6" s="185">
        <v>0</v>
      </c>
    </row>
    <row r="7" spans="2:10" x14ac:dyDescent="0.2">
      <c r="B7" s="11" t="s">
        <v>340</v>
      </c>
      <c r="C7" s="183">
        <f t="shared" si="0"/>
        <v>0</v>
      </c>
      <c r="D7" s="185">
        <v>0</v>
      </c>
      <c r="E7" s="185">
        <v>0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</row>
    <row r="8" spans="2:10" x14ac:dyDescent="0.2">
      <c r="B8" s="3" t="s">
        <v>49</v>
      </c>
      <c r="C8" s="183">
        <f t="shared" si="0"/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</row>
    <row r="9" spans="2:10" s="9" customFormat="1" x14ac:dyDescent="0.2">
      <c r="B9" s="8" t="s">
        <v>237</v>
      </c>
      <c r="C9" s="187">
        <f t="shared" si="0"/>
        <v>63000000</v>
      </c>
      <c r="D9" s="187">
        <f t="shared" ref="D9:J9" si="2">SUM(D5:D5,D7:D8)</f>
        <v>0</v>
      </c>
      <c r="E9" s="187">
        <f t="shared" si="2"/>
        <v>0</v>
      </c>
      <c r="F9" s="187">
        <f t="shared" si="2"/>
        <v>0</v>
      </c>
      <c r="G9" s="187">
        <f t="shared" si="2"/>
        <v>42000000</v>
      </c>
      <c r="H9" s="187">
        <f t="shared" si="2"/>
        <v>21000000</v>
      </c>
      <c r="I9" s="187">
        <f t="shared" si="2"/>
        <v>0</v>
      </c>
      <c r="J9" s="187">
        <f t="shared" si="2"/>
        <v>0</v>
      </c>
    </row>
    <row r="10" spans="2:10" x14ac:dyDescent="0.2">
      <c r="B10" s="3" t="s">
        <v>43</v>
      </c>
      <c r="C10" s="183">
        <f t="shared" si="0"/>
        <v>0</v>
      </c>
      <c r="D10" s="186">
        <v>0</v>
      </c>
      <c r="E10" s="186">
        <v>0</v>
      </c>
      <c r="F10" s="186">
        <v>0</v>
      </c>
      <c r="G10" s="186">
        <v>0</v>
      </c>
      <c r="H10" s="186">
        <v>0</v>
      </c>
      <c r="I10" s="186">
        <v>0</v>
      </c>
      <c r="J10" s="186">
        <v>0</v>
      </c>
    </row>
    <row r="11" spans="2:10" ht="11.25" customHeight="1" x14ac:dyDescent="0.2">
      <c r="B11" s="8" t="s">
        <v>342</v>
      </c>
      <c r="C11" s="188">
        <f t="shared" si="0"/>
        <v>63000000</v>
      </c>
      <c r="D11" s="188">
        <f t="shared" ref="D11:J11" si="3">SUM(D9:D10)</f>
        <v>0</v>
      </c>
      <c r="E11" s="188">
        <f t="shared" si="3"/>
        <v>0</v>
      </c>
      <c r="F11" s="188">
        <f t="shared" si="3"/>
        <v>0</v>
      </c>
      <c r="G11" s="188">
        <f t="shared" si="3"/>
        <v>42000000</v>
      </c>
      <c r="H11" s="188">
        <f t="shared" si="3"/>
        <v>21000000</v>
      </c>
      <c r="I11" s="188">
        <f t="shared" si="3"/>
        <v>0</v>
      </c>
      <c r="J11" s="188">
        <f t="shared" si="3"/>
        <v>0</v>
      </c>
    </row>
    <row r="12" spans="2:10" x14ac:dyDescent="0.2">
      <c r="B12" s="3" t="s">
        <v>50</v>
      </c>
      <c r="C12" s="183">
        <f t="shared" si="0"/>
        <v>12600000</v>
      </c>
      <c r="D12" s="186">
        <f>D11*0.2</f>
        <v>0</v>
      </c>
      <c r="E12" s="186">
        <f t="shared" ref="E12:J12" si="4">E11*0.2</f>
        <v>0</v>
      </c>
      <c r="F12" s="186">
        <f t="shared" si="4"/>
        <v>0</v>
      </c>
      <c r="G12" s="186">
        <f t="shared" si="4"/>
        <v>8400000</v>
      </c>
      <c r="H12" s="186">
        <f t="shared" si="4"/>
        <v>4200000</v>
      </c>
      <c r="I12" s="186">
        <f t="shared" si="4"/>
        <v>0</v>
      </c>
      <c r="J12" s="186">
        <f t="shared" si="4"/>
        <v>0</v>
      </c>
    </row>
    <row r="13" spans="2:10" x14ac:dyDescent="0.2">
      <c r="B13" s="4" t="s">
        <v>217</v>
      </c>
      <c r="C13" s="188">
        <f t="shared" si="0"/>
        <v>75600000</v>
      </c>
      <c r="D13" s="188">
        <f t="shared" ref="D13:J13" si="5">SUM(D11:D12)</f>
        <v>0</v>
      </c>
      <c r="E13" s="188">
        <f t="shared" si="5"/>
        <v>0</v>
      </c>
      <c r="F13" s="188">
        <f t="shared" si="5"/>
        <v>0</v>
      </c>
      <c r="G13" s="188">
        <f t="shared" si="5"/>
        <v>50400000</v>
      </c>
      <c r="H13" s="188">
        <f t="shared" si="5"/>
        <v>25200000</v>
      </c>
      <c r="I13" s="188">
        <f t="shared" si="5"/>
        <v>0</v>
      </c>
      <c r="J13" s="188">
        <f t="shared" si="5"/>
        <v>0</v>
      </c>
    </row>
    <row r="14" spans="2:10" x14ac:dyDescent="0.2">
      <c r="C14" s="189"/>
      <c r="D14" s="189"/>
      <c r="E14" s="189"/>
      <c r="F14" s="189"/>
      <c r="G14" s="189"/>
      <c r="H14" s="189"/>
      <c r="I14" s="189"/>
      <c r="J14" s="189"/>
    </row>
    <row r="15" spans="2:10" x14ac:dyDescent="0.2">
      <c r="B15" s="123" t="s">
        <v>218</v>
      </c>
      <c r="C15" s="190">
        <f>SUM(D15:J15)</f>
        <v>63000000</v>
      </c>
      <c r="D15" s="191">
        <f>D11</f>
        <v>0</v>
      </c>
      <c r="E15" s="191">
        <f t="shared" ref="E15:J15" si="6">E11</f>
        <v>0</v>
      </c>
      <c r="F15" s="191">
        <f t="shared" si="6"/>
        <v>0</v>
      </c>
      <c r="G15" s="191">
        <f t="shared" si="6"/>
        <v>42000000</v>
      </c>
      <c r="H15" s="191">
        <f t="shared" si="6"/>
        <v>21000000</v>
      </c>
      <c r="I15" s="191">
        <f t="shared" si="6"/>
        <v>0</v>
      </c>
      <c r="J15" s="191">
        <f t="shared" si="6"/>
        <v>0</v>
      </c>
    </row>
    <row r="16" spans="2:10" x14ac:dyDescent="0.2">
      <c r="B16" s="123" t="s">
        <v>343</v>
      </c>
      <c r="C16" s="190">
        <f>SUM(D16:J16)</f>
        <v>63000000</v>
      </c>
      <c r="D16" s="190">
        <f>D9</f>
        <v>0</v>
      </c>
      <c r="E16" s="190">
        <f t="shared" ref="E16:J16" si="7">E9</f>
        <v>0</v>
      </c>
      <c r="F16" s="190">
        <f t="shared" si="7"/>
        <v>0</v>
      </c>
      <c r="G16" s="190">
        <f t="shared" si="7"/>
        <v>42000000</v>
      </c>
      <c r="H16" s="190">
        <f t="shared" si="7"/>
        <v>21000000</v>
      </c>
      <c r="I16" s="190">
        <f t="shared" si="7"/>
        <v>0</v>
      </c>
      <c r="J16" s="190">
        <f t="shared" si="7"/>
        <v>0</v>
      </c>
    </row>
    <row r="17" spans="2:12" x14ac:dyDescent="0.2">
      <c r="B17" s="123" t="s">
        <v>219</v>
      </c>
      <c r="C17" s="190">
        <f>SUM(D17:J17)</f>
        <v>12600000</v>
      </c>
      <c r="D17" s="190">
        <f>D13-D15</f>
        <v>0</v>
      </c>
      <c r="E17" s="190">
        <f t="shared" ref="E17:J17" si="8">E13-E15</f>
        <v>0</v>
      </c>
      <c r="F17" s="190">
        <f t="shared" si="8"/>
        <v>0</v>
      </c>
      <c r="G17" s="190">
        <f t="shared" si="8"/>
        <v>8400000</v>
      </c>
      <c r="H17" s="190">
        <f t="shared" si="8"/>
        <v>4200000</v>
      </c>
      <c r="I17" s="190">
        <f t="shared" si="8"/>
        <v>0</v>
      </c>
      <c r="J17" s="190">
        <f t="shared" si="8"/>
        <v>0</v>
      </c>
    </row>
    <row r="18" spans="2:12" x14ac:dyDescent="0.2">
      <c r="B18" s="1" t="s">
        <v>51</v>
      </c>
    </row>
    <row r="20" spans="2:12" x14ac:dyDescent="0.2">
      <c r="B20" s="3"/>
      <c r="C20" s="3"/>
      <c r="D20" s="3" t="s">
        <v>10</v>
      </c>
      <c r="E20" s="3"/>
      <c r="F20" s="3"/>
      <c r="G20" s="3"/>
      <c r="H20" s="3"/>
      <c r="I20" s="3"/>
      <c r="J20" s="3"/>
      <c r="L20" s="2" t="s">
        <v>214</v>
      </c>
    </row>
    <row r="21" spans="2:12" x14ac:dyDescent="0.2">
      <c r="B21" s="4"/>
      <c r="C21" s="4"/>
      <c r="D21" s="5">
        <v>1</v>
      </c>
      <c r="E21" s="5">
        <v>2</v>
      </c>
      <c r="F21" s="5">
        <v>3</v>
      </c>
      <c r="G21" s="5">
        <v>4</v>
      </c>
      <c r="H21" s="5">
        <v>5</v>
      </c>
      <c r="I21" s="5"/>
      <c r="J21" s="5">
        <v>30</v>
      </c>
      <c r="L21" s="2" t="s">
        <v>215</v>
      </c>
    </row>
    <row r="22" spans="2:12" x14ac:dyDescent="0.2">
      <c r="B22" s="6" t="s">
        <v>36</v>
      </c>
      <c r="C22" s="6" t="s">
        <v>9</v>
      </c>
      <c r="D22" s="7">
        <f>D4</f>
        <v>2023</v>
      </c>
      <c r="E22" s="7">
        <f>E4</f>
        <v>2024</v>
      </c>
      <c r="F22" s="7">
        <f>F4</f>
        <v>2025</v>
      </c>
      <c r="G22" s="7">
        <f>G4</f>
        <v>2026</v>
      </c>
      <c r="H22" s="7">
        <v>2025</v>
      </c>
      <c r="I22" s="7" t="s">
        <v>48</v>
      </c>
      <c r="J22" s="7">
        <f>J4</f>
        <v>2052</v>
      </c>
    </row>
    <row r="23" spans="2:12" x14ac:dyDescent="0.2">
      <c r="B23" s="3" t="s">
        <v>341</v>
      </c>
      <c r="C23" s="183">
        <f t="shared" ref="C23:C27" si="9">SUM(D23:J23)</f>
        <v>56700000</v>
      </c>
      <c r="D23" s="183">
        <f t="shared" ref="D23:J23" si="10">SUM(D24:D24)</f>
        <v>0</v>
      </c>
      <c r="E23" s="183">
        <f t="shared" si="10"/>
        <v>0</v>
      </c>
      <c r="F23" s="183">
        <f t="shared" si="10"/>
        <v>0</v>
      </c>
      <c r="G23" s="183">
        <f t="shared" si="10"/>
        <v>37800000</v>
      </c>
      <c r="H23" s="183">
        <f t="shared" si="10"/>
        <v>18900000</v>
      </c>
      <c r="I23" s="183">
        <f t="shared" si="10"/>
        <v>0</v>
      </c>
      <c r="J23" s="183">
        <f t="shared" si="10"/>
        <v>0</v>
      </c>
    </row>
    <row r="24" spans="2:12" x14ac:dyDescent="0.2">
      <c r="B24" s="122" t="s">
        <v>365</v>
      </c>
      <c r="C24" s="184">
        <f t="shared" si="9"/>
        <v>56700000</v>
      </c>
      <c r="D24" s="184">
        <f>D6*Parametre!$C$71</f>
        <v>0</v>
      </c>
      <c r="E24" s="184">
        <f>E6*Parametre!$C$71</f>
        <v>0</v>
      </c>
      <c r="F24" s="184">
        <f>F6*Parametre!$C$71</f>
        <v>0</v>
      </c>
      <c r="G24" s="184">
        <f>G6*Parametre!$C$71</f>
        <v>37800000</v>
      </c>
      <c r="H24" s="184">
        <f>H6*Parametre!$C$71</f>
        <v>18900000</v>
      </c>
      <c r="I24" s="184">
        <f>I6*Parametre!$C$71</f>
        <v>0</v>
      </c>
      <c r="J24" s="184">
        <f>J6*Parametre!$C$71</f>
        <v>0</v>
      </c>
    </row>
    <row r="25" spans="2:12" x14ac:dyDescent="0.2">
      <c r="B25" s="11" t="s">
        <v>340</v>
      </c>
      <c r="C25" s="183">
        <f t="shared" si="9"/>
        <v>0</v>
      </c>
      <c r="D25" s="183">
        <f>D7*Parametre!$C$71</f>
        <v>0</v>
      </c>
      <c r="E25" s="183">
        <f>E7*Parametre!$C$71</f>
        <v>0</v>
      </c>
      <c r="F25" s="183">
        <f>F7*Parametre!$C$71</f>
        <v>0</v>
      </c>
      <c r="G25" s="183">
        <f>G7*Parametre!$C$71</f>
        <v>0</v>
      </c>
      <c r="H25" s="183">
        <f>H7*Parametre!$C$71</f>
        <v>0</v>
      </c>
      <c r="I25" s="183">
        <f>I7*Parametre!$C$71</f>
        <v>0</v>
      </c>
      <c r="J25" s="183">
        <f>J7*Parametre!$C$71</f>
        <v>0</v>
      </c>
    </row>
    <row r="26" spans="2:12" x14ac:dyDescent="0.2">
      <c r="B26" s="3" t="s">
        <v>49</v>
      </c>
      <c r="C26" s="183">
        <f t="shared" si="9"/>
        <v>0</v>
      </c>
      <c r="D26" s="183">
        <f>D8*Parametre!$C$71</f>
        <v>0</v>
      </c>
      <c r="E26" s="183">
        <f>E8*Parametre!$C$71</f>
        <v>0</v>
      </c>
      <c r="F26" s="183">
        <f>F8*Parametre!$C$71</f>
        <v>0</v>
      </c>
      <c r="G26" s="183">
        <f>G8*Parametre!$C$71</f>
        <v>0</v>
      </c>
      <c r="H26" s="183">
        <f>H8*Parametre!$C$71</f>
        <v>0</v>
      </c>
      <c r="I26" s="183">
        <f>I8*Parametre!$C$71</f>
        <v>0</v>
      </c>
      <c r="J26" s="183">
        <f>J8*Parametre!$C$71</f>
        <v>0</v>
      </c>
    </row>
    <row r="27" spans="2:12" x14ac:dyDescent="0.2">
      <c r="B27" s="4" t="s">
        <v>44</v>
      </c>
      <c r="C27" s="188">
        <f t="shared" si="9"/>
        <v>56700000</v>
      </c>
      <c r="D27" s="188">
        <f t="shared" ref="D27:J27" si="11">SUM(D23:D23,D25:D26)</f>
        <v>0</v>
      </c>
      <c r="E27" s="188">
        <f t="shared" si="11"/>
        <v>0</v>
      </c>
      <c r="F27" s="188">
        <f t="shared" si="11"/>
        <v>0</v>
      </c>
      <c r="G27" s="188">
        <f t="shared" si="11"/>
        <v>37800000</v>
      </c>
      <c r="H27" s="188">
        <f t="shared" si="11"/>
        <v>18900000</v>
      </c>
      <c r="I27" s="188">
        <f t="shared" si="11"/>
        <v>0</v>
      </c>
      <c r="J27" s="188">
        <f t="shared" si="11"/>
        <v>0</v>
      </c>
    </row>
    <row r="28" spans="2:12" x14ac:dyDescent="0.2">
      <c r="B28" s="10"/>
      <c r="C28" s="34"/>
      <c r="D28" s="34"/>
      <c r="E28" s="34"/>
      <c r="F28" s="34"/>
      <c r="G28" s="34"/>
      <c r="H28" s="34"/>
      <c r="I28" s="34"/>
      <c r="J28" s="34"/>
    </row>
    <row r="29" spans="2:12" x14ac:dyDescent="0.2">
      <c r="B29" s="10" t="s">
        <v>338</v>
      </c>
      <c r="C29" s="34"/>
      <c r="D29" s="34"/>
      <c r="E29" s="34"/>
      <c r="F29" s="34"/>
      <c r="G29" s="34"/>
      <c r="H29" s="34"/>
      <c r="I29" s="34"/>
      <c r="J29" s="34"/>
    </row>
    <row r="30" spans="2:12" x14ac:dyDescent="0.2">
      <c r="B30" s="119" t="s">
        <v>341</v>
      </c>
    </row>
    <row r="31" spans="2:12" x14ac:dyDescent="0.2">
      <c r="B31" s="120" t="s">
        <v>345</v>
      </c>
    </row>
    <row r="32" spans="2:12" x14ac:dyDescent="0.2">
      <c r="B32" s="119" t="s">
        <v>340</v>
      </c>
    </row>
    <row r="33" spans="2:15" x14ac:dyDescent="0.2">
      <c r="B33" s="120" t="s">
        <v>344</v>
      </c>
    </row>
    <row r="34" spans="2:15" x14ac:dyDescent="0.2">
      <c r="B34" s="121" t="s">
        <v>211</v>
      </c>
    </row>
    <row r="35" spans="2:15" x14ac:dyDescent="0.2">
      <c r="B35" s="1" t="s">
        <v>346</v>
      </c>
    </row>
    <row r="36" spans="2:15" x14ac:dyDescent="0.2">
      <c r="B36" s="119" t="s">
        <v>212</v>
      </c>
    </row>
    <row r="37" spans="2:15" x14ac:dyDescent="0.2">
      <c r="B37" s="120" t="s">
        <v>213</v>
      </c>
    </row>
    <row r="39" spans="2:15" ht="12" thickBot="1" x14ac:dyDescent="0.25"/>
    <row r="40" spans="2:15" ht="10.15" customHeight="1" x14ac:dyDescent="0.2">
      <c r="B40" s="550" t="s">
        <v>487</v>
      </c>
      <c r="C40" s="553" t="s">
        <v>488</v>
      </c>
      <c r="D40" s="404">
        <v>1</v>
      </c>
      <c r="E40" s="405">
        <v>2</v>
      </c>
      <c r="F40" s="405">
        <v>3</v>
      </c>
      <c r="G40" s="405">
        <v>4</v>
      </c>
      <c r="H40" s="405">
        <v>5</v>
      </c>
      <c r="I40" s="405"/>
      <c r="J40" s="405"/>
      <c r="K40" s="405"/>
      <c r="L40" s="405"/>
      <c r="M40" s="405"/>
      <c r="N40" s="405"/>
      <c r="O40" s="405"/>
    </row>
    <row r="41" spans="2:15" ht="10.9" customHeight="1" thickBot="1" x14ac:dyDescent="0.25">
      <c r="B41" s="551"/>
      <c r="C41" s="554"/>
      <c r="D41" s="406">
        <v>2023</v>
      </c>
      <c r="E41" s="406">
        <v>2024</v>
      </c>
      <c r="F41" s="406">
        <v>2025</v>
      </c>
      <c r="G41" s="406">
        <v>2026</v>
      </c>
      <c r="H41" s="406">
        <v>2027</v>
      </c>
      <c r="I41" s="406">
        <v>2028</v>
      </c>
      <c r="J41" s="406">
        <v>2029</v>
      </c>
      <c r="K41" s="406">
        <v>2030</v>
      </c>
      <c r="L41" s="406">
        <v>2031</v>
      </c>
      <c r="M41" s="406">
        <v>2032</v>
      </c>
      <c r="N41" s="406">
        <v>2033</v>
      </c>
      <c r="O41" s="406">
        <v>2034</v>
      </c>
    </row>
    <row r="42" spans="2:15" ht="13.9" customHeight="1" thickBot="1" x14ac:dyDescent="0.25">
      <c r="B42" s="552"/>
      <c r="C42" s="407">
        <f>SUM(D42:W42)</f>
        <v>71613832.5</v>
      </c>
      <c r="D42" s="408">
        <v>0</v>
      </c>
      <c r="E42" s="409">
        <v>0</v>
      </c>
      <c r="F42" s="409">
        <v>0</v>
      </c>
      <c r="G42" s="409">
        <v>128100</v>
      </c>
      <c r="H42" s="409">
        <v>7537522.5</v>
      </c>
      <c r="I42" s="409">
        <v>10977047.5</v>
      </c>
      <c r="J42" s="409">
        <v>10644897.5</v>
      </c>
      <c r="K42" s="409">
        <v>10312747.5</v>
      </c>
      <c r="L42" s="409">
        <v>9980597.5</v>
      </c>
      <c r="M42" s="409">
        <v>9648447.5</v>
      </c>
      <c r="N42" s="409">
        <v>9316297.5</v>
      </c>
      <c r="O42" s="410">
        <v>3068175</v>
      </c>
    </row>
    <row r="43" spans="2:15" ht="20.25" x14ac:dyDescent="0.3">
      <c r="B43" s="220"/>
    </row>
    <row r="44" spans="2:15" ht="20.25" x14ac:dyDescent="0.3">
      <c r="B44" s="220"/>
    </row>
  </sheetData>
  <sheetProtection algorithmName="SHA-512" hashValue="XZq4C/C7V7rTud4P10BXq3Wbk+bwEKF7wjioMFVPxvbmb+j2vQ1lc1NBW24o1RYOVl1hSYmhHWYdO9KftFwdfA==" saltValue="TWQUzppLPlUP0D8ipw8urA==" spinCount="100000" sheet="1" formatCells="0" formatColumns="0" formatRows="0" insertColumns="0" insertRows="0" insertHyperlinks="0" deleteColumns="0" deleteRows="0" sort="0" autoFilter="0" pivotTables="0"/>
  <mergeCells count="2">
    <mergeCell ref="B40:B42"/>
    <mergeCell ref="C40:C41"/>
  </mergeCells>
  <phoneticPr fontId="5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H23:J23 D23:G23" formula="1"/>
    <ignoredError sqref="D9:J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R32"/>
  <sheetViews>
    <sheetView zoomScaleNormal="100" workbookViewId="0">
      <selection activeCell="D21" sqref="D21"/>
    </sheetView>
  </sheetViews>
  <sheetFormatPr defaultColWidth="9.140625" defaultRowHeight="11.25" x14ac:dyDescent="0.2"/>
  <cols>
    <col min="1" max="1" width="2.7109375" style="2" customWidth="1"/>
    <col min="2" max="2" width="67.42578125" style="2" customWidth="1"/>
    <col min="3" max="3" width="17" style="2" customWidth="1"/>
    <col min="4" max="18" width="13.28515625" style="2" customWidth="1"/>
    <col min="19" max="36" width="5" style="2" bestFit="1" customWidth="1"/>
    <col min="37" max="16384" width="9.140625" style="2"/>
  </cols>
  <sheetData>
    <row r="1" spans="2:12" ht="12" thickBot="1" x14ac:dyDescent="0.25"/>
    <row r="2" spans="2:12" x14ac:dyDescent="0.2">
      <c r="B2" s="10" t="s">
        <v>80</v>
      </c>
      <c r="H2" s="54" t="s">
        <v>81</v>
      </c>
      <c r="I2" s="55" t="s">
        <v>82</v>
      </c>
    </row>
    <row r="3" spans="2:12" ht="56.25" x14ac:dyDescent="0.2">
      <c r="B3" s="48" t="s">
        <v>30</v>
      </c>
      <c r="C3" s="49" t="s">
        <v>348</v>
      </c>
      <c r="D3" s="49" t="s">
        <v>64</v>
      </c>
      <c r="E3" s="49" t="s">
        <v>28</v>
      </c>
      <c r="F3" s="49" t="s">
        <v>27</v>
      </c>
      <c r="G3" s="50" t="s">
        <v>29</v>
      </c>
      <c r="H3" s="52" t="s">
        <v>16</v>
      </c>
      <c r="I3" s="53" t="s">
        <v>16</v>
      </c>
      <c r="L3" s="2" t="s">
        <v>214</v>
      </c>
    </row>
    <row r="4" spans="2:12" x14ac:dyDescent="0.2">
      <c r="B4" s="11" t="s">
        <v>365</v>
      </c>
      <c r="C4" s="13">
        <v>40</v>
      </c>
      <c r="D4" s="126">
        <f>Parametre!C12-('01 Investičné výdavky - nové'!G4-Parametre!C13+1)</f>
        <v>26</v>
      </c>
      <c r="E4" s="12">
        <v>0</v>
      </c>
      <c r="F4" s="13">
        <f>C4+(E4*C4)</f>
        <v>40</v>
      </c>
      <c r="G4" s="51">
        <f>(F4-D4)/C4</f>
        <v>0.35</v>
      </c>
      <c r="H4" s="192">
        <f>'01 Investičné výdavky - nové'!G6*G4</f>
        <v>14699999.999999998</v>
      </c>
      <c r="I4" s="193">
        <f>H4*Parametre!$C$71</f>
        <v>13229999.999999998</v>
      </c>
      <c r="L4" s="2" t="s">
        <v>215</v>
      </c>
    </row>
    <row r="5" spans="2:12" x14ac:dyDescent="0.2">
      <c r="B5" s="11" t="s">
        <v>365</v>
      </c>
      <c r="C5" s="13">
        <v>40</v>
      </c>
      <c r="D5" s="126">
        <f>Parametre!C12-('01 Investičné výdavky - nové'!H4-Parametre!C13+1)</f>
        <v>25</v>
      </c>
      <c r="E5" s="12">
        <v>0</v>
      </c>
      <c r="F5" s="13">
        <f t="shared" ref="F5:F6" si="0">C5+(E5*C5)</f>
        <v>40</v>
      </c>
      <c r="G5" s="51">
        <f t="shared" ref="G5:G6" si="1">(F5-D5)/C5</f>
        <v>0.375</v>
      </c>
      <c r="H5" s="192">
        <f>'01 Investičné výdavky - nové'!H6*G5</f>
        <v>7875000</v>
      </c>
      <c r="I5" s="193">
        <f>H5*Parametre!$C$71</f>
        <v>7087500</v>
      </c>
    </row>
    <row r="6" spans="2:12" ht="12" thickBot="1" x14ac:dyDescent="0.25">
      <c r="B6" s="11" t="s">
        <v>322</v>
      </c>
      <c r="C6" s="13">
        <v>30</v>
      </c>
      <c r="D6" s="126">
        <f>Parametre!C12-('01 Investičné výdavky - nové'!D4-Parametre!C13+1)</f>
        <v>29</v>
      </c>
      <c r="E6" s="12">
        <v>0</v>
      </c>
      <c r="F6" s="13">
        <f t="shared" si="0"/>
        <v>30</v>
      </c>
      <c r="G6" s="51">
        <f t="shared" si="1"/>
        <v>3.3333333333333333E-2</v>
      </c>
      <c r="H6" s="192">
        <f>'01 Investičné výdavky - nové'!C7*G6</f>
        <v>0</v>
      </c>
      <c r="I6" s="193">
        <f>H6*Parametre!$C$71</f>
        <v>0</v>
      </c>
    </row>
    <row r="7" spans="2:12" ht="12" thickBot="1" x14ac:dyDescent="0.25">
      <c r="B7" s="4" t="s">
        <v>16</v>
      </c>
      <c r="C7" s="3"/>
      <c r="D7" s="3"/>
      <c r="E7" s="3"/>
      <c r="F7" s="3"/>
      <c r="G7" s="20"/>
      <c r="H7" s="194">
        <f>SUM(H4:H6)</f>
        <v>22575000</v>
      </c>
      <c r="I7" s="195">
        <f>SUM(I4:I6)</f>
        <v>20317500</v>
      </c>
    </row>
    <row r="8" spans="2:12" x14ac:dyDescent="0.2">
      <c r="B8" s="14" t="s">
        <v>347</v>
      </c>
    </row>
    <row r="9" spans="2:12" x14ac:dyDescent="0.2">
      <c r="B9" s="1" t="s">
        <v>349</v>
      </c>
    </row>
    <row r="11" spans="2:12" x14ac:dyDescent="0.2">
      <c r="B11" s="10" t="s">
        <v>83</v>
      </c>
    </row>
    <row r="12" spans="2:12" x14ac:dyDescent="0.2">
      <c r="B12" s="20" t="s">
        <v>31</v>
      </c>
      <c r="C12" s="168">
        <f>C22</f>
        <v>9192335.9984512255</v>
      </c>
      <c r="D12" s="34"/>
    </row>
    <row r="13" spans="2:12" x14ac:dyDescent="0.2">
      <c r="B13" s="20" t="s">
        <v>42</v>
      </c>
      <c r="C13" s="168">
        <f>C32</f>
        <v>2245707.1889232239</v>
      </c>
      <c r="D13" s="18"/>
    </row>
    <row r="14" spans="2:12" x14ac:dyDescent="0.2">
      <c r="B14" s="1" t="s">
        <v>84</v>
      </c>
    </row>
    <row r="16" spans="2:12" x14ac:dyDescent="0.2">
      <c r="B16" s="325" t="s">
        <v>444</v>
      </c>
      <c r="C16" s="168">
        <f>(('01 Investičné výdavky - nové'!G6*F4+'01 Investičné výdavky - nové'!H6*F5)/'01 Investičné výdavky - nové'!C6)-AVERAGE(D4:D5)</f>
        <v>14.5</v>
      </c>
    </row>
    <row r="18" spans="2:18" x14ac:dyDescent="0.2">
      <c r="D18" s="2">
        <v>1</v>
      </c>
      <c r="E18" s="2">
        <v>2</v>
      </c>
      <c r="F18" s="2">
        <v>3</v>
      </c>
      <c r="G18" s="2">
        <v>4</v>
      </c>
      <c r="H18" s="2">
        <v>5</v>
      </c>
      <c r="I18" s="2">
        <v>6</v>
      </c>
      <c r="J18" s="2">
        <v>7</v>
      </c>
      <c r="K18" s="2">
        <v>8</v>
      </c>
      <c r="L18" s="2">
        <v>9</v>
      </c>
      <c r="M18" s="2">
        <v>10</v>
      </c>
      <c r="N18" s="2">
        <v>11</v>
      </c>
      <c r="O18" s="2">
        <v>12</v>
      </c>
      <c r="P18" s="2">
        <v>13</v>
      </c>
      <c r="Q18" s="2">
        <v>14</v>
      </c>
      <c r="R18" s="2">
        <v>15</v>
      </c>
    </row>
    <row r="19" spans="2:18" x14ac:dyDescent="0.2">
      <c r="B19" s="326" t="s">
        <v>445</v>
      </c>
      <c r="C19" s="327" t="s">
        <v>9</v>
      </c>
      <c r="D19" s="328">
        <f>$D$18+Parametre!C16</f>
        <v>2053</v>
      </c>
      <c r="E19" s="328">
        <f>D19+$D$18</f>
        <v>2054</v>
      </c>
      <c r="F19" s="328">
        <f t="shared" ref="F19:H19" si="2">E19+$D$18</f>
        <v>2055</v>
      </c>
      <c r="G19" s="328">
        <f t="shared" si="2"/>
        <v>2056</v>
      </c>
      <c r="H19" s="328">
        <f t="shared" si="2"/>
        <v>2057</v>
      </c>
      <c r="I19" s="328">
        <f t="shared" ref="I19:R19" si="3">H19+$D$18</f>
        <v>2058</v>
      </c>
      <c r="J19" s="328">
        <f t="shared" si="3"/>
        <v>2059</v>
      </c>
      <c r="K19" s="328">
        <f t="shared" si="3"/>
        <v>2060</v>
      </c>
      <c r="L19" s="328">
        <f t="shared" si="3"/>
        <v>2061</v>
      </c>
      <c r="M19" s="328">
        <f t="shared" si="3"/>
        <v>2062</v>
      </c>
      <c r="N19" s="328">
        <f t="shared" si="3"/>
        <v>2063</v>
      </c>
      <c r="O19" s="328">
        <f t="shared" si="3"/>
        <v>2064</v>
      </c>
      <c r="P19" s="328">
        <f t="shared" si="3"/>
        <v>2065</v>
      </c>
      <c r="Q19" s="328">
        <f t="shared" si="3"/>
        <v>2066</v>
      </c>
      <c r="R19" s="328">
        <f t="shared" si="3"/>
        <v>2067</v>
      </c>
    </row>
    <row r="20" spans="2:18" x14ac:dyDescent="0.2">
      <c r="B20" s="129" t="s">
        <v>446</v>
      </c>
      <c r="C20" s="329">
        <f>SUM(D20:R20)</f>
        <v>-3316928.3899306385</v>
      </c>
      <c r="D20" s="330">
        <f>AVERAGE('06 Finančná analýza - nové'!D6:AG6)</f>
        <v>-221128.55932870915</v>
      </c>
      <c r="E20" s="330">
        <f>D20</f>
        <v>-221128.55932870915</v>
      </c>
      <c r="F20" s="330">
        <f t="shared" ref="F20:H21" si="4">E20</f>
        <v>-221128.55932870915</v>
      </c>
      <c r="G20" s="330">
        <f t="shared" si="4"/>
        <v>-221128.55932870915</v>
      </c>
      <c r="H20" s="330">
        <f t="shared" si="4"/>
        <v>-221128.55932870915</v>
      </c>
      <c r="I20" s="330">
        <f t="shared" ref="I20:I21" si="5">H20</f>
        <v>-221128.55932870915</v>
      </c>
      <c r="J20" s="330">
        <f t="shared" ref="J20:J21" si="6">I20</f>
        <v>-221128.55932870915</v>
      </c>
      <c r="K20" s="330">
        <f t="shared" ref="K20:K21" si="7">J20</f>
        <v>-221128.55932870915</v>
      </c>
      <c r="L20" s="330">
        <f t="shared" ref="L20:L21" si="8">K20</f>
        <v>-221128.55932870915</v>
      </c>
      <c r="M20" s="330">
        <f t="shared" ref="M20:M21" si="9">L20</f>
        <v>-221128.55932870915</v>
      </c>
      <c r="N20" s="330">
        <f t="shared" ref="N20:N21" si="10">M20</f>
        <v>-221128.55932870915</v>
      </c>
      <c r="O20" s="330">
        <f t="shared" ref="O20:O21" si="11">N20</f>
        <v>-221128.55932870915</v>
      </c>
      <c r="P20" s="330">
        <f t="shared" ref="P20:P21" si="12">O20</f>
        <v>-221128.55932870915</v>
      </c>
      <c r="Q20" s="330">
        <f t="shared" ref="Q20:Q21" si="13">P20</f>
        <v>-221128.55932870915</v>
      </c>
      <c r="R20" s="330">
        <f t="shared" ref="R20:R21" si="14">Q20</f>
        <v>-221128.55932870915</v>
      </c>
    </row>
    <row r="21" spans="2:18" x14ac:dyDescent="0.2">
      <c r="B21" s="129" t="s">
        <v>447</v>
      </c>
      <c r="C21" s="329">
        <f>SUM(D21:R21)</f>
        <v>9084603.8302755449</v>
      </c>
      <c r="D21" s="330">
        <f>AVERAGE('06 Finančná analýza - nové'!D7:AG7)</f>
        <v>605640.25535170303</v>
      </c>
      <c r="E21" s="330">
        <f>D21</f>
        <v>605640.25535170303</v>
      </c>
      <c r="F21" s="330">
        <f t="shared" si="4"/>
        <v>605640.25535170303</v>
      </c>
      <c r="G21" s="330">
        <f t="shared" si="4"/>
        <v>605640.25535170303</v>
      </c>
      <c r="H21" s="330">
        <f t="shared" si="4"/>
        <v>605640.25535170303</v>
      </c>
      <c r="I21" s="330">
        <f t="shared" si="5"/>
        <v>605640.25535170303</v>
      </c>
      <c r="J21" s="330">
        <f t="shared" si="6"/>
        <v>605640.25535170303</v>
      </c>
      <c r="K21" s="330">
        <f t="shared" si="7"/>
        <v>605640.25535170303</v>
      </c>
      <c r="L21" s="330">
        <f t="shared" si="8"/>
        <v>605640.25535170303</v>
      </c>
      <c r="M21" s="330">
        <f t="shared" si="9"/>
        <v>605640.25535170303</v>
      </c>
      <c r="N21" s="330">
        <f t="shared" si="10"/>
        <v>605640.25535170303</v>
      </c>
      <c r="O21" s="330">
        <f t="shared" si="11"/>
        <v>605640.25535170303</v>
      </c>
      <c r="P21" s="330">
        <f t="shared" si="12"/>
        <v>605640.25535170303</v>
      </c>
      <c r="Q21" s="330">
        <f t="shared" si="13"/>
        <v>605640.25535170303</v>
      </c>
      <c r="R21" s="330">
        <f t="shared" si="14"/>
        <v>605640.25535170303</v>
      </c>
    </row>
    <row r="22" spans="2:18" ht="15.75" x14ac:dyDescent="0.25">
      <c r="B22" s="331" t="s">
        <v>448</v>
      </c>
      <c r="C22" s="332">
        <f>IF(SUM(D22:R22)&lt;0,0,(SUM(D22:R22)))</f>
        <v>9192335.9984512255</v>
      </c>
      <c r="D22" s="333">
        <f>(D21-D20)/((1+Parametre!$C$9)^(D18))</f>
        <v>794970.01411578094</v>
      </c>
      <c r="E22" s="333">
        <f>(E21-E20)/((1+Parametre!$C$9)^(E18))</f>
        <v>764394.24434209696</v>
      </c>
      <c r="F22" s="333">
        <f>(F21-F20)/((1+Parametre!$C$9)^(F18))</f>
        <v>734994.46571355476</v>
      </c>
      <c r="G22" s="333">
        <f>(G21-G20)/((1+Parametre!$C$9)^(G18))</f>
        <v>706725.44780149497</v>
      </c>
      <c r="H22" s="333">
        <f>(H21-H20)/((1+Parametre!$C$9)^(H18))</f>
        <v>679543.6998091297</v>
      </c>
      <c r="I22" s="333">
        <f>(I21-I20)/((1+Parametre!$C$9)^(I18))</f>
        <v>653407.40366262465</v>
      </c>
      <c r="J22" s="333">
        <f>(J21-J20)/((1+Parametre!$C$9)^(J18))</f>
        <v>628276.34967560077</v>
      </c>
      <c r="K22" s="333">
        <f>(K21-K20)/((1+Parametre!$C$9)^(K18))</f>
        <v>604111.87468807749</v>
      </c>
      <c r="L22" s="333">
        <f>(L21-L20)/((1+Parametre!$C$9)^(L18))</f>
        <v>580876.80258468981</v>
      </c>
      <c r="M22" s="333">
        <f>(M21-M20)/((1+Parametre!$C$9)^(M18))</f>
        <v>558535.38710066339</v>
      </c>
      <c r="N22" s="333">
        <f>(N21-N20)/((1+Parametre!$C$9)^(N18))</f>
        <v>537053.25682756095</v>
      </c>
      <c r="O22" s="333">
        <f>(O21-O20)/((1+Parametre!$C$9)^(O18))</f>
        <v>516397.36233419308</v>
      </c>
      <c r="P22" s="333">
        <f>(P21-P20)/((1+Parametre!$C$9)^(P18))</f>
        <v>496535.92532133951</v>
      </c>
      <c r="Q22" s="333">
        <f>(Q21-Q20)/((1+Parametre!$C$9)^(Q18))</f>
        <v>477438.38973205723</v>
      </c>
      <c r="R22" s="333">
        <f>(R21-R20)/((1+Parametre!$C$9)^(R18))</f>
        <v>459075.37474236271</v>
      </c>
    </row>
    <row r="25" spans="2:18" x14ac:dyDescent="0.2">
      <c r="B25" s="325" t="s">
        <v>449</v>
      </c>
      <c r="C25" s="168">
        <f>(('01 Investičné výdavky - nové'!G24*F4+'01 Investičné výdavky - nové'!H24*F5)/'01 Investičné výdavky - nové'!C24)-AVERAGE(D4:D5)</f>
        <v>14.5</v>
      </c>
    </row>
    <row r="27" spans="2:18" x14ac:dyDescent="0.2">
      <c r="D27" s="2">
        <v>1</v>
      </c>
      <c r="E27" s="2">
        <v>2</v>
      </c>
      <c r="F27" s="2">
        <v>3</v>
      </c>
      <c r="G27" s="2">
        <v>4</v>
      </c>
      <c r="H27" s="2">
        <v>5</v>
      </c>
      <c r="I27" s="2">
        <v>6</v>
      </c>
      <c r="J27" s="2">
        <v>7</v>
      </c>
      <c r="K27" s="2">
        <v>8</v>
      </c>
      <c r="L27" s="2">
        <v>9</v>
      </c>
      <c r="M27" s="2">
        <v>10</v>
      </c>
      <c r="N27" s="2">
        <v>11</v>
      </c>
      <c r="O27" s="2">
        <v>12</v>
      </c>
      <c r="P27" s="2">
        <v>13</v>
      </c>
      <c r="Q27" s="2">
        <v>14</v>
      </c>
      <c r="R27" s="2">
        <v>15</v>
      </c>
    </row>
    <row r="28" spans="2:18" x14ac:dyDescent="0.2">
      <c r="B28" s="326" t="s">
        <v>450</v>
      </c>
      <c r="C28" s="327" t="s">
        <v>9</v>
      </c>
      <c r="D28" s="328">
        <f>D19</f>
        <v>2053</v>
      </c>
      <c r="E28" s="328">
        <f t="shared" ref="E28:H28" si="15">E19</f>
        <v>2054</v>
      </c>
      <c r="F28" s="328">
        <f t="shared" si="15"/>
        <v>2055</v>
      </c>
      <c r="G28" s="328">
        <f t="shared" si="15"/>
        <v>2056</v>
      </c>
      <c r="H28" s="328">
        <f t="shared" si="15"/>
        <v>2057</v>
      </c>
      <c r="I28" s="328">
        <f t="shared" ref="I28:R28" si="16">I19</f>
        <v>2058</v>
      </c>
      <c r="J28" s="328">
        <f t="shared" si="16"/>
        <v>2059</v>
      </c>
      <c r="K28" s="328">
        <f t="shared" si="16"/>
        <v>2060</v>
      </c>
      <c r="L28" s="328">
        <f t="shared" si="16"/>
        <v>2061</v>
      </c>
      <c r="M28" s="328">
        <f t="shared" si="16"/>
        <v>2062</v>
      </c>
      <c r="N28" s="328">
        <f t="shared" si="16"/>
        <v>2063</v>
      </c>
      <c r="O28" s="328">
        <f t="shared" si="16"/>
        <v>2064</v>
      </c>
      <c r="P28" s="328">
        <f t="shared" si="16"/>
        <v>2065</v>
      </c>
      <c r="Q28" s="328">
        <f t="shared" si="16"/>
        <v>2066</v>
      </c>
      <c r="R28" s="328">
        <f t="shared" si="16"/>
        <v>2067</v>
      </c>
    </row>
    <row r="29" spans="2:18" x14ac:dyDescent="0.2">
      <c r="B29" s="129" t="str">
        <f>'08 Ekonomická analýza - nové'!B5</f>
        <v>Investičné náklady</v>
      </c>
      <c r="C29" s="329">
        <f>SUM(D29:R29)</f>
        <v>0</v>
      </c>
      <c r="D29" s="330">
        <v>0</v>
      </c>
      <c r="E29" s="330">
        <f>D29</f>
        <v>0</v>
      </c>
      <c r="F29" s="330">
        <f t="shared" ref="F29:H31" si="17">E29</f>
        <v>0</v>
      </c>
      <c r="G29" s="330">
        <f t="shared" si="17"/>
        <v>0</v>
      </c>
      <c r="H29" s="330">
        <f t="shared" si="17"/>
        <v>0</v>
      </c>
      <c r="I29" s="330">
        <f t="shared" ref="I29:I31" si="18">H29</f>
        <v>0</v>
      </c>
      <c r="J29" s="330">
        <f t="shared" ref="J29:J31" si="19">I29</f>
        <v>0</v>
      </c>
      <c r="K29" s="330">
        <f t="shared" ref="K29:K31" si="20">J29</f>
        <v>0</v>
      </c>
      <c r="L29" s="330">
        <f t="shared" ref="L29:L31" si="21">K29</f>
        <v>0</v>
      </c>
      <c r="M29" s="330">
        <f t="shared" ref="M29:M31" si="22">L29</f>
        <v>0</v>
      </c>
      <c r="N29" s="330">
        <f t="shared" ref="N29:N31" si="23">M29</f>
        <v>0</v>
      </c>
      <c r="O29" s="330">
        <f t="shared" ref="O29:O31" si="24">N29</f>
        <v>0</v>
      </c>
      <c r="P29" s="330">
        <f t="shared" ref="P29:P31" si="25">O29</f>
        <v>0</v>
      </c>
      <c r="Q29" s="330">
        <f t="shared" ref="Q29:Q31" si="26">P29</f>
        <v>0</v>
      </c>
      <c r="R29" s="330">
        <f t="shared" ref="R29:R31" si="27">Q29</f>
        <v>0</v>
      </c>
    </row>
    <row r="30" spans="2:18" x14ac:dyDescent="0.2">
      <c r="B30" s="129" t="str">
        <f>'08 Ekonomická analýza - nové'!B6</f>
        <v>Prevádzkové náklady</v>
      </c>
      <c r="C30" s="329">
        <f>SUM(D30:R30)</f>
        <v>2985235.5509375781</v>
      </c>
      <c r="D30" s="330">
        <f>AVERAGE('08 Ekonomická analýza - nové'!D6:AG6)</f>
        <v>199015.70339583859</v>
      </c>
      <c r="E30" s="330">
        <f t="shared" ref="E30:G31" si="28">D30</f>
        <v>199015.70339583859</v>
      </c>
      <c r="F30" s="330">
        <f t="shared" si="28"/>
        <v>199015.70339583859</v>
      </c>
      <c r="G30" s="330">
        <f t="shared" si="28"/>
        <v>199015.70339583859</v>
      </c>
      <c r="H30" s="330">
        <f t="shared" si="17"/>
        <v>199015.70339583859</v>
      </c>
      <c r="I30" s="330">
        <f t="shared" si="18"/>
        <v>199015.70339583859</v>
      </c>
      <c r="J30" s="330">
        <f t="shared" si="19"/>
        <v>199015.70339583859</v>
      </c>
      <c r="K30" s="330">
        <f t="shared" si="20"/>
        <v>199015.70339583859</v>
      </c>
      <c r="L30" s="330">
        <f t="shared" si="21"/>
        <v>199015.70339583859</v>
      </c>
      <c r="M30" s="330">
        <f t="shared" si="22"/>
        <v>199015.70339583859</v>
      </c>
      <c r="N30" s="330">
        <f t="shared" si="23"/>
        <v>199015.70339583859</v>
      </c>
      <c r="O30" s="330">
        <f t="shared" si="24"/>
        <v>199015.70339583859</v>
      </c>
      <c r="P30" s="330">
        <f t="shared" si="25"/>
        <v>199015.70339583859</v>
      </c>
      <c r="Q30" s="330">
        <f t="shared" si="26"/>
        <v>199015.70339583859</v>
      </c>
      <c r="R30" s="330">
        <f t="shared" si="27"/>
        <v>199015.70339583859</v>
      </c>
    </row>
    <row r="31" spans="2:18" x14ac:dyDescent="0.2">
      <c r="B31" s="129" t="str">
        <f>'08 Ekonomická analýza - nové'!B7</f>
        <v>Čas cestujúcich</v>
      </c>
      <c r="C31" s="329">
        <f>SUM(D31:R31)</f>
        <v>260112.96728325667</v>
      </c>
      <c r="D31" s="330">
        <f>AVERAGE('08 Ekonomická analýza - nové'!D7:AG7)</f>
        <v>17340.86448555045</v>
      </c>
      <c r="E31" s="330">
        <f t="shared" si="28"/>
        <v>17340.86448555045</v>
      </c>
      <c r="F31" s="330">
        <f t="shared" si="28"/>
        <v>17340.86448555045</v>
      </c>
      <c r="G31" s="330">
        <f t="shared" si="28"/>
        <v>17340.86448555045</v>
      </c>
      <c r="H31" s="330">
        <f t="shared" si="17"/>
        <v>17340.86448555045</v>
      </c>
      <c r="I31" s="330">
        <f t="shared" si="18"/>
        <v>17340.86448555045</v>
      </c>
      <c r="J31" s="330">
        <f t="shared" si="19"/>
        <v>17340.86448555045</v>
      </c>
      <c r="K31" s="330">
        <f t="shared" si="20"/>
        <v>17340.86448555045</v>
      </c>
      <c r="L31" s="330">
        <f t="shared" si="21"/>
        <v>17340.86448555045</v>
      </c>
      <c r="M31" s="330">
        <f t="shared" si="22"/>
        <v>17340.86448555045</v>
      </c>
      <c r="N31" s="330">
        <f t="shared" si="23"/>
        <v>17340.86448555045</v>
      </c>
      <c r="O31" s="330">
        <f t="shared" si="24"/>
        <v>17340.86448555045</v>
      </c>
      <c r="P31" s="330">
        <f t="shared" si="25"/>
        <v>17340.86448555045</v>
      </c>
      <c r="Q31" s="330">
        <f t="shared" si="26"/>
        <v>17340.86448555045</v>
      </c>
      <c r="R31" s="330">
        <f t="shared" si="27"/>
        <v>17340.86448555045</v>
      </c>
    </row>
    <row r="32" spans="2:18" ht="15.75" x14ac:dyDescent="0.25">
      <c r="B32" s="331" t="s">
        <v>448</v>
      </c>
      <c r="C32" s="332">
        <f>IF(SUM(D32:R32)&lt;0,0,(SUM(D32:R32)))</f>
        <v>2245707.1889232239</v>
      </c>
      <c r="D32" s="333">
        <f>(D31+D30+D29)/((1+Parametre!$C$10)^(D27))</f>
        <v>206053.87417275144</v>
      </c>
      <c r="E32" s="333">
        <f>(E31+E30+E29)/((1+Parametre!$C$10)^(E27))</f>
        <v>196241.78492642994</v>
      </c>
      <c r="F32" s="333">
        <f>(F31+F30+F29)/((1+Parametre!$C$10)^(F27))</f>
        <v>186896.93802517137</v>
      </c>
      <c r="G32" s="333">
        <f>(G31+G30+G29)/((1+Parametre!$C$10)^(G27))</f>
        <v>177997.08383349655</v>
      </c>
      <c r="H32" s="333">
        <f>(H31+H30+H29)/((1+Parametre!$C$10)^(H27))</f>
        <v>169521.03222237766</v>
      </c>
      <c r="I32" s="333">
        <f>(I31+I30+I29)/((1+Parametre!$C$10)^(I27))</f>
        <v>161448.60211655017</v>
      </c>
      <c r="J32" s="333">
        <f>(J31+J30+J29)/((1+Parametre!$C$10)^(J27))</f>
        <v>153760.57344433345</v>
      </c>
      <c r="K32" s="333">
        <f>(K31+K30+K29)/((1+Parametre!$C$10)^(K27))</f>
        <v>146438.64137555569</v>
      </c>
      <c r="L32" s="333">
        <f>(L31+L30+L29)/((1+Parametre!$C$10)^(L27))</f>
        <v>139465.37273862446</v>
      </c>
      <c r="M32" s="333">
        <f>(M31+M30+M29)/((1+Parametre!$C$10)^(M27))</f>
        <v>132824.16451297569</v>
      </c>
      <c r="N32" s="333">
        <f>(N31+N30+N29)/((1+Parametre!$C$10)^(N27))</f>
        <v>126499.20429807207</v>
      </c>
      <c r="O32" s="333">
        <f>(O31+O30+O29)/((1+Parametre!$C$10)^(O27))</f>
        <v>120475.43266483056</v>
      </c>
      <c r="P32" s="333">
        <f>(P31+P30+P29)/((1+Parametre!$C$10)^(P27))</f>
        <v>114738.50729983862</v>
      </c>
      <c r="Q32" s="333">
        <f>(Q31+Q30+Q29)/((1+Parametre!$C$10)^(Q27))</f>
        <v>109274.76885698918</v>
      </c>
      <c r="R32" s="333">
        <f>(R31+R30+R29)/((1+Parametre!$C$10)^(R27))</f>
        <v>104071.20843522776</v>
      </c>
    </row>
  </sheetData>
  <sheetProtection algorithmName="SHA-512" hashValue="4m0953V/9ZZTDN178suij9s39vMNqcLTuhuueNWyeW7J7BGcQ1gIB2dY+6qeKZexhH4L9RHQOYhVX3jdrCUFYQ==" saltValue="POcq2ChGSuSNH0Wyy02CEg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2:AG48"/>
  <sheetViews>
    <sheetView zoomScaleNormal="100" workbookViewId="0">
      <selection activeCell="D5" sqref="D5:AG6"/>
    </sheetView>
  </sheetViews>
  <sheetFormatPr defaultColWidth="9.140625" defaultRowHeight="11.25" x14ac:dyDescent="0.2"/>
  <cols>
    <col min="1" max="1" width="2" style="2" customWidth="1"/>
    <col min="2" max="2" width="40.7109375" style="2" customWidth="1"/>
    <col min="3" max="3" width="13.42578125" style="2" customWidth="1"/>
    <col min="4" max="33" width="12.7109375" style="2" customWidth="1"/>
    <col min="34" max="16384" width="9.140625" style="2"/>
  </cols>
  <sheetData>
    <row r="2" spans="2:33" x14ac:dyDescent="0.2"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 t="s">
        <v>52</v>
      </c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</row>
    <row r="4" spans="2:33" x14ac:dyDescent="0.2">
      <c r="B4" s="6" t="s">
        <v>32</v>
      </c>
      <c r="C4" s="6" t="s">
        <v>9</v>
      </c>
      <c r="D4" s="15">
        <v>2023</v>
      </c>
      <c r="E4" s="15">
        <f>$D$4+D3</f>
        <v>2024</v>
      </c>
      <c r="F4" s="15">
        <f>$D$4+E3</f>
        <v>2025</v>
      </c>
      <c r="G4" s="15">
        <f>$D$4+F3</f>
        <v>2026</v>
      </c>
      <c r="H4" s="15">
        <f t="shared" ref="H4:AG4" si="0">$D$4+G3</f>
        <v>2027</v>
      </c>
      <c r="I4" s="15">
        <f t="shared" si="0"/>
        <v>2028</v>
      </c>
      <c r="J4" s="15">
        <f t="shared" si="0"/>
        <v>2029</v>
      </c>
      <c r="K4" s="15">
        <f t="shared" si="0"/>
        <v>2030</v>
      </c>
      <c r="L4" s="15">
        <f t="shared" si="0"/>
        <v>2031</v>
      </c>
      <c r="M4" s="15">
        <f t="shared" si="0"/>
        <v>2032</v>
      </c>
      <c r="N4" s="15">
        <f t="shared" si="0"/>
        <v>2033</v>
      </c>
      <c r="O4" s="15">
        <f t="shared" si="0"/>
        <v>2034</v>
      </c>
      <c r="P4" s="15">
        <f t="shared" si="0"/>
        <v>2035</v>
      </c>
      <c r="Q4" s="15">
        <f t="shared" si="0"/>
        <v>2036</v>
      </c>
      <c r="R4" s="15">
        <f t="shared" si="0"/>
        <v>2037</v>
      </c>
      <c r="S4" s="15">
        <f t="shared" si="0"/>
        <v>2038</v>
      </c>
      <c r="T4" s="15">
        <f t="shared" si="0"/>
        <v>2039</v>
      </c>
      <c r="U4" s="15">
        <f t="shared" si="0"/>
        <v>2040</v>
      </c>
      <c r="V4" s="15">
        <f t="shared" si="0"/>
        <v>2041</v>
      </c>
      <c r="W4" s="15">
        <f t="shared" si="0"/>
        <v>2042</v>
      </c>
      <c r="X4" s="15">
        <f t="shared" si="0"/>
        <v>2043</v>
      </c>
      <c r="Y4" s="15">
        <f t="shared" si="0"/>
        <v>2044</v>
      </c>
      <c r="Z4" s="15">
        <f t="shared" si="0"/>
        <v>2045</v>
      </c>
      <c r="AA4" s="15">
        <f t="shared" si="0"/>
        <v>2046</v>
      </c>
      <c r="AB4" s="15">
        <f t="shared" si="0"/>
        <v>2047</v>
      </c>
      <c r="AC4" s="15">
        <f t="shared" si="0"/>
        <v>2048</v>
      </c>
      <c r="AD4" s="15">
        <f t="shared" si="0"/>
        <v>2049</v>
      </c>
      <c r="AE4" s="15">
        <f t="shared" si="0"/>
        <v>2050</v>
      </c>
      <c r="AF4" s="15">
        <f t="shared" si="0"/>
        <v>2051</v>
      </c>
      <c r="AG4" s="15">
        <f t="shared" si="0"/>
        <v>2052</v>
      </c>
    </row>
    <row r="5" spans="2:33" x14ac:dyDescent="0.2">
      <c r="B5" s="3" t="s">
        <v>353</v>
      </c>
      <c r="C5" s="183">
        <f t="shared" ref="C5:C10" si="1">SUM(D5:AG5)</f>
        <v>190726544.88592482</v>
      </c>
      <c r="D5" s="186">
        <v>4599498.7706820788</v>
      </c>
      <c r="E5" s="186">
        <v>4807184.9321360365</v>
      </c>
      <c r="F5" s="186">
        <v>4980632.0697371401</v>
      </c>
      <c r="G5" s="186">
        <v>5071569.6548795328</v>
      </c>
      <c r="H5" s="186">
        <v>5164491.4176125219</v>
      </c>
      <c r="I5" s="186">
        <v>5259440.6509343181</v>
      </c>
      <c r="J5" s="186">
        <v>5356461.5924580228</v>
      </c>
      <c r="K5" s="186">
        <v>5455599.4450222887</v>
      </c>
      <c r="L5" s="186">
        <v>5556900.3977516806</v>
      </c>
      <c r="M5" s="186">
        <v>5660411.6475765677</v>
      </c>
      <c r="N5" s="186">
        <v>5766181.4212225508</v>
      </c>
      <c r="O5" s="186">
        <v>5874258.9976796824</v>
      </c>
      <c r="P5" s="186">
        <v>5984694.7311619474</v>
      </c>
      <c r="Q5" s="186">
        <v>6097540.0745676924</v>
      </c>
      <c r="R5" s="186">
        <v>6212847.6034519495</v>
      </c>
      <c r="S5" s="186">
        <v>6330671.0405218136</v>
      </c>
      <c r="T5" s="186">
        <v>6451065.2806662805</v>
      </c>
      <c r="U5" s="186">
        <v>6574086.4165322175</v>
      </c>
      <c r="V5" s="186">
        <v>6699791.7646583822</v>
      </c>
      <c r="W5" s="186">
        <v>6828239.8921796605</v>
      </c>
      <c r="X5" s="186">
        <v>6959490.6441139635</v>
      </c>
      <c r="Y5" s="186">
        <v>7093605.1712445077</v>
      </c>
      <c r="Z5" s="186">
        <v>7230645.9586104527</v>
      </c>
      <c r="AA5" s="186">
        <v>7370676.8546191929</v>
      </c>
      <c r="AB5" s="186">
        <v>7513763.1007938338</v>
      </c>
      <c r="AC5" s="186">
        <v>7659971.3621697538</v>
      </c>
      <c r="AD5" s="186">
        <v>7809369.7583543733</v>
      </c>
      <c r="AE5" s="186">
        <v>7962027.8952646386</v>
      </c>
      <c r="AF5" s="186">
        <v>8118016.897556968</v>
      </c>
      <c r="AG5" s="186">
        <v>8277409.441764812</v>
      </c>
    </row>
    <row r="6" spans="2:33" x14ac:dyDescent="0.2">
      <c r="B6" s="3" t="s">
        <v>351</v>
      </c>
      <c r="C6" s="183">
        <f t="shared" si="1"/>
        <v>88000000</v>
      </c>
      <c r="D6" s="186"/>
      <c r="E6" s="186"/>
      <c r="F6" s="186"/>
      <c r="G6" s="186">
        <v>20400000</v>
      </c>
      <c r="H6" s="186">
        <v>17000000</v>
      </c>
      <c r="I6" s="186">
        <v>27200000</v>
      </c>
      <c r="J6" s="186">
        <v>3400000</v>
      </c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>
        <v>540000</v>
      </c>
      <c r="W6" s="186">
        <v>450000</v>
      </c>
      <c r="X6" s="186">
        <v>720000</v>
      </c>
      <c r="Y6" s="186">
        <v>90000</v>
      </c>
      <c r="Z6" s="186"/>
      <c r="AA6" s="186">
        <v>5460000</v>
      </c>
      <c r="AB6" s="186">
        <v>4550000</v>
      </c>
      <c r="AC6" s="186">
        <v>7280000</v>
      </c>
      <c r="AD6" s="186">
        <v>910000</v>
      </c>
      <c r="AE6" s="186"/>
      <c r="AF6" s="186"/>
      <c r="AG6" s="186"/>
    </row>
    <row r="7" spans="2:33" x14ac:dyDescent="0.2">
      <c r="B7" s="4" t="s">
        <v>350</v>
      </c>
      <c r="C7" s="188">
        <f t="shared" si="1"/>
        <v>278726544.88592488</v>
      </c>
      <c r="D7" s="188">
        <f t="shared" ref="D7:AG7" si="2">SUM(D5:D6)</f>
        <v>4599498.7706820788</v>
      </c>
      <c r="E7" s="188">
        <f t="shared" si="2"/>
        <v>4807184.9321360365</v>
      </c>
      <c r="F7" s="188">
        <f t="shared" si="2"/>
        <v>4980632.0697371401</v>
      </c>
      <c r="G7" s="188">
        <f t="shared" si="2"/>
        <v>25471569.654879533</v>
      </c>
      <c r="H7" s="188">
        <f t="shared" si="2"/>
        <v>22164491.417612523</v>
      </c>
      <c r="I7" s="188">
        <f t="shared" si="2"/>
        <v>32459440.650934316</v>
      </c>
      <c r="J7" s="188">
        <f t="shared" si="2"/>
        <v>8756461.5924580228</v>
      </c>
      <c r="K7" s="188">
        <f t="shared" si="2"/>
        <v>5455599.4450222887</v>
      </c>
      <c r="L7" s="188">
        <f t="shared" si="2"/>
        <v>5556900.3977516806</v>
      </c>
      <c r="M7" s="188">
        <f t="shared" si="2"/>
        <v>5660411.6475765677</v>
      </c>
      <c r="N7" s="188">
        <f t="shared" si="2"/>
        <v>5766181.4212225508</v>
      </c>
      <c r="O7" s="188">
        <f t="shared" si="2"/>
        <v>5874258.9976796824</v>
      </c>
      <c r="P7" s="188">
        <f t="shared" si="2"/>
        <v>5984694.7311619474</v>
      </c>
      <c r="Q7" s="188">
        <f t="shared" si="2"/>
        <v>6097540.0745676924</v>
      </c>
      <c r="R7" s="188">
        <f t="shared" si="2"/>
        <v>6212847.6034519495</v>
      </c>
      <c r="S7" s="188">
        <f t="shared" si="2"/>
        <v>6330671.0405218136</v>
      </c>
      <c r="T7" s="188">
        <f t="shared" si="2"/>
        <v>6451065.2806662805</v>
      </c>
      <c r="U7" s="188">
        <f t="shared" si="2"/>
        <v>6574086.4165322175</v>
      </c>
      <c r="V7" s="188">
        <f t="shared" si="2"/>
        <v>7239791.7646583822</v>
      </c>
      <c r="W7" s="188">
        <f t="shared" si="2"/>
        <v>7278239.8921796605</v>
      </c>
      <c r="X7" s="188">
        <f t="shared" si="2"/>
        <v>7679490.6441139635</v>
      </c>
      <c r="Y7" s="188">
        <f t="shared" si="2"/>
        <v>7183605.1712445077</v>
      </c>
      <c r="Z7" s="188">
        <f t="shared" si="2"/>
        <v>7230645.9586104527</v>
      </c>
      <c r="AA7" s="188">
        <f t="shared" si="2"/>
        <v>12830676.854619194</v>
      </c>
      <c r="AB7" s="188">
        <f t="shared" si="2"/>
        <v>12063763.100793835</v>
      </c>
      <c r="AC7" s="188">
        <f t="shared" si="2"/>
        <v>14939971.362169754</v>
      </c>
      <c r="AD7" s="188">
        <f t="shared" si="2"/>
        <v>8719369.7583543733</v>
      </c>
      <c r="AE7" s="188">
        <f t="shared" si="2"/>
        <v>7962027.8952646386</v>
      </c>
      <c r="AF7" s="188">
        <f t="shared" si="2"/>
        <v>8118016.897556968</v>
      </c>
      <c r="AG7" s="188">
        <f t="shared" si="2"/>
        <v>8277409.441764812</v>
      </c>
    </row>
    <row r="8" spans="2:33" x14ac:dyDescent="0.2">
      <c r="B8" s="3" t="s">
        <v>56</v>
      </c>
      <c r="C8" s="183">
        <f t="shared" si="1"/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186">
        <v>0</v>
      </c>
      <c r="Q8" s="186">
        <v>0</v>
      </c>
      <c r="R8" s="186">
        <v>0</v>
      </c>
      <c r="S8" s="186">
        <v>0</v>
      </c>
      <c r="T8" s="186">
        <v>0</v>
      </c>
      <c r="U8" s="186">
        <v>0</v>
      </c>
      <c r="V8" s="186">
        <v>0</v>
      </c>
      <c r="W8" s="186">
        <v>0</v>
      </c>
      <c r="X8" s="186">
        <v>0</v>
      </c>
      <c r="Y8" s="186">
        <v>0</v>
      </c>
      <c r="Z8" s="186">
        <v>0</v>
      </c>
      <c r="AA8" s="186">
        <v>0</v>
      </c>
      <c r="AB8" s="186">
        <v>0</v>
      </c>
      <c r="AC8" s="186">
        <v>0</v>
      </c>
      <c r="AD8" s="186">
        <v>0</v>
      </c>
      <c r="AE8" s="186">
        <v>0</v>
      </c>
      <c r="AF8" s="186">
        <v>0</v>
      </c>
      <c r="AG8" s="186">
        <v>0</v>
      </c>
    </row>
    <row r="9" spans="2:33" ht="12" thickBot="1" x14ac:dyDescent="0.25">
      <c r="B9" s="16" t="s">
        <v>54</v>
      </c>
      <c r="C9" s="196">
        <f t="shared" si="1"/>
        <v>0</v>
      </c>
      <c r="D9" s="196">
        <f t="shared" ref="D9:AG9" si="3">SUM(D8:D8)</f>
        <v>0</v>
      </c>
      <c r="E9" s="196">
        <f t="shared" si="3"/>
        <v>0</v>
      </c>
      <c r="F9" s="196">
        <f t="shared" si="3"/>
        <v>0</v>
      </c>
      <c r="G9" s="196">
        <f t="shared" si="3"/>
        <v>0</v>
      </c>
      <c r="H9" s="196">
        <f t="shared" si="3"/>
        <v>0</v>
      </c>
      <c r="I9" s="196">
        <f t="shared" si="3"/>
        <v>0</v>
      </c>
      <c r="J9" s="196">
        <f t="shared" si="3"/>
        <v>0</v>
      </c>
      <c r="K9" s="196">
        <f t="shared" si="3"/>
        <v>0</v>
      </c>
      <c r="L9" s="196">
        <f t="shared" si="3"/>
        <v>0</v>
      </c>
      <c r="M9" s="196">
        <f t="shared" si="3"/>
        <v>0</v>
      </c>
      <c r="N9" s="196">
        <f t="shared" si="3"/>
        <v>0</v>
      </c>
      <c r="O9" s="196">
        <f t="shared" si="3"/>
        <v>0</v>
      </c>
      <c r="P9" s="196">
        <f t="shared" si="3"/>
        <v>0</v>
      </c>
      <c r="Q9" s="196">
        <f t="shared" si="3"/>
        <v>0</v>
      </c>
      <c r="R9" s="196">
        <f t="shared" si="3"/>
        <v>0</v>
      </c>
      <c r="S9" s="196">
        <f t="shared" si="3"/>
        <v>0</v>
      </c>
      <c r="T9" s="196">
        <f t="shared" si="3"/>
        <v>0</v>
      </c>
      <c r="U9" s="196">
        <f t="shared" si="3"/>
        <v>0</v>
      </c>
      <c r="V9" s="196">
        <f t="shared" si="3"/>
        <v>0</v>
      </c>
      <c r="W9" s="196">
        <f t="shared" si="3"/>
        <v>0</v>
      </c>
      <c r="X9" s="196">
        <f t="shared" si="3"/>
        <v>0</v>
      </c>
      <c r="Y9" s="196">
        <f t="shared" si="3"/>
        <v>0</v>
      </c>
      <c r="Z9" s="196">
        <f t="shared" si="3"/>
        <v>0</v>
      </c>
      <c r="AA9" s="196">
        <f t="shared" si="3"/>
        <v>0</v>
      </c>
      <c r="AB9" s="196">
        <f t="shared" si="3"/>
        <v>0</v>
      </c>
      <c r="AC9" s="196">
        <f t="shared" si="3"/>
        <v>0</v>
      </c>
      <c r="AD9" s="196">
        <f t="shared" si="3"/>
        <v>0</v>
      </c>
      <c r="AE9" s="196">
        <f t="shared" si="3"/>
        <v>0</v>
      </c>
      <c r="AF9" s="196">
        <f t="shared" si="3"/>
        <v>0</v>
      </c>
      <c r="AG9" s="196">
        <f t="shared" si="3"/>
        <v>0</v>
      </c>
    </row>
    <row r="10" spans="2:33" ht="12" thickTop="1" x14ac:dyDescent="0.2">
      <c r="B10" s="17" t="s">
        <v>53</v>
      </c>
      <c r="C10" s="197">
        <f t="shared" si="1"/>
        <v>278726544.88592488</v>
      </c>
      <c r="D10" s="197">
        <f t="shared" ref="D10:AG10" si="4">SUM(D7,D9)</f>
        <v>4599498.7706820788</v>
      </c>
      <c r="E10" s="197">
        <f t="shared" si="4"/>
        <v>4807184.9321360365</v>
      </c>
      <c r="F10" s="197">
        <f t="shared" si="4"/>
        <v>4980632.0697371401</v>
      </c>
      <c r="G10" s="197">
        <f t="shared" si="4"/>
        <v>25471569.654879533</v>
      </c>
      <c r="H10" s="197">
        <f t="shared" si="4"/>
        <v>22164491.417612523</v>
      </c>
      <c r="I10" s="197">
        <f t="shared" si="4"/>
        <v>32459440.650934316</v>
      </c>
      <c r="J10" s="197">
        <f t="shared" si="4"/>
        <v>8756461.5924580228</v>
      </c>
      <c r="K10" s="197">
        <f t="shared" si="4"/>
        <v>5455599.4450222887</v>
      </c>
      <c r="L10" s="197">
        <f t="shared" si="4"/>
        <v>5556900.3977516806</v>
      </c>
      <c r="M10" s="197">
        <f t="shared" si="4"/>
        <v>5660411.6475765677</v>
      </c>
      <c r="N10" s="197">
        <f t="shared" si="4"/>
        <v>5766181.4212225508</v>
      </c>
      <c r="O10" s="197">
        <f t="shared" si="4"/>
        <v>5874258.9976796824</v>
      </c>
      <c r="P10" s="197">
        <f t="shared" si="4"/>
        <v>5984694.7311619474</v>
      </c>
      <c r="Q10" s="197">
        <f t="shared" si="4"/>
        <v>6097540.0745676924</v>
      </c>
      <c r="R10" s="197">
        <f t="shared" si="4"/>
        <v>6212847.6034519495</v>
      </c>
      <c r="S10" s="197">
        <f t="shared" si="4"/>
        <v>6330671.0405218136</v>
      </c>
      <c r="T10" s="197">
        <f t="shared" si="4"/>
        <v>6451065.2806662805</v>
      </c>
      <c r="U10" s="197">
        <f t="shared" si="4"/>
        <v>6574086.4165322175</v>
      </c>
      <c r="V10" s="197">
        <f t="shared" si="4"/>
        <v>7239791.7646583822</v>
      </c>
      <c r="W10" s="197">
        <f t="shared" si="4"/>
        <v>7278239.8921796605</v>
      </c>
      <c r="X10" s="197">
        <f t="shared" si="4"/>
        <v>7679490.6441139635</v>
      </c>
      <c r="Y10" s="197">
        <f t="shared" si="4"/>
        <v>7183605.1712445077</v>
      </c>
      <c r="Z10" s="197">
        <f t="shared" si="4"/>
        <v>7230645.9586104527</v>
      </c>
      <c r="AA10" s="197">
        <f t="shared" si="4"/>
        <v>12830676.854619194</v>
      </c>
      <c r="AB10" s="197">
        <f t="shared" si="4"/>
        <v>12063763.100793835</v>
      </c>
      <c r="AC10" s="197">
        <f t="shared" si="4"/>
        <v>14939971.362169754</v>
      </c>
      <c r="AD10" s="197">
        <f t="shared" si="4"/>
        <v>8719369.7583543733</v>
      </c>
      <c r="AE10" s="197">
        <f t="shared" si="4"/>
        <v>7962027.8952646386</v>
      </c>
      <c r="AF10" s="197">
        <f t="shared" si="4"/>
        <v>8118016.897556968</v>
      </c>
      <c r="AG10" s="197">
        <f t="shared" si="4"/>
        <v>8277409.441764812</v>
      </c>
    </row>
    <row r="13" spans="2:33" x14ac:dyDescent="0.2">
      <c r="C13" s="3"/>
      <c r="D13" s="3" t="s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2:33" x14ac:dyDescent="0.2">
      <c r="B14" s="4" t="s">
        <v>57</v>
      </c>
      <c r="C14" s="4"/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  <c r="X14" s="5">
        <v>21</v>
      </c>
      <c r="Y14" s="5">
        <v>22</v>
      </c>
      <c r="Z14" s="5">
        <v>23</v>
      </c>
      <c r="AA14" s="5">
        <v>24</v>
      </c>
      <c r="AB14" s="5">
        <v>25</v>
      </c>
      <c r="AC14" s="5">
        <v>26</v>
      </c>
      <c r="AD14" s="5">
        <v>27</v>
      </c>
      <c r="AE14" s="5">
        <v>28</v>
      </c>
      <c r="AF14" s="5">
        <v>29</v>
      </c>
      <c r="AG14" s="5">
        <v>30</v>
      </c>
    </row>
    <row r="15" spans="2:33" x14ac:dyDescent="0.2">
      <c r="B15" s="6" t="s">
        <v>33</v>
      </c>
      <c r="C15" s="198" t="s">
        <v>9</v>
      </c>
      <c r="D15" s="7">
        <f>D4</f>
        <v>2023</v>
      </c>
      <c r="E15" s="7">
        <f>$D$4+D14</f>
        <v>2024</v>
      </c>
      <c r="F15" s="7">
        <f>$D$4+E14</f>
        <v>2025</v>
      </c>
      <c r="G15" s="7">
        <f>$D$4+F14</f>
        <v>2026</v>
      </c>
      <c r="H15" s="7">
        <f t="shared" ref="H15:AG15" si="5">$D$4+G14</f>
        <v>2027</v>
      </c>
      <c r="I15" s="7">
        <f t="shared" si="5"/>
        <v>2028</v>
      </c>
      <c r="J15" s="7">
        <f t="shared" si="5"/>
        <v>2029</v>
      </c>
      <c r="K15" s="7">
        <f t="shared" si="5"/>
        <v>2030</v>
      </c>
      <c r="L15" s="7">
        <f t="shared" si="5"/>
        <v>2031</v>
      </c>
      <c r="M15" s="7">
        <f t="shared" si="5"/>
        <v>2032</v>
      </c>
      <c r="N15" s="7">
        <f t="shared" si="5"/>
        <v>2033</v>
      </c>
      <c r="O15" s="7">
        <f t="shared" si="5"/>
        <v>2034</v>
      </c>
      <c r="P15" s="7">
        <f t="shared" si="5"/>
        <v>2035</v>
      </c>
      <c r="Q15" s="7">
        <f t="shared" si="5"/>
        <v>2036</v>
      </c>
      <c r="R15" s="7">
        <f t="shared" si="5"/>
        <v>2037</v>
      </c>
      <c r="S15" s="7">
        <f t="shared" si="5"/>
        <v>2038</v>
      </c>
      <c r="T15" s="7">
        <f t="shared" si="5"/>
        <v>2039</v>
      </c>
      <c r="U15" s="7">
        <f t="shared" si="5"/>
        <v>2040</v>
      </c>
      <c r="V15" s="7">
        <f t="shared" si="5"/>
        <v>2041</v>
      </c>
      <c r="W15" s="7">
        <f t="shared" si="5"/>
        <v>2042</v>
      </c>
      <c r="X15" s="7">
        <f t="shared" si="5"/>
        <v>2043</v>
      </c>
      <c r="Y15" s="7">
        <f t="shared" si="5"/>
        <v>2044</v>
      </c>
      <c r="Z15" s="7">
        <f t="shared" si="5"/>
        <v>2045</v>
      </c>
      <c r="AA15" s="7">
        <f t="shared" si="5"/>
        <v>2046</v>
      </c>
      <c r="AB15" s="7">
        <f t="shared" si="5"/>
        <v>2047</v>
      </c>
      <c r="AC15" s="7">
        <f t="shared" si="5"/>
        <v>2048</v>
      </c>
      <c r="AD15" s="7">
        <f t="shared" si="5"/>
        <v>2049</v>
      </c>
      <c r="AE15" s="7">
        <f t="shared" si="5"/>
        <v>2050</v>
      </c>
      <c r="AF15" s="7">
        <f t="shared" si="5"/>
        <v>2051</v>
      </c>
      <c r="AG15" s="7">
        <f t="shared" si="5"/>
        <v>2052</v>
      </c>
    </row>
    <row r="16" spans="2:33" x14ac:dyDescent="0.2">
      <c r="B16" s="3" t="s">
        <v>353</v>
      </c>
      <c r="C16" s="183">
        <f t="shared" ref="C16:C21" si="6">SUM(D16:AG16)</f>
        <v>254092688.10606354</v>
      </c>
      <c r="D16" s="186">
        <v>4599498.7706820788</v>
      </c>
      <c r="E16" s="186">
        <v>4807184.9321360365</v>
      </c>
      <c r="F16" s="186">
        <v>4980632.0697371401</v>
      </c>
      <c r="G16" s="186">
        <v>6979992.9826622764</v>
      </c>
      <c r="H16" s="186">
        <v>7520477.1027379576</v>
      </c>
      <c r="I16" s="186">
        <v>7615945.0716675967</v>
      </c>
      <c r="J16" s="186">
        <v>7713496.0671508135</v>
      </c>
      <c r="K16" s="186">
        <v>7813175.5389826708</v>
      </c>
      <c r="L16" s="186">
        <v>7915029.9286325164</v>
      </c>
      <c r="M16" s="186">
        <v>8019106.6908814441</v>
      </c>
      <c r="N16" s="186">
        <v>8125454.3159318473</v>
      </c>
      <c r="O16" s="186">
        <v>8234122.3519994076</v>
      </c>
      <c r="P16" s="186">
        <v>8345161.4283979991</v>
      </c>
      <c r="Q16" s="186">
        <v>8458623.2791282982</v>
      </c>
      <c r="R16" s="186">
        <v>8574560.7669810727</v>
      </c>
      <c r="S16" s="186">
        <v>8693027.9081663713</v>
      </c>
      <c r="T16" s="186">
        <v>8814079.8974801265</v>
      </c>
      <c r="U16" s="186">
        <v>8937773.134019848</v>
      </c>
      <c r="V16" s="186">
        <v>9064165.247461414</v>
      </c>
      <c r="W16" s="186">
        <v>9193315.1249092035</v>
      </c>
      <c r="X16" s="186">
        <v>9325282.938332079</v>
      </c>
      <c r="Y16" s="186">
        <v>9460130.1725979801</v>
      </c>
      <c r="Z16" s="186">
        <v>9597919.6541202292</v>
      </c>
      <c r="AA16" s="186">
        <v>9738715.5801288635</v>
      </c>
      <c r="AB16" s="186">
        <v>9882583.5485806242</v>
      </c>
      <c r="AC16" s="186">
        <v>10029590.588721607</v>
      </c>
      <c r="AD16" s="186">
        <v>10179805.192316696</v>
      </c>
      <c r="AE16" s="186">
        <v>10333297.345560446</v>
      </c>
      <c r="AF16" s="186">
        <v>10490138.56168421</v>
      </c>
      <c r="AG16" s="186">
        <v>10650401.91427473</v>
      </c>
    </row>
    <row r="17" spans="2:33" x14ac:dyDescent="0.2">
      <c r="B17" s="3" t="s">
        <v>351</v>
      </c>
      <c r="C17" s="183">
        <f t="shared" si="6"/>
        <v>18000000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  <c r="P17" s="186">
        <v>0</v>
      </c>
      <c r="Q17" s="186">
        <v>0</v>
      </c>
      <c r="R17" s="186">
        <v>0</v>
      </c>
      <c r="S17" s="186">
        <v>0</v>
      </c>
      <c r="T17" s="186">
        <v>0</v>
      </c>
      <c r="U17" s="186">
        <v>0</v>
      </c>
      <c r="V17" s="186">
        <v>1080000</v>
      </c>
      <c r="W17" s="186">
        <v>540000</v>
      </c>
      <c r="X17" s="186">
        <v>0</v>
      </c>
      <c r="Y17" s="186">
        <v>0</v>
      </c>
      <c r="Z17" s="186">
        <v>10920000</v>
      </c>
      <c r="AA17" s="186">
        <v>5460000</v>
      </c>
      <c r="AB17" s="186">
        <v>0</v>
      </c>
      <c r="AC17" s="186">
        <v>0</v>
      </c>
      <c r="AD17" s="186">
        <v>0</v>
      </c>
      <c r="AE17" s="186">
        <v>0</v>
      </c>
      <c r="AF17" s="186">
        <v>0</v>
      </c>
      <c r="AG17" s="186">
        <v>0</v>
      </c>
    </row>
    <row r="18" spans="2:33" x14ac:dyDescent="0.2">
      <c r="B18" s="4" t="s">
        <v>350</v>
      </c>
      <c r="C18" s="188">
        <f t="shared" si="6"/>
        <v>272092688.10606354</v>
      </c>
      <c r="D18" s="188">
        <f t="shared" ref="D18:AG18" si="7">SUM(D16:D17)</f>
        <v>4599498.7706820788</v>
      </c>
      <c r="E18" s="188">
        <f t="shared" si="7"/>
        <v>4807184.9321360365</v>
      </c>
      <c r="F18" s="188">
        <f t="shared" si="7"/>
        <v>4980632.0697371401</v>
      </c>
      <c r="G18" s="188">
        <f t="shared" si="7"/>
        <v>6979992.9826622764</v>
      </c>
      <c r="H18" s="188">
        <f t="shared" si="7"/>
        <v>7520477.1027379576</v>
      </c>
      <c r="I18" s="188">
        <f t="shared" si="7"/>
        <v>7615945.0716675967</v>
      </c>
      <c r="J18" s="188">
        <f t="shared" si="7"/>
        <v>7713496.0671508135</v>
      </c>
      <c r="K18" s="188">
        <f t="shared" si="7"/>
        <v>7813175.5389826708</v>
      </c>
      <c r="L18" s="188">
        <f t="shared" si="7"/>
        <v>7915029.9286325164</v>
      </c>
      <c r="M18" s="188">
        <f t="shared" si="7"/>
        <v>8019106.6908814441</v>
      </c>
      <c r="N18" s="188">
        <f t="shared" si="7"/>
        <v>8125454.3159318473</v>
      </c>
      <c r="O18" s="188">
        <f t="shared" si="7"/>
        <v>8234122.3519994076</v>
      </c>
      <c r="P18" s="188">
        <f t="shared" si="7"/>
        <v>8345161.4283979991</v>
      </c>
      <c r="Q18" s="188">
        <f t="shared" si="7"/>
        <v>8458623.2791282982</v>
      </c>
      <c r="R18" s="188">
        <f t="shared" si="7"/>
        <v>8574560.7669810727</v>
      </c>
      <c r="S18" s="188">
        <f t="shared" si="7"/>
        <v>8693027.9081663713</v>
      </c>
      <c r="T18" s="188">
        <f t="shared" si="7"/>
        <v>8814079.8974801265</v>
      </c>
      <c r="U18" s="188">
        <f t="shared" si="7"/>
        <v>8937773.134019848</v>
      </c>
      <c r="V18" s="188">
        <f t="shared" si="7"/>
        <v>10144165.247461414</v>
      </c>
      <c r="W18" s="188">
        <f t="shared" si="7"/>
        <v>9733315.1249092035</v>
      </c>
      <c r="X18" s="188">
        <f t="shared" si="7"/>
        <v>9325282.938332079</v>
      </c>
      <c r="Y18" s="188">
        <f t="shared" si="7"/>
        <v>9460130.1725979801</v>
      </c>
      <c r="Z18" s="188">
        <f t="shared" si="7"/>
        <v>20517919.654120229</v>
      </c>
      <c r="AA18" s="188">
        <f t="shared" si="7"/>
        <v>15198715.580128863</v>
      </c>
      <c r="AB18" s="188">
        <f t="shared" si="7"/>
        <v>9882583.5485806242</v>
      </c>
      <c r="AC18" s="188">
        <f t="shared" si="7"/>
        <v>10029590.588721607</v>
      </c>
      <c r="AD18" s="188">
        <f t="shared" si="7"/>
        <v>10179805.192316696</v>
      </c>
      <c r="AE18" s="188">
        <f t="shared" si="7"/>
        <v>10333297.345560446</v>
      </c>
      <c r="AF18" s="188">
        <f t="shared" si="7"/>
        <v>10490138.56168421</v>
      </c>
      <c r="AG18" s="188">
        <f t="shared" si="7"/>
        <v>10650401.91427473</v>
      </c>
    </row>
    <row r="19" spans="2:33" x14ac:dyDescent="0.2">
      <c r="B19" s="3" t="s">
        <v>56</v>
      </c>
      <c r="C19" s="199">
        <f t="shared" si="6"/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0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186">
        <v>0</v>
      </c>
      <c r="Y19" s="186">
        <v>0</v>
      </c>
      <c r="Z19" s="186">
        <v>0</v>
      </c>
      <c r="AA19" s="186">
        <v>0</v>
      </c>
      <c r="AB19" s="186">
        <v>0</v>
      </c>
      <c r="AC19" s="186">
        <v>0</v>
      </c>
      <c r="AD19" s="186">
        <v>0</v>
      </c>
      <c r="AE19" s="186">
        <v>0</v>
      </c>
      <c r="AF19" s="186">
        <v>0</v>
      </c>
      <c r="AG19" s="186">
        <v>0</v>
      </c>
    </row>
    <row r="20" spans="2:33" ht="12" thickBot="1" x14ac:dyDescent="0.25">
      <c r="B20" s="16" t="s">
        <v>54</v>
      </c>
      <c r="C20" s="201">
        <f t="shared" si="6"/>
        <v>0</v>
      </c>
      <c r="D20" s="196">
        <f t="shared" ref="D20:AG20" si="8">SUM(D19:D19)</f>
        <v>0</v>
      </c>
      <c r="E20" s="196">
        <f t="shared" si="8"/>
        <v>0</v>
      </c>
      <c r="F20" s="196">
        <f t="shared" si="8"/>
        <v>0</v>
      </c>
      <c r="G20" s="196">
        <f t="shared" si="8"/>
        <v>0</v>
      </c>
      <c r="H20" s="196">
        <f t="shared" si="8"/>
        <v>0</v>
      </c>
      <c r="I20" s="196">
        <f t="shared" si="8"/>
        <v>0</v>
      </c>
      <c r="J20" s="196">
        <f t="shared" si="8"/>
        <v>0</v>
      </c>
      <c r="K20" s="196">
        <f t="shared" si="8"/>
        <v>0</v>
      </c>
      <c r="L20" s="196">
        <f t="shared" si="8"/>
        <v>0</v>
      </c>
      <c r="M20" s="196">
        <f t="shared" si="8"/>
        <v>0</v>
      </c>
      <c r="N20" s="196">
        <f t="shared" si="8"/>
        <v>0</v>
      </c>
      <c r="O20" s="196">
        <f t="shared" si="8"/>
        <v>0</v>
      </c>
      <c r="P20" s="196">
        <f t="shared" si="8"/>
        <v>0</v>
      </c>
      <c r="Q20" s="196">
        <f t="shared" si="8"/>
        <v>0</v>
      </c>
      <c r="R20" s="196">
        <f t="shared" si="8"/>
        <v>0</v>
      </c>
      <c r="S20" s="196">
        <f t="shared" si="8"/>
        <v>0</v>
      </c>
      <c r="T20" s="196">
        <f t="shared" si="8"/>
        <v>0</v>
      </c>
      <c r="U20" s="196">
        <f t="shared" si="8"/>
        <v>0</v>
      </c>
      <c r="V20" s="196">
        <f t="shared" si="8"/>
        <v>0</v>
      </c>
      <c r="W20" s="196">
        <f t="shared" si="8"/>
        <v>0</v>
      </c>
      <c r="X20" s="196">
        <f t="shared" si="8"/>
        <v>0</v>
      </c>
      <c r="Y20" s="196">
        <f t="shared" si="8"/>
        <v>0</v>
      </c>
      <c r="Z20" s="196">
        <f t="shared" si="8"/>
        <v>0</v>
      </c>
      <c r="AA20" s="196">
        <f t="shared" si="8"/>
        <v>0</v>
      </c>
      <c r="AB20" s="196">
        <f t="shared" si="8"/>
        <v>0</v>
      </c>
      <c r="AC20" s="196">
        <f t="shared" si="8"/>
        <v>0</v>
      </c>
      <c r="AD20" s="196">
        <f t="shared" si="8"/>
        <v>0</v>
      </c>
      <c r="AE20" s="196">
        <f t="shared" si="8"/>
        <v>0</v>
      </c>
      <c r="AF20" s="196">
        <f t="shared" si="8"/>
        <v>0</v>
      </c>
      <c r="AG20" s="196">
        <f t="shared" si="8"/>
        <v>0</v>
      </c>
    </row>
    <row r="21" spans="2:33" ht="12" thickTop="1" x14ac:dyDescent="0.2">
      <c r="B21" s="17" t="s">
        <v>53</v>
      </c>
      <c r="C21" s="188">
        <f t="shared" si="6"/>
        <v>272092688.10606354</v>
      </c>
      <c r="D21" s="197">
        <f t="shared" ref="D21:AG21" si="9">SUM(D18,D20)</f>
        <v>4599498.7706820788</v>
      </c>
      <c r="E21" s="197">
        <f t="shared" si="9"/>
        <v>4807184.9321360365</v>
      </c>
      <c r="F21" s="197">
        <f t="shared" si="9"/>
        <v>4980632.0697371401</v>
      </c>
      <c r="G21" s="197">
        <f t="shared" si="9"/>
        <v>6979992.9826622764</v>
      </c>
      <c r="H21" s="197">
        <f t="shared" si="9"/>
        <v>7520477.1027379576</v>
      </c>
      <c r="I21" s="197">
        <f t="shared" si="9"/>
        <v>7615945.0716675967</v>
      </c>
      <c r="J21" s="197">
        <f t="shared" si="9"/>
        <v>7713496.0671508135</v>
      </c>
      <c r="K21" s="197">
        <f t="shared" si="9"/>
        <v>7813175.5389826708</v>
      </c>
      <c r="L21" s="197">
        <f t="shared" si="9"/>
        <v>7915029.9286325164</v>
      </c>
      <c r="M21" s="197">
        <f t="shared" si="9"/>
        <v>8019106.6908814441</v>
      </c>
      <c r="N21" s="197">
        <f t="shared" si="9"/>
        <v>8125454.3159318473</v>
      </c>
      <c r="O21" s="197">
        <f t="shared" si="9"/>
        <v>8234122.3519994076</v>
      </c>
      <c r="P21" s="197">
        <f t="shared" si="9"/>
        <v>8345161.4283979991</v>
      </c>
      <c r="Q21" s="197">
        <f t="shared" si="9"/>
        <v>8458623.2791282982</v>
      </c>
      <c r="R21" s="197">
        <f t="shared" si="9"/>
        <v>8574560.7669810727</v>
      </c>
      <c r="S21" s="197">
        <f t="shared" si="9"/>
        <v>8693027.9081663713</v>
      </c>
      <c r="T21" s="197">
        <f t="shared" si="9"/>
        <v>8814079.8974801265</v>
      </c>
      <c r="U21" s="197">
        <f t="shared" si="9"/>
        <v>8937773.134019848</v>
      </c>
      <c r="V21" s="197">
        <f t="shared" si="9"/>
        <v>10144165.247461414</v>
      </c>
      <c r="W21" s="197">
        <f t="shared" si="9"/>
        <v>9733315.1249092035</v>
      </c>
      <c r="X21" s="197">
        <f t="shared" si="9"/>
        <v>9325282.938332079</v>
      </c>
      <c r="Y21" s="197">
        <f t="shared" si="9"/>
        <v>9460130.1725979801</v>
      </c>
      <c r="Z21" s="197">
        <f t="shared" si="9"/>
        <v>20517919.654120229</v>
      </c>
      <c r="AA21" s="197">
        <f t="shared" si="9"/>
        <v>15198715.580128863</v>
      </c>
      <c r="AB21" s="197">
        <f t="shared" si="9"/>
        <v>9882583.5485806242</v>
      </c>
      <c r="AC21" s="197">
        <f t="shared" si="9"/>
        <v>10029590.588721607</v>
      </c>
      <c r="AD21" s="197">
        <f t="shared" si="9"/>
        <v>10179805.192316696</v>
      </c>
      <c r="AE21" s="197">
        <f t="shared" si="9"/>
        <v>10333297.345560446</v>
      </c>
      <c r="AF21" s="197">
        <f t="shared" si="9"/>
        <v>10490138.56168421</v>
      </c>
      <c r="AG21" s="197">
        <f t="shared" si="9"/>
        <v>10650401.91427473</v>
      </c>
    </row>
    <row r="22" spans="2:33" x14ac:dyDescent="0.2">
      <c r="C22" s="202"/>
    </row>
    <row r="23" spans="2:33" x14ac:dyDescent="0.2">
      <c r="C23" s="202"/>
    </row>
    <row r="24" spans="2:33" x14ac:dyDescent="0.2">
      <c r="C24" s="199"/>
      <c r="D24" s="3" t="s">
        <v>10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2:33" x14ac:dyDescent="0.2">
      <c r="B25" s="4" t="s">
        <v>58</v>
      </c>
      <c r="C25" s="200"/>
      <c r="D25" s="3">
        <v>1</v>
      </c>
      <c r="E25" s="3">
        <v>2</v>
      </c>
      <c r="F25" s="3">
        <v>3</v>
      </c>
      <c r="G25" s="3">
        <v>4</v>
      </c>
      <c r="H25" s="3">
        <v>5</v>
      </c>
      <c r="I25" s="3">
        <v>6</v>
      </c>
      <c r="J25" s="3">
        <v>7</v>
      </c>
      <c r="K25" s="3">
        <v>8</v>
      </c>
      <c r="L25" s="3">
        <v>9</v>
      </c>
      <c r="M25" s="3">
        <v>10</v>
      </c>
      <c r="N25" s="3">
        <v>11</v>
      </c>
      <c r="O25" s="3">
        <v>12</v>
      </c>
      <c r="P25" s="3">
        <v>13</v>
      </c>
      <c r="Q25" s="3">
        <v>14</v>
      </c>
      <c r="R25" s="3">
        <v>15</v>
      </c>
      <c r="S25" s="3">
        <v>16</v>
      </c>
      <c r="T25" s="3">
        <v>17</v>
      </c>
      <c r="U25" s="3">
        <v>18</v>
      </c>
      <c r="V25" s="3">
        <v>19</v>
      </c>
      <c r="W25" s="3">
        <v>20</v>
      </c>
      <c r="X25" s="3">
        <v>21</v>
      </c>
      <c r="Y25" s="3">
        <v>22</v>
      </c>
      <c r="Z25" s="3">
        <v>23</v>
      </c>
      <c r="AA25" s="3">
        <v>24</v>
      </c>
      <c r="AB25" s="3">
        <v>25</v>
      </c>
      <c r="AC25" s="3">
        <v>26</v>
      </c>
      <c r="AD25" s="3">
        <v>27</v>
      </c>
      <c r="AE25" s="3">
        <v>28</v>
      </c>
      <c r="AF25" s="3">
        <v>29</v>
      </c>
      <c r="AG25" s="3">
        <v>30</v>
      </c>
    </row>
    <row r="26" spans="2:33" x14ac:dyDescent="0.2">
      <c r="B26" s="169" t="s">
        <v>41</v>
      </c>
      <c r="C26" s="203" t="s">
        <v>9</v>
      </c>
      <c r="D26" s="170">
        <f t="shared" ref="D26:AG26" si="10">D4</f>
        <v>2023</v>
      </c>
      <c r="E26" s="170">
        <f t="shared" si="10"/>
        <v>2024</v>
      </c>
      <c r="F26" s="170">
        <f t="shared" si="10"/>
        <v>2025</v>
      </c>
      <c r="G26" s="170">
        <f t="shared" si="10"/>
        <v>2026</v>
      </c>
      <c r="H26" s="170">
        <f t="shared" si="10"/>
        <v>2027</v>
      </c>
      <c r="I26" s="170">
        <f t="shared" si="10"/>
        <v>2028</v>
      </c>
      <c r="J26" s="170">
        <f t="shared" si="10"/>
        <v>2029</v>
      </c>
      <c r="K26" s="170">
        <f t="shared" si="10"/>
        <v>2030</v>
      </c>
      <c r="L26" s="170">
        <f t="shared" si="10"/>
        <v>2031</v>
      </c>
      <c r="M26" s="170">
        <f t="shared" si="10"/>
        <v>2032</v>
      </c>
      <c r="N26" s="170">
        <f t="shared" si="10"/>
        <v>2033</v>
      </c>
      <c r="O26" s="170">
        <f t="shared" si="10"/>
        <v>2034</v>
      </c>
      <c r="P26" s="170">
        <f t="shared" si="10"/>
        <v>2035</v>
      </c>
      <c r="Q26" s="170">
        <f t="shared" si="10"/>
        <v>2036</v>
      </c>
      <c r="R26" s="170">
        <f t="shared" si="10"/>
        <v>2037</v>
      </c>
      <c r="S26" s="170">
        <f t="shared" si="10"/>
        <v>2038</v>
      </c>
      <c r="T26" s="170">
        <f t="shared" si="10"/>
        <v>2039</v>
      </c>
      <c r="U26" s="170">
        <f t="shared" si="10"/>
        <v>2040</v>
      </c>
      <c r="V26" s="170">
        <f t="shared" si="10"/>
        <v>2041</v>
      </c>
      <c r="W26" s="170">
        <f t="shared" si="10"/>
        <v>2042</v>
      </c>
      <c r="X26" s="170">
        <f t="shared" si="10"/>
        <v>2043</v>
      </c>
      <c r="Y26" s="170">
        <f t="shared" si="10"/>
        <v>2044</v>
      </c>
      <c r="Z26" s="170">
        <f t="shared" si="10"/>
        <v>2045</v>
      </c>
      <c r="AA26" s="170">
        <f t="shared" si="10"/>
        <v>2046</v>
      </c>
      <c r="AB26" s="170">
        <f t="shared" si="10"/>
        <v>2047</v>
      </c>
      <c r="AC26" s="170">
        <f t="shared" si="10"/>
        <v>2048</v>
      </c>
      <c r="AD26" s="170">
        <f t="shared" si="10"/>
        <v>2049</v>
      </c>
      <c r="AE26" s="170">
        <f t="shared" si="10"/>
        <v>2050</v>
      </c>
      <c r="AF26" s="170">
        <f t="shared" si="10"/>
        <v>2051</v>
      </c>
      <c r="AG26" s="170">
        <f t="shared" si="10"/>
        <v>2052</v>
      </c>
    </row>
    <row r="27" spans="2:33" x14ac:dyDescent="0.2">
      <c r="B27" s="3" t="s">
        <v>353</v>
      </c>
      <c r="C27" s="183">
        <f t="shared" ref="C27:C32" si="11">SUM(D27:AG27)</f>
        <v>63366143.220138729</v>
      </c>
      <c r="D27" s="183">
        <f t="shared" ref="D27:AG27" si="12">D16-D5</f>
        <v>0</v>
      </c>
      <c r="E27" s="183">
        <f t="shared" si="12"/>
        <v>0</v>
      </c>
      <c r="F27" s="183">
        <f t="shared" si="12"/>
        <v>0</v>
      </c>
      <c r="G27" s="183">
        <f t="shared" si="12"/>
        <v>1908423.3277827436</v>
      </c>
      <c r="H27" s="183">
        <f t="shared" si="12"/>
        <v>2355985.6851254357</v>
      </c>
      <c r="I27" s="183">
        <f t="shared" si="12"/>
        <v>2356504.4207332786</v>
      </c>
      <c r="J27" s="183">
        <f t="shared" si="12"/>
        <v>2357034.4746927908</v>
      </c>
      <c r="K27" s="183">
        <f t="shared" si="12"/>
        <v>2357576.093960382</v>
      </c>
      <c r="L27" s="183">
        <f t="shared" si="12"/>
        <v>2358129.5308808358</v>
      </c>
      <c r="M27" s="183">
        <f t="shared" si="12"/>
        <v>2358695.0433048764</v>
      </c>
      <c r="N27" s="183">
        <f t="shared" si="12"/>
        <v>2359272.8947092965</v>
      </c>
      <c r="O27" s="183">
        <f t="shared" si="12"/>
        <v>2359863.3543197252</v>
      </c>
      <c r="P27" s="183">
        <f t="shared" si="12"/>
        <v>2360466.6972360518</v>
      </c>
      <c r="Q27" s="183">
        <f t="shared" si="12"/>
        <v>2361083.2045606058</v>
      </c>
      <c r="R27" s="183">
        <f t="shared" si="12"/>
        <v>2361713.1635291232</v>
      </c>
      <c r="S27" s="183">
        <f t="shared" si="12"/>
        <v>2362356.8676445577</v>
      </c>
      <c r="T27" s="183">
        <f t="shared" si="12"/>
        <v>2363014.6168138459</v>
      </c>
      <c r="U27" s="183">
        <f t="shared" si="12"/>
        <v>2363686.7174876304</v>
      </c>
      <c r="V27" s="183">
        <f t="shared" si="12"/>
        <v>2364373.4828030318</v>
      </c>
      <c r="W27" s="183">
        <f t="shared" si="12"/>
        <v>2365075.232729543</v>
      </c>
      <c r="X27" s="183">
        <f t="shared" si="12"/>
        <v>2365792.2942181155</v>
      </c>
      <c r="Y27" s="183">
        <f t="shared" si="12"/>
        <v>2366525.0013534725</v>
      </c>
      <c r="Z27" s="183">
        <f t="shared" si="12"/>
        <v>2367273.6955097765</v>
      </c>
      <c r="AA27" s="183">
        <f t="shared" si="12"/>
        <v>2368038.7255096706</v>
      </c>
      <c r="AB27" s="183">
        <f t="shared" si="12"/>
        <v>2368820.4477867903</v>
      </c>
      <c r="AC27" s="183">
        <f t="shared" si="12"/>
        <v>2369619.2265518531</v>
      </c>
      <c r="AD27" s="183">
        <f t="shared" si="12"/>
        <v>2370435.4339623228</v>
      </c>
      <c r="AE27" s="183">
        <f t="shared" si="12"/>
        <v>2371269.4502958078</v>
      </c>
      <c r="AF27" s="183">
        <f t="shared" si="12"/>
        <v>2372121.6641272418</v>
      </c>
      <c r="AG27" s="183">
        <f t="shared" si="12"/>
        <v>2372992.4725099178</v>
      </c>
    </row>
    <row r="28" spans="2:33" x14ac:dyDescent="0.2">
      <c r="B28" s="3" t="s">
        <v>351</v>
      </c>
      <c r="C28" s="183">
        <f t="shared" si="11"/>
        <v>-70000000</v>
      </c>
      <c r="D28" s="183">
        <f t="shared" ref="D28:AG28" si="13">D17-D6</f>
        <v>0</v>
      </c>
      <c r="E28" s="183">
        <f t="shared" si="13"/>
        <v>0</v>
      </c>
      <c r="F28" s="183">
        <f t="shared" si="13"/>
        <v>0</v>
      </c>
      <c r="G28" s="183">
        <f t="shared" si="13"/>
        <v>-20400000</v>
      </c>
      <c r="H28" s="183">
        <f t="shared" si="13"/>
        <v>-17000000</v>
      </c>
      <c r="I28" s="183">
        <f t="shared" si="13"/>
        <v>-27200000</v>
      </c>
      <c r="J28" s="183">
        <f t="shared" si="13"/>
        <v>-3400000</v>
      </c>
      <c r="K28" s="183">
        <f t="shared" si="13"/>
        <v>0</v>
      </c>
      <c r="L28" s="183">
        <f t="shared" si="13"/>
        <v>0</v>
      </c>
      <c r="M28" s="183">
        <f t="shared" si="13"/>
        <v>0</v>
      </c>
      <c r="N28" s="183">
        <f t="shared" si="13"/>
        <v>0</v>
      </c>
      <c r="O28" s="183">
        <f t="shared" si="13"/>
        <v>0</v>
      </c>
      <c r="P28" s="183">
        <f t="shared" si="13"/>
        <v>0</v>
      </c>
      <c r="Q28" s="183">
        <f t="shared" si="13"/>
        <v>0</v>
      </c>
      <c r="R28" s="183">
        <f t="shared" si="13"/>
        <v>0</v>
      </c>
      <c r="S28" s="183">
        <f t="shared" si="13"/>
        <v>0</v>
      </c>
      <c r="T28" s="183">
        <f t="shared" si="13"/>
        <v>0</v>
      </c>
      <c r="U28" s="183">
        <f t="shared" si="13"/>
        <v>0</v>
      </c>
      <c r="V28" s="183">
        <f t="shared" si="13"/>
        <v>540000</v>
      </c>
      <c r="W28" s="183">
        <f t="shared" si="13"/>
        <v>90000</v>
      </c>
      <c r="X28" s="183">
        <f t="shared" si="13"/>
        <v>-720000</v>
      </c>
      <c r="Y28" s="183">
        <f t="shared" si="13"/>
        <v>-90000</v>
      </c>
      <c r="Z28" s="183">
        <f t="shared" si="13"/>
        <v>10920000</v>
      </c>
      <c r="AA28" s="183">
        <f t="shared" si="13"/>
        <v>0</v>
      </c>
      <c r="AB28" s="183">
        <f t="shared" si="13"/>
        <v>-4550000</v>
      </c>
      <c r="AC28" s="183">
        <f t="shared" si="13"/>
        <v>-7280000</v>
      </c>
      <c r="AD28" s="183">
        <f t="shared" si="13"/>
        <v>-910000</v>
      </c>
      <c r="AE28" s="183">
        <f t="shared" si="13"/>
        <v>0</v>
      </c>
      <c r="AF28" s="183">
        <f t="shared" si="13"/>
        <v>0</v>
      </c>
      <c r="AG28" s="183">
        <f t="shared" si="13"/>
        <v>0</v>
      </c>
    </row>
    <row r="29" spans="2:33" x14ac:dyDescent="0.2">
      <c r="B29" s="4" t="s">
        <v>350</v>
      </c>
      <c r="C29" s="188">
        <f t="shared" si="11"/>
        <v>-6633856.7798612742</v>
      </c>
      <c r="D29" s="188">
        <f t="shared" ref="D29:AG29" si="14">SUM(D27:D28)</f>
        <v>0</v>
      </c>
      <c r="E29" s="188">
        <f t="shared" si="14"/>
        <v>0</v>
      </c>
      <c r="F29" s="188">
        <f t="shared" si="14"/>
        <v>0</v>
      </c>
      <c r="G29" s="188">
        <f t="shared" si="14"/>
        <v>-18491576.672217257</v>
      </c>
      <c r="H29" s="188">
        <f t="shared" si="14"/>
        <v>-14644014.314874563</v>
      </c>
      <c r="I29" s="188">
        <f t="shared" si="14"/>
        <v>-24843495.57926672</v>
      </c>
      <c r="J29" s="188">
        <f t="shared" si="14"/>
        <v>-1042965.5253072092</v>
      </c>
      <c r="K29" s="188">
        <f t="shared" si="14"/>
        <v>2357576.093960382</v>
      </c>
      <c r="L29" s="188">
        <f t="shared" si="14"/>
        <v>2358129.5308808358</v>
      </c>
      <c r="M29" s="188">
        <f t="shared" si="14"/>
        <v>2358695.0433048764</v>
      </c>
      <c r="N29" s="188">
        <f t="shared" si="14"/>
        <v>2359272.8947092965</v>
      </c>
      <c r="O29" s="188">
        <f t="shared" si="14"/>
        <v>2359863.3543197252</v>
      </c>
      <c r="P29" s="188">
        <f t="shared" si="14"/>
        <v>2360466.6972360518</v>
      </c>
      <c r="Q29" s="188">
        <f t="shared" si="14"/>
        <v>2361083.2045606058</v>
      </c>
      <c r="R29" s="188">
        <f t="shared" si="14"/>
        <v>2361713.1635291232</v>
      </c>
      <c r="S29" s="188">
        <f t="shared" si="14"/>
        <v>2362356.8676445577</v>
      </c>
      <c r="T29" s="188">
        <f t="shared" si="14"/>
        <v>2363014.6168138459</v>
      </c>
      <c r="U29" s="188">
        <f t="shared" si="14"/>
        <v>2363686.7174876304</v>
      </c>
      <c r="V29" s="188">
        <f t="shared" si="14"/>
        <v>2904373.4828030318</v>
      </c>
      <c r="W29" s="188">
        <f t="shared" si="14"/>
        <v>2455075.232729543</v>
      </c>
      <c r="X29" s="188">
        <f t="shared" si="14"/>
        <v>1645792.2942181155</v>
      </c>
      <c r="Y29" s="188">
        <f t="shared" si="14"/>
        <v>2276525.0013534725</v>
      </c>
      <c r="Z29" s="188">
        <f t="shared" si="14"/>
        <v>13287273.695509776</v>
      </c>
      <c r="AA29" s="188">
        <f t="shared" si="14"/>
        <v>2368038.7255096706</v>
      </c>
      <c r="AB29" s="188">
        <f t="shared" si="14"/>
        <v>-2181179.5522132097</v>
      </c>
      <c r="AC29" s="188">
        <f t="shared" si="14"/>
        <v>-4910380.7734481469</v>
      </c>
      <c r="AD29" s="188">
        <f t="shared" si="14"/>
        <v>1460435.4339623228</v>
      </c>
      <c r="AE29" s="188">
        <f t="shared" si="14"/>
        <v>2371269.4502958078</v>
      </c>
      <c r="AF29" s="188">
        <f t="shared" si="14"/>
        <v>2372121.6641272418</v>
      </c>
      <c r="AG29" s="188">
        <f t="shared" si="14"/>
        <v>2372992.4725099178</v>
      </c>
    </row>
    <row r="30" spans="2:33" x14ac:dyDescent="0.2">
      <c r="B30" s="3" t="s">
        <v>56</v>
      </c>
      <c r="C30" s="199">
        <f t="shared" si="11"/>
        <v>0</v>
      </c>
      <c r="D30" s="183">
        <f t="shared" ref="D30:AG30" si="15">D19-D8</f>
        <v>0</v>
      </c>
      <c r="E30" s="183">
        <f t="shared" si="15"/>
        <v>0</v>
      </c>
      <c r="F30" s="183">
        <f t="shared" si="15"/>
        <v>0</v>
      </c>
      <c r="G30" s="183">
        <f t="shared" si="15"/>
        <v>0</v>
      </c>
      <c r="H30" s="183">
        <f t="shared" si="15"/>
        <v>0</v>
      </c>
      <c r="I30" s="183">
        <f t="shared" si="15"/>
        <v>0</v>
      </c>
      <c r="J30" s="183">
        <f t="shared" si="15"/>
        <v>0</v>
      </c>
      <c r="K30" s="183">
        <f t="shared" si="15"/>
        <v>0</v>
      </c>
      <c r="L30" s="183">
        <f t="shared" si="15"/>
        <v>0</v>
      </c>
      <c r="M30" s="183">
        <f t="shared" si="15"/>
        <v>0</v>
      </c>
      <c r="N30" s="183">
        <f t="shared" si="15"/>
        <v>0</v>
      </c>
      <c r="O30" s="183">
        <f t="shared" si="15"/>
        <v>0</v>
      </c>
      <c r="P30" s="183">
        <f t="shared" si="15"/>
        <v>0</v>
      </c>
      <c r="Q30" s="183">
        <f t="shared" si="15"/>
        <v>0</v>
      </c>
      <c r="R30" s="183">
        <f t="shared" si="15"/>
        <v>0</v>
      </c>
      <c r="S30" s="183">
        <f t="shared" si="15"/>
        <v>0</v>
      </c>
      <c r="T30" s="183">
        <f t="shared" si="15"/>
        <v>0</v>
      </c>
      <c r="U30" s="183">
        <f t="shared" si="15"/>
        <v>0</v>
      </c>
      <c r="V30" s="183">
        <f t="shared" si="15"/>
        <v>0</v>
      </c>
      <c r="W30" s="183">
        <f t="shared" si="15"/>
        <v>0</v>
      </c>
      <c r="X30" s="183">
        <f t="shared" si="15"/>
        <v>0</v>
      </c>
      <c r="Y30" s="183">
        <f t="shared" si="15"/>
        <v>0</v>
      </c>
      <c r="Z30" s="183">
        <f t="shared" si="15"/>
        <v>0</v>
      </c>
      <c r="AA30" s="183">
        <f t="shared" si="15"/>
        <v>0</v>
      </c>
      <c r="AB30" s="183">
        <f t="shared" si="15"/>
        <v>0</v>
      </c>
      <c r="AC30" s="183">
        <f t="shared" si="15"/>
        <v>0</v>
      </c>
      <c r="AD30" s="183">
        <f t="shared" si="15"/>
        <v>0</v>
      </c>
      <c r="AE30" s="183">
        <f t="shared" si="15"/>
        <v>0</v>
      </c>
      <c r="AF30" s="183">
        <f t="shared" si="15"/>
        <v>0</v>
      </c>
      <c r="AG30" s="183">
        <f t="shared" si="15"/>
        <v>0</v>
      </c>
    </row>
    <row r="31" spans="2:33" ht="12" thickBot="1" x14ac:dyDescent="0.25">
      <c r="B31" s="16" t="s">
        <v>54</v>
      </c>
      <c r="C31" s="201">
        <f t="shared" si="11"/>
        <v>0</v>
      </c>
      <c r="D31" s="196">
        <f t="shared" ref="D31:AG31" si="16">SUM(D30:D30)</f>
        <v>0</v>
      </c>
      <c r="E31" s="196">
        <f t="shared" si="16"/>
        <v>0</v>
      </c>
      <c r="F31" s="196">
        <f t="shared" si="16"/>
        <v>0</v>
      </c>
      <c r="G31" s="196">
        <f t="shared" si="16"/>
        <v>0</v>
      </c>
      <c r="H31" s="196">
        <f t="shared" si="16"/>
        <v>0</v>
      </c>
      <c r="I31" s="196">
        <f t="shared" si="16"/>
        <v>0</v>
      </c>
      <c r="J31" s="196">
        <f t="shared" si="16"/>
        <v>0</v>
      </c>
      <c r="K31" s="196">
        <f t="shared" si="16"/>
        <v>0</v>
      </c>
      <c r="L31" s="196">
        <f t="shared" si="16"/>
        <v>0</v>
      </c>
      <c r="M31" s="196">
        <f t="shared" si="16"/>
        <v>0</v>
      </c>
      <c r="N31" s="196">
        <f t="shared" si="16"/>
        <v>0</v>
      </c>
      <c r="O31" s="196">
        <f t="shared" si="16"/>
        <v>0</v>
      </c>
      <c r="P31" s="196">
        <f t="shared" si="16"/>
        <v>0</v>
      </c>
      <c r="Q31" s="196">
        <f t="shared" si="16"/>
        <v>0</v>
      </c>
      <c r="R31" s="196">
        <f t="shared" si="16"/>
        <v>0</v>
      </c>
      <c r="S31" s="196">
        <f t="shared" si="16"/>
        <v>0</v>
      </c>
      <c r="T31" s="196">
        <f t="shared" si="16"/>
        <v>0</v>
      </c>
      <c r="U31" s="196">
        <f t="shared" si="16"/>
        <v>0</v>
      </c>
      <c r="V31" s="196">
        <f t="shared" si="16"/>
        <v>0</v>
      </c>
      <c r="W31" s="196">
        <f t="shared" si="16"/>
        <v>0</v>
      </c>
      <c r="X31" s="196">
        <f t="shared" si="16"/>
        <v>0</v>
      </c>
      <c r="Y31" s="196">
        <f t="shared" si="16"/>
        <v>0</v>
      </c>
      <c r="Z31" s="196">
        <f t="shared" si="16"/>
        <v>0</v>
      </c>
      <c r="AA31" s="196">
        <f t="shared" si="16"/>
        <v>0</v>
      </c>
      <c r="AB31" s="196">
        <f t="shared" si="16"/>
        <v>0</v>
      </c>
      <c r="AC31" s="196">
        <f t="shared" si="16"/>
        <v>0</v>
      </c>
      <c r="AD31" s="196">
        <f t="shared" si="16"/>
        <v>0</v>
      </c>
      <c r="AE31" s="196">
        <f t="shared" si="16"/>
        <v>0</v>
      </c>
      <c r="AF31" s="196">
        <f t="shared" si="16"/>
        <v>0</v>
      </c>
      <c r="AG31" s="196">
        <f t="shared" si="16"/>
        <v>0</v>
      </c>
    </row>
    <row r="32" spans="2:33" ht="12" thickTop="1" x14ac:dyDescent="0.2">
      <c r="B32" s="17" t="s">
        <v>53</v>
      </c>
      <c r="C32" s="188">
        <f t="shared" si="11"/>
        <v>-6633856.7798612742</v>
      </c>
      <c r="D32" s="197">
        <f t="shared" ref="D32:AG32" si="17">SUM(D29,D31)</f>
        <v>0</v>
      </c>
      <c r="E32" s="197">
        <f t="shared" si="17"/>
        <v>0</v>
      </c>
      <c r="F32" s="197">
        <f t="shared" si="17"/>
        <v>0</v>
      </c>
      <c r="G32" s="197">
        <f t="shared" si="17"/>
        <v>-18491576.672217257</v>
      </c>
      <c r="H32" s="197">
        <f t="shared" si="17"/>
        <v>-14644014.314874563</v>
      </c>
      <c r="I32" s="197">
        <f t="shared" si="17"/>
        <v>-24843495.57926672</v>
      </c>
      <c r="J32" s="197">
        <f t="shared" si="17"/>
        <v>-1042965.5253072092</v>
      </c>
      <c r="K32" s="197">
        <f t="shared" si="17"/>
        <v>2357576.093960382</v>
      </c>
      <c r="L32" s="197">
        <f t="shared" si="17"/>
        <v>2358129.5308808358</v>
      </c>
      <c r="M32" s="197">
        <f t="shared" si="17"/>
        <v>2358695.0433048764</v>
      </c>
      <c r="N32" s="197">
        <f t="shared" si="17"/>
        <v>2359272.8947092965</v>
      </c>
      <c r="O32" s="197">
        <f t="shared" si="17"/>
        <v>2359863.3543197252</v>
      </c>
      <c r="P32" s="197">
        <f t="shared" si="17"/>
        <v>2360466.6972360518</v>
      </c>
      <c r="Q32" s="197">
        <f t="shared" si="17"/>
        <v>2361083.2045606058</v>
      </c>
      <c r="R32" s="197">
        <f t="shared" si="17"/>
        <v>2361713.1635291232</v>
      </c>
      <c r="S32" s="197">
        <f t="shared" si="17"/>
        <v>2362356.8676445577</v>
      </c>
      <c r="T32" s="197">
        <f t="shared" si="17"/>
        <v>2363014.6168138459</v>
      </c>
      <c r="U32" s="197">
        <f t="shared" si="17"/>
        <v>2363686.7174876304</v>
      </c>
      <c r="V32" s="197">
        <f t="shared" si="17"/>
        <v>2904373.4828030318</v>
      </c>
      <c r="W32" s="197">
        <f t="shared" si="17"/>
        <v>2455075.232729543</v>
      </c>
      <c r="X32" s="197">
        <f t="shared" si="17"/>
        <v>1645792.2942181155</v>
      </c>
      <c r="Y32" s="197">
        <f t="shared" si="17"/>
        <v>2276525.0013534725</v>
      </c>
      <c r="Z32" s="197">
        <f t="shared" si="17"/>
        <v>13287273.695509776</v>
      </c>
      <c r="AA32" s="197">
        <f t="shared" si="17"/>
        <v>2368038.7255096706</v>
      </c>
      <c r="AB32" s="197">
        <f t="shared" si="17"/>
        <v>-2181179.5522132097</v>
      </c>
      <c r="AC32" s="197">
        <f t="shared" si="17"/>
        <v>-4910380.7734481469</v>
      </c>
      <c r="AD32" s="197">
        <f t="shared" si="17"/>
        <v>1460435.4339623228</v>
      </c>
      <c r="AE32" s="197">
        <f t="shared" si="17"/>
        <v>2371269.4502958078</v>
      </c>
      <c r="AF32" s="197">
        <f t="shared" si="17"/>
        <v>2372121.6641272418</v>
      </c>
      <c r="AG32" s="197">
        <f t="shared" si="17"/>
        <v>2372992.4725099178</v>
      </c>
    </row>
    <row r="33" spans="2:33" x14ac:dyDescent="0.2">
      <c r="C33" s="188"/>
    </row>
    <row r="34" spans="2:33" x14ac:dyDescent="0.2">
      <c r="C34" s="202"/>
    </row>
    <row r="35" spans="2:33" x14ac:dyDescent="0.2">
      <c r="C35" s="199"/>
      <c r="D35" s="3" t="s">
        <v>10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2">
      <c r="B36" s="4" t="s">
        <v>226</v>
      </c>
      <c r="C36" s="200"/>
      <c r="D36" s="3">
        <v>1</v>
      </c>
      <c r="E36" s="3">
        <v>2</v>
      </c>
      <c r="F36" s="3">
        <v>3</v>
      </c>
      <c r="G36" s="3">
        <v>4</v>
      </c>
      <c r="H36" s="3">
        <v>5</v>
      </c>
      <c r="I36" s="3">
        <v>6</v>
      </c>
      <c r="J36" s="3">
        <v>7</v>
      </c>
      <c r="K36" s="3">
        <v>8</v>
      </c>
      <c r="L36" s="3">
        <v>9</v>
      </c>
      <c r="M36" s="3">
        <v>10</v>
      </c>
      <c r="N36" s="3">
        <v>11</v>
      </c>
      <c r="O36" s="3">
        <v>12</v>
      </c>
      <c r="P36" s="3">
        <v>13</v>
      </c>
      <c r="Q36" s="3">
        <v>14</v>
      </c>
      <c r="R36" s="3">
        <v>15</v>
      </c>
      <c r="S36" s="3">
        <v>16</v>
      </c>
      <c r="T36" s="3">
        <v>17</v>
      </c>
      <c r="U36" s="3">
        <v>18</v>
      </c>
      <c r="V36" s="3">
        <v>19</v>
      </c>
      <c r="W36" s="3">
        <v>20</v>
      </c>
      <c r="X36" s="3">
        <v>21</v>
      </c>
      <c r="Y36" s="3">
        <v>22</v>
      </c>
      <c r="Z36" s="3">
        <v>23</v>
      </c>
      <c r="AA36" s="3">
        <v>24</v>
      </c>
      <c r="AB36" s="3">
        <v>25</v>
      </c>
      <c r="AC36" s="3">
        <v>26</v>
      </c>
      <c r="AD36" s="3">
        <v>27</v>
      </c>
      <c r="AE36" s="3">
        <v>28</v>
      </c>
      <c r="AF36" s="3">
        <v>29</v>
      </c>
      <c r="AG36" s="3">
        <v>30</v>
      </c>
    </row>
    <row r="37" spans="2:33" x14ac:dyDescent="0.2">
      <c r="B37" s="169" t="s">
        <v>41</v>
      </c>
      <c r="C37" s="203" t="s">
        <v>9</v>
      </c>
      <c r="D37" s="170">
        <f t="shared" ref="D37:AG37" si="18">D4</f>
        <v>2023</v>
      </c>
      <c r="E37" s="170">
        <f t="shared" si="18"/>
        <v>2024</v>
      </c>
      <c r="F37" s="170">
        <f t="shared" si="18"/>
        <v>2025</v>
      </c>
      <c r="G37" s="170">
        <f t="shared" si="18"/>
        <v>2026</v>
      </c>
      <c r="H37" s="170">
        <f t="shared" si="18"/>
        <v>2027</v>
      </c>
      <c r="I37" s="170">
        <f t="shared" si="18"/>
        <v>2028</v>
      </c>
      <c r="J37" s="170">
        <f t="shared" si="18"/>
        <v>2029</v>
      </c>
      <c r="K37" s="170">
        <f t="shared" si="18"/>
        <v>2030</v>
      </c>
      <c r="L37" s="170">
        <f t="shared" si="18"/>
        <v>2031</v>
      </c>
      <c r="M37" s="170">
        <f t="shared" si="18"/>
        <v>2032</v>
      </c>
      <c r="N37" s="170">
        <f t="shared" si="18"/>
        <v>2033</v>
      </c>
      <c r="O37" s="170">
        <f t="shared" si="18"/>
        <v>2034</v>
      </c>
      <c r="P37" s="170">
        <f t="shared" si="18"/>
        <v>2035</v>
      </c>
      <c r="Q37" s="170">
        <f t="shared" si="18"/>
        <v>2036</v>
      </c>
      <c r="R37" s="170">
        <f t="shared" si="18"/>
        <v>2037</v>
      </c>
      <c r="S37" s="170">
        <f t="shared" si="18"/>
        <v>2038</v>
      </c>
      <c r="T37" s="170">
        <f t="shared" si="18"/>
        <v>2039</v>
      </c>
      <c r="U37" s="170">
        <f t="shared" si="18"/>
        <v>2040</v>
      </c>
      <c r="V37" s="170">
        <f t="shared" si="18"/>
        <v>2041</v>
      </c>
      <c r="W37" s="170">
        <f t="shared" si="18"/>
        <v>2042</v>
      </c>
      <c r="X37" s="170">
        <f t="shared" si="18"/>
        <v>2043</v>
      </c>
      <c r="Y37" s="170">
        <f t="shared" si="18"/>
        <v>2044</v>
      </c>
      <c r="Z37" s="170">
        <f t="shared" si="18"/>
        <v>2045</v>
      </c>
      <c r="AA37" s="170">
        <f t="shared" si="18"/>
        <v>2046</v>
      </c>
      <c r="AB37" s="170">
        <f t="shared" si="18"/>
        <v>2047</v>
      </c>
      <c r="AC37" s="170">
        <f t="shared" si="18"/>
        <v>2048</v>
      </c>
      <c r="AD37" s="170">
        <f t="shared" si="18"/>
        <v>2049</v>
      </c>
      <c r="AE37" s="170">
        <f t="shared" si="18"/>
        <v>2050</v>
      </c>
      <c r="AF37" s="170">
        <f t="shared" si="18"/>
        <v>2051</v>
      </c>
      <c r="AG37" s="170">
        <f t="shared" si="18"/>
        <v>2052</v>
      </c>
    </row>
    <row r="38" spans="2:33" x14ac:dyDescent="0.2">
      <c r="B38" s="3" t="s">
        <v>353</v>
      </c>
      <c r="C38" s="183">
        <f t="shared" ref="C38:C43" si="19">SUM(D38:AG38)</f>
        <v>57029528.898124844</v>
      </c>
      <c r="D38" s="183">
        <f>D27*Parametre!$C$71</f>
        <v>0</v>
      </c>
      <c r="E38" s="183">
        <f>E27*Parametre!$C$71</f>
        <v>0</v>
      </c>
      <c r="F38" s="183">
        <f>F27*Parametre!$C$71</f>
        <v>0</v>
      </c>
      <c r="G38" s="183">
        <f>G27*Parametre!$C$71</f>
        <v>1717580.9950044693</v>
      </c>
      <c r="H38" s="183">
        <f>H27*Parametre!$C$71</f>
        <v>2120387.1166128921</v>
      </c>
      <c r="I38" s="183">
        <f>I27*Parametre!$C$71</f>
        <v>2120853.9786599507</v>
      </c>
      <c r="J38" s="183">
        <f>J27*Parametre!$C$71</f>
        <v>2121331.0272235116</v>
      </c>
      <c r="K38" s="183">
        <f>K27*Parametre!$C$71</f>
        <v>2121818.4845643439</v>
      </c>
      <c r="L38" s="183">
        <f>L27*Parametre!$C$71</f>
        <v>2122316.5777927525</v>
      </c>
      <c r="M38" s="183">
        <f>M27*Parametre!$C$71</f>
        <v>2122825.538974389</v>
      </c>
      <c r="N38" s="183">
        <f>N27*Parametre!$C$71</f>
        <v>2123345.6052383669</v>
      </c>
      <c r="O38" s="183">
        <f>O27*Parametre!$C$71</f>
        <v>2123877.0188877527</v>
      </c>
      <c r="P38" s="183">
        <f>P27*Parametre!$C$71</f>
        <v>2124420.0275124465</v>
      </c>
      <c r="Q38" s="183">
        <f>Q27*Parametre!$C$71</f>
        <v>2124974.8841045452</v>
      </c>
      <c r="R38" s="183">
        <f>R27*Parametre!$C$71</f>
        <v>2125541.847176211</v>
      </c>
      <c r="S38" s="183">
        <f>S27*Parametre!$C$71</f>
        <v>2126121.1808801019</v>
      </c>
      <c r="T38" s="183">
        <f>T27*Parametre!$C$71</f>
        <v>2126713.1551324613</v>
      </c>
      <c r="U38" s="183">
        <f>U27*Parametre!$C$71</f>
        <v>2127318.0457388675</v>
      </c>
      <c r="V38" s="183">
        <f>V27*Parametre!$C$71</f>
        <v>2127936.1345227286</v>
      </c>
      <c r="W38" s="183">
        <f>W27*Parametre!$C$71</f>
        <v>2128567.7094565886</v>
      </c>
      <c r="X38" s="183">
        <f>X27*Parametre!$C$71</f>
        <v>2129213.0647963039</v>
      </c>
      <c r="Y38" s="183">
        <f>Y27*Parametre!$C$71</f>
        <v>2129872.5012181252</v>
      </c>
      <c r="Z38" s="183">
        <f>Z27*Parametre!$C$71</f>
        <v>2130546.3259587991</v>
      </c>
      <c r="AA38" s="183">
        <f>AA27*Parametre!$C$71</f>
        <v>2131234.8529587034</v>
      </c>
      <c r="AB38" s="183">
        <f>AB27*Parametre!$C$71</f>
        <v>2131938.4030081113</v>
      </c>
      <c r="AC38" s="183">
        <f>AC27*Parametre!$C$71</f>
        <v>2132657.3038966679</v>
      </c>
      <c r="AD38" s="183">
        <f>AD27*Parametre!$C$71</f>
        <v>2133391.8905660906</v>
      </c>
      <c r="AE38" s="183">
        <f>AE27*Parametre!$C$71</f>
        <v>2134142.5052662273</v>
      </c>
      <c r="AF38" s="183">
        <f>AF27*Parametre!$C$71</f>
        <v>2134909.4977145176</v>
      </c>
      <c r="AG38" s="183">
        <f>AG27*Parametre!$C$71</f>
        <v>2135693.2252589259</v>
      </c>
    </row>
    <row r="39" spans="2:33" x14ac:dyDescent="0.2">
      <c r="B39" s="3" t="s">
        <v>351</v>
      </c>
      <c r="C39" s="183">
        <f t="shared" si="19"/>
        <v>-63000000</v>
      </c>
      <c r="D39" s="183">
        <f>D28*Parametre!$C$71</f>
        <v>0</v>
      </c>
      <c r="E39" s="183">
        <f>E28*Parametre!$C$71</f>
        <v>0</v>
      </c>
      <c r="F39" s="183">
        <f>F28*Parametre!$C$71</f>
        <v>0</v>
      </c>
      <c r="G39" s="183">
        <f>G28*Parametre!$C$71</f>
        <v>-18360000</v>
      </c>
      <c r="H39" s="183">
        <f>H28*Parametre!$C$71</f>
        <v>-15300000</v>
      </c>
      <c r="I39" s="183">
        <f>I28*Parametre!$C$71</f>
        <v>-24480000</v>
      </c>
      <c r="J39" s="183">
        <f>J28*Parametre!$C$71</f>
        <v>-3060000</v>
      </c>
      <c r="K39" s="183">
        <f>K28*Parametre!$C$71</f>
        <v>0</v>
      </c>
      <c r="L39" s="183">
        <f>L28*Parametre!$C$71</f>
        <v>0</v>
      </c>
      <c r="M39" s="183">
        <f>M28*Parametre!$C$71</f>
        <v>0</v>
      </c>
      <c r="N39" s="183">
        <f>N28*Parametre!$C$71</f>
        <v>0</v>
      </c>
      <c r="O39" s="183">
        <f>O28*Parametre!$C$71</f>
        <v>0</v>
      </c>
      <c r="P39" s="183">
        <f>P28*Parametre!$C$71</f>
        <v>0</v>
      </c>
      <c r="Q39" s="183">
        <f>Q28*Parametre!$C$71</f>
        <v>0</v>
      </c>
      <c r="R39" s="183">
        <f>R28*Parametre!$C$71</f>
        <v>0</v>
      </c>
      <c r="S39" s="183">
        <f>S28*Parametre!$C$71</f>
        <v>0</v>
      </c>
      <c r="T39" s="183">
        <f>T28*Parametre!$C$71</f>
        <v>0</v>
      </c>
      <c r="U39" s="183">
        <f>U28*Parametre!$C$71</f>
        <v>0</v>
      </c>
      <c r="V39" s="183">
        <f>V28*Parametre!$C$71</f>
        <v>486000</v>
      </c>
      <c r="W39" s="183">
        <f>W28*Parametre!$C$71</f>
        <v>81000</v>
      </c>
      <c r="X39" s="183">
        <f>X28*Parametre!$C$71</f>
        <v>-648000</v>
      </c>
      <c r="Y39" s="183">
        <f>Y28*Parametre!$C$71</f>
        <v>-81000</v>
      </c>
      <c r="Z39" s="183">
        <f>Z28*Parametre!$C$71</f>
        <v>9828000</v>
      </c>
      <c r="AA39" s="183">
        <f>AA28*Parametre!$C$71</f>
        <v>0</v>
      </c>
      <c r="AB39" s="183">
        <f>AB28*Parametre!$C$71</f>
        <v>-4095000</v>
      </c>
      <c r="AC39" s="183">
        <f>AC28*Parametre!$C$71</f>
        <v>-6552000</v>
      </c>
      <c r="AD39" s="183">
        <f>AD28*Parametre!$C$71</f>
        <v>-819000</v>
      </c>
      <c r="AE39" s="183">
        <f>AE28*Parametre!$C$71</f>
        <v>0</v>
      </c>
      <c r="AF39" s="183">
        <f>AF28*Parametre!$C$71</f>
        <v>0</v>
      </c>
      <c r="AG39" s="183">
        <f>AG28*Parametre!$C$71</f>
        <v>0</v>
      </c>
    </row>
    <row r="40" spans="2:33" x14ac:dyDescent="0.2">
      <c r="B40" s="4" t="s">
        <v>352</v>
      </c>
      <c r="C40" s="188">
        <f t="shared" si="19"/>
        <v>-5970471.101875158</v>
      </c>
      <c r="D40" s="188">
        <f t="shared" ref="D40:AG40" si="20">SUM(D38:D39)</f>
        <v>0</v>
      </c>
      <c r="E40" s="188">
        <f t="shared" si="20"/>
        <v>0</v>
      </c>
      <c r="F40" s="188">
        <f t="shared" si="20"/>
        <v>0</v>
      </c>
      <c r="G40" s="188">
        <f t="shared" si="20"/>
        <v>-16642419.00499553</v>
      </c>
      <c r="H40" s="188">
        <f t="shared" si="20"/>
        <v>-13179612.883387107</v>
      </c>
      <c r="I40" s="188">
        <f t="shared" si="20"/>
        <v>-22359146.02134005</v>
      </c>
      <c r="J40" s="188">
        <f t="shared" si="20"/>
        <v>-938668.9727764884</v>
      </c>
      <c r="K40" s="188">
        <f t="shared" si="20"/>
        <v>2121818.4845643439</v>
      </c>
      <c r="L40" s="188">
        <f t="shared" si="20"/>
        <v>2122316.5777927525</v>
      </c>
      <c r="M40" s="188">
        <f t="shared" si="20"/>
        <v>2122825.538974389</v>
      </c>
      <c r="N40" s="188">
        <f t="shared" si="20"/>
        <v>2123345.6052383669</v>
      </c>
      <c r="O40" s="188">
        <f t="shared" si="20"/>
        <v>2123877.0188877527</v>
      </c>
      <c r="P40" s="188">
        <f t="shared" si="20"/>
        <v>2124420.0275124465</v>
      </c>
      <c r="Q40" s="188">
        <f t="shared" si="20"/>
        <v>2124974.8841045452</v>
      </c>
      <c r="R40" s="188">
        <f t="shared" si="20"/>
        <v>2125541.847176211</v>
      </c>
      <c r="S40" s="188">
        <f t="shared" si="20"/>
        <v>2126121.1808801019</v>
      </c>
      <c r="T40" s="188">
        <f t="shared" si="20"/>
        <v>2126713.1551324613</v>
      </c>
      <c r="U40" s="188">
        <f t="shared" si="20"/>
        <v>2127318.0457388675</v>
      </c>
      <c r="V40" s="188">
        <f t="shared" si="20"/>
        <v>2613936.1345227286</v>
      </c>
      <c r="W40" s="188">
        <f t="shared" si="20"/>
        <v>2209567.7094565886</v>
      </c>
      <c r="X40" s="188">
        <f t="shared" si="20"/>
        <v>1481213.0647963039</v>
      </c>
      <c r="Y40" s="188">
        <f t="shared" si="20"/>
        <v>2048872.5012181252</v>
      </c>
      <c r="Z40" s="188">
        <f t="shared" si="20"/>
        <v>11958546.3259588</v>
      </c>
      <c r="AA40" s="188">
        <f t="shared" si="20"/>
        <v>2131234.8529587034</v>
      </c>
      <c r="AB40" s="188">
        <f t="shared" si="20"/>
        <v>-1963061.5969918887</v>
      </c>
      <c r="AC40" s="188">
        <f t="shared" si="20"/>
        <v>-4419342.6961033326</v>
      </c>
      <c r="AD40" s="188">
        <f t="shared" si="20"/>
        <v>1314391.8905660906</v>
      </c>
      <c r="AE40" s="188">
        <f t="shared" si="20"/>
        <v>2134142.5052662273</v>
      </c>
      <c r="AF40" s="188">
        <f t="shared" si="20"/>
        <v>2134909.4977145176</v>
      </c>
      <c r="AG40" s="188">
        <f t="shared" si="20"/>
        <v>2135693.2252589259</v>
      </c>
    </row>
    <row r="41" spans="2:33" x14ac:dyDescent="0.2">
      <c r="B41" s="3" t="s">
        <v>227</v>
      </c>
      <c r="C41" s="199">
        <f t="shared" si="19"/>
        <v>0</v>
      </c>
      <c r="D41" s="183">
        <f>D30*Parametre!$C$71</f>
        <v>0</v>
      </c>
      <c r="E41" s="183">
        <f>E30*Parametre!$C$71</f>
        <v>0</v>
      </c>
      <c r="F41" s="183">
        <f>F30*Parametre!$C$71</f>
        <v>0</v>
      </c>
      <c r="G41" s="183">
        <f>G30*Parametre!$C$71</f>
        <v>0</v>
      </c>
      <c r="H41" s="183">
        <f>H30*Parametre!$C$71</f>
        <v>0</v>
      </c>
      <c r="I41" s="183">
        <f>I30*Parametre!$C$71</f>
        <v>0</v>
      </c>
      <c r="J41" s="183">
        <f>J30*Parametre!$C$71</f>
        <v>0</v>
      </c>
      <c r="K41" s="183">
        <f>K30*Parametre!$C$71</f>
        <v>0</v>
      </c>
      <c r="L41" s="183">
        <f>L30*Parametre!$C$71</f>
        <v>0</v>
      </c>
      <c r="M41" s="183">
        <f>M30*Parametre!$C$71</f>
        <v>0</v>
      </c>
      <c r="N41" s="183">
        <f>N30*Parametre!$C$71</f>
        <v>0</v>
      </c>
      <c r="O41" s="183">
        <f>O30*Parametre!$C$71</f>
        <v>0</v>
      </c>
      <c r="P41" s="183">
        <f>P30*Parametre!$C$71</f>
        <v>0</v>
      </c>
      <c r="Q41" s="183">
        <f>Q30*Parametre!$C$71</f>
        <v>0</v>
      </c>
      <c r="R41" s="183">
        <f>R30*Parametre!$C$71</f>
        <v>0</v>
      </c>
      <c r="S41" s="183">
        <f>S30*Parametre!$C$71</f>
        <v>0</v>
      </c>
      <c r="T41" s="183">
        <f>T30*Parametre!$C$71</f>
        <v>0</v>
      </c>
      <c r="U41" s="183">
        <f>U30*Parametre!$C$71</f>
        <v>0</v>
      </c>
      <c r="V41" s="183">
        <f>V30*Parametre!$C$71</f>
        <v>0</v>
      </c>
      <c r="W41" s="183">
        <f>W30*Parametre!$C$71</f>
        <v>0</v>
      </c>
      <c r="X41" s="183">
        <f>X30*Parametre!$C$71</f>
        <v>0</v>
      </c>
      <c r="Y41" s="183">
        <f>Y30*Parametre!$C$71</f>
        <v>0</v>
      </c>
      <c r="Z41" s="183">
        <f>Z30*Parametre!$C$71</f>
        <v>0</v>
      </c>
      <c r="AA41" s="183">
        <f>AA30*Parametre!$C$71</f>
        <v>0</v>
      </c>
      <c r="AB41" s="183">
        <f>AB30*Parametre!$C$71</f>
        <v>0</v>
      </c>
      <c r="AC41" s="183">
        <f>AC30*Parametre!$C$71</f>
        <v>0</v>
      </c>
      <c r="AD41" s="183">
        <f>AD30*Parametre!$C$71</f>
        <v>0</v>
      </c>
      <c r="AE41" s="183">
        <f>AE30*Parametre!$C$71</f>
        <v>0</v>
      </c>
      <c r="AF41" s="183">
        <f>AF30*Parametre!$C$71</f>
        <v>0</v>
      </c>
      <c r="AG41" s="183">
        <f>AG30*Parametre!$C$71</f>
        <v>0</v>
      </c>
    </row>
    <row r="42" spans="2:33" ht="12" thickBot="1" x14ac:dyDescent="0.25">
      <c r="B42" s="16" t="s">
        <v>228</v>
      </c>
      <c r="C42" s="201">
        <f t="shared" si="19"/>
        <v>0</v>
      </c>
      <c r="D42" s="196">
        <f t="shared" ref="D42:AG42" si="21">SUM(D41:D41)</f>
        <v>0</v>
      </c>
      <c r="E42" s="196">
        <f t="shared" si="21"/>
        <v>0</v>
      </c>
      <c r="F42" s="196">
        <f t="shared" si="21"/>
        <v>0</v>
      </c>
      <c r="G42" s="196">
        <f t="shared" si="21"/>
        <v>0</v>
      </c>
      <c r="H42" s="196">
        <f t="shared" si="21"/>
        <v>0</v>
      </c>
      <c r="I42" s="196">
        <f t="shared" si="21"/>
        <v>0</v>
      </c>
      <c r="J42" s="196">
        <f t="shared" si="21"/>
        <v>0</v>
      </c>
      <c r="K42" s="196">
        <f t="shared" si="21"/>
        <v>0</v>
      </c>
      <c r="L42" s="196">
        <f t="shared" si="21"/>
        <v>0</v>
      </c>
      <c r="M42" s="196">
        <f t="shared" si="21"/>
        <v>0</v>
      </c>
      <c r="N42" s="196">
        <f t="shared" si="21"/>
        <v>0</v>
      </c>
      <c r="O42" s="196">
        <f t="shared" si="21"/>
        <v>0</v>
      </c>
      <c r="P42" s="196">
        <f t="shared" si="21"/>
        <v>0</v>
      </c>
      <c r="Q42" s="196">
        <f t="shared" si="21"/>
        <v>0</v>
      </c>
      <c r="R42" s="196">
        <f t="shared" si="21"/>
        <v>0</v>
      </c>
      <c r="S42" s="196">
        <f t="shared" si="21"/>
        <v>0</v>
      </c>
      <c r="T42" s="196">
        <f t="shared" si="21"/>
        <v>0</v>
      </c>
      <c r="U42" s="196">
        <f t="shared" si="21"/>
        <v>0</v>
      </c>
      <c r="V42" s="196">
        <f t="shared" si="21"/>
        <v>0</v>
      </c>
      <c r="W42" s="196">
        <f t="shared" si="21"/>
        <v>0</v>
      </c>
      <c r="X42" s="196">
        <f t="shared" si="21"/>
        <v>0</v>
      </c>
      <c r="Y42" s="196">
        <f t="shared" si="21"/>
        <v>0</v>
      </c>
      <c r="Z42" s="196">
        <f t="shared" si="21"/>
        <v>0</v>
      </c>
      <c r="AA42" s="196">
        <f t="shared" si="21"/>
        <v>0</v>
      </c>
      <c r="AB42" s="196">
        <f t="shared" si="21"/>
        <v>0</v>
      </c>
      <c r="AC42" s="196">
        <f t="shared" si="21"/>
        <v>0</v>
      </c>
      <c r="AD42" s="196">
        <f t="shared" si="21"/>
        <v>0</v>
      </c>
      <c r="AE42" s="196">
        <f t="shared" si="21"/>
        <v>0</v>
      </c>
      <c r="AF42" s="196">
        <f t="shared" si="21"/>
        <v>0</v>
      </c>
      <c r="AG42" s="196">
        <f t="shared" si="21"/>
        <v>0</v>
      </c>
    </row>
    <row r="43" spans="2:33" ht="12" thickTop="1" x14ac:dyDescent="0.2">
      <c r="B43" s="17" t="s">
        <v>229</v>
      </c>
      <c r="C43" s="188">
        <f t="shared" si="19"/>
        <v>-5970471.101875158</v>
      </c>
      <c r="D43" s="197">
        <f t="shared" ref="D43:AG43" si="22">SUM(D40,D42)</f>
        <v>0</v>
      </c>
      <c r="E43" s="197">
        <f t="shared" si="22"/>
        <v>0</v>
      </c>
      <c r="F43" s="197">
        <f t="shared" si="22"/>
        <v>0</v>
      </c>
      <c r="G43" s="197">
        <f t="shared" si="22"/>
        <v>-16642419.00499553</v>
      </c>
      <c r="H43" s="197">
        <f t="shared" si="22"/>
        <v>-13179612.883387107</v>
      </c>
      <c r="I43" s="197">
        <f t="shared" si="22"/>
        <v>-22359146.02134005</v>
      </c>
      <c r="J43" s="197">
        <f t="shared" si="22"/>
        <v>-938668.9727764884</v>
      </c>
      <c r="K43" s="197">
        <f t="shared" si="22"/>
        <v>2121818.4845643439</v>
      </c>
      <c r="L43" s="197">
        <f t="shared" si="22"/>
        <v>2122316.5777927525</v>
      </c>
      <c r="M43" s="197">
        <f t="shared" si="22"/>
        <v>2122825.538974389</v>
      </c>
      <c r="N43" s="197">
        <f t="shared" si="22"/>
        <v>2123345.6052383669</v>
      </c>
      <c r="O43" s="197">
        <f t="shared" si="22"/>
        <v>2123877.0188877527</v>
      </c>
      <c r="P43" s="197">
        <f t="shared" si="22"/>
        <v>2124420.0275124465</v>
      </c>
      <c r="Q43" s="197">
        <f t="shared" si="22"/>
        <v>2124974.8841045452</v>
      </c>
      <c r="R43" s="197">
        <f t="shared" si="22"/>
        <v>2125541.847176211</v>
      </c>
      <c r="S43" s="197">
        <f t="shared" si="22"/>
        <v>2126121.1808801019</v>
      </c>
      <c r="T43" s="197">
        <f t="shared" si="22"/>
        <v>2126713.1551324613</v>
      </c>
      <c r="U43" s="197">
        <f t="shared" si="22"/>
        <v>2127318.0457388675</v>
      </c>
      <c r="V43" s="197">
        <f t="shared" si="22"/>
        <v>2613936.1345227286</v>
      </c>
      <c r="W43" s="197">
        <f t="shared" si="22"/>
        <v>2209567.7094565886</v>
      </c>
      <c r="X43" s="197">
        <f t="shared" si="22"/>
        <v>1481213.0647963039</v>
      </c>
      <c r="Y43" s="197">
        <f t="shared" si="22"/>
        <v>2048872.5012181252</v>
      </c>
      <c r="Z43" s="197">
        <f t="shared" si="22"/>
        <v>11958546.3259588</v>
      </c>
      <c r="AA43" s="197">
        <f t="shared" si="22"/>
        <v>2131234.8529587034</v>
      </c>
      <c r="AB43" s="197">
        <f t="shared" si="22"/>
        <v>-1963061.5969918887</v>
      </c>
      <c r="AC43" s="197">
        <f t="shared" si="22"/>
        <v>-4419342.6961033326</v>
      </c>
      <c r="AD43" s="197">
        <f t="shared" si="22"/>
        <v>1314391.8905660906</v>
      </c>
      <c r="AE43" s="197">
        <f t="shared" si="22"/>
        <v>2134142.5052662273</v>
      </c>
      <c r="AF43" s="197">
        <f t="shared" si="22"/>
        <v>2134909.4977145176</v>
      </c>
      <c r="AG43" s="197">
        <f t="shared" si="22"/>
        <v>2135693.2252589259</v>
      </c>
    </row>
    <row r="45" spans="2:33" x14ac:dyDescent="0.2">
      <c r="B45" s="2" t="s">
        <v>214</v>
      </c>
    </row>
    <row r="46" spans="2:33" x14ac:dyDescent="0.2">
      <c r="B46" s="2" t="s">
        <v>215</v>
      </c>
    </row>
    <row r="48" spans="2:33" x14ac:dyDescent="0.2">
      <c r="G48" s="2" t="s">
        <v>486</v>
      </c>
      <c r="H48" s="2">
        <v>2</v>
      </c>
    </row>
  </sheetData>
  <sheetProtection algorithmName="SHA-512" hashValue="CyRyXL/Vuwww6947Xjs8QtfiKiQU8jTG6sofeFgniM8ZNQ27ec0hz2vGBOnhZUrGoF/YnUM8a7UbOdRTWdQItw==" saltValue="qXIwvI3W8jR6cCFptqIqBQ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18 D7" formulaRange="1"/>
    <ignoredError sqref="D29:AG29 D40:AG4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AG23"/>
  <sheetViews>
    <sheetView zoomScaleNormal="100" workbookViewId="0">
      <selection activeCell="H5" sqref="H5"/>
    </sheetView>
  </sheetViews>
  <sheetFormatPr defaultColWidth="9.140625" defaultRowHeight="11.25" x14ac:dyDescent="0.2"/>
  <cols>
    <col min="1" max="1" width="2.7109375" style="2" customWidth="1"/>
    <col min="2" max="2" width="30.7109375" style="2" customWidth="1"/>
    <col min="3" max="3" width="13.140625" style="2" customWidth="1"/>
    <col min="4" max="33" width="11.42578125" style="2" customWidth="1"/>
    <col min="34" max="16384" width="9.140625" style="2"/>
  </cols>
  <sheetData>
    <row r="2" spans="2:33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 t="s">
        <v>250</v>
      </c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</row>
    <row r="4" spans="2:33" x14ac:dyDescent="0.2">
      <c r="B4" s="6" t="s">
        <v>32</v>
      </c>
      <c r="C4" s="6" t="s">
        <v>9</v>
      </c>
      <c r="D4" s="7">
        <v>2023</v>
      </c>
      <c r="E4" s="7">
        <f>$D$4+D3</f>
        <v>2024</v>
      </c>
      <c r="F4" s="7">
        <f>$D$4+E3</f>
        <v>2025</v>
      </c>
      <c r="G4" s="7">
        <f t="shared" ref="G4:AG4" si="0">$D$4+F3</f>
        <v>2026</v>
      </c>
      <c r="H4" s="7">
        <f t="shared" si="0"/>
        <v>2027</v>
      </c>
      <c r="I4" s="7">
        <f t="shared" si="0"/>
        <v>2028</v>
      </c>
      <c r="J4" s="7">
        <f t="shared" si="0"/>
        <v>2029</v>
      </c>
      <c r="K4" s="7">
        <f t="shared" si="0"/>
        <v>2030</v>
      </c>
      <c r="L4" s="7">
        <f t="shared" si="0"/>
        <v>2031</v>
      </c>
      <c r="M4" s="7">
        <f t="shared" si="0"/>
        <v>2032</v>
      </c>
      <c r="N4" s="7">
        <f t="shared" si="0"/>
        <v>2033</v>
      </c>
      <c r="O4" s="7">
        <f t="shared" si="0"/>
        <v>2034</v>
      </c>
      <c r="P4" s="7">
        <f t="shared" si="0"/>
        <v>2035</v>
      </c>
      <c r="Q4" s="7">
        <f t="shared" si="0"/>
        <v>2036</v>
      </c>
      <c r="R4" s="7">
        <f t="shared" si="0"/>
        <v>2037</v>
      </c>
      <c r="S4" s="7">
        <f t="shared" si="0"/>
        <v>2038</v>
      </c>
      <c r="T4" s="7">
        <f t="shared" si="0"/>
        <v>2039</v>
      </c>
      <c r="U4" s="7">
        <f t="shared" si="0"/>
        <v>2040</v>
      </c>
      <c r="V4" s="7">
        <f t="shared" si="0"/>
        <v>2041</v>
      </c>
      <c r="W4" s="7">
        <f t="shared" si="0"/>
        <v>2042</v>
      </c>
      <c r="X4" s="7">
        <f t="shared" si="0"/>
        <v>2043</v>
      </c>
      <c r="Y4" s="7">
        <f t="shared" si="0"/>
        <v>2044</v>
      </c>
      <c r="Z4" s="7">
        <f t="shared" si="0"/>
        <v>2045</v>
      </c>
      <c r="AA4" s="7">
        <f t="shared" si="0"/>
        <v>2046</v>
      </c>
      <c r="AB4" s="7">
        <f t="shared" si="0"/>
        <v>2047</v>
      </c>
      <c r="AC4" s="7">
        <f t="shared" si="0"/>
        <v>2048</v>
      </c>
      <c r="AD4" s="7">
        <f t="shared" si="0"/>
        <v>2049</v>
      </c>
      <c r="AE4" s="7">
        <f t="shared" si="0"/>
        <v>2050</v>
      </c>
      <c r="AF4" s="7">
        <f t="shared" si="0"/>
        <v>2051</v>
      </c>
      <c r="AG4" s="7">
        <f t="shared" si="0"/>
        <v>2052</v>
      </c>
    </row>
    <row r="5" spans="2:33" x14ac:dyDescent="0.2">
      <c r="B5" s="3" t="s">
        <v>354</v>
      </c>
      <c r="C5" s="183">
        <f>SUM(D5:AG5)</f>
        <v>133720946.07956022</v>
      </c>
      <c r="D5" s="186">
        <v>3827958.8400000003</v>
      </c>
      <c r="E5" s="186">
        <v>3904518.0168000003</v>
      </c>
      <c r="F5" s="186">
        <v>3904518.0168000003</v>
      </c>
      <c r="G5" s="186">
        <v>3982608.3771360004</v>
      </c>
      <c r="H5" s="186">
        <v>3982608.3771360004</v>
      </c>
      <c r="I5" s="186">
        <v>4062260.5446787202</v>
      </c>
      <c r="J5" s="186">
        <v>4062260.5446787202</v>
      </c>
      <c r="K5" s="186">
        <v>4143505.7555722944</v>
      </c>
      <c r="L5" s="186">
        <v>4143505.7555722944</v>
      </c>
      <c r="M5" s="186">
        <v>4226375.8706837408</v>
      </c>
      <c r="N5" s="186">
        <v>4226375.8706837408</v>
      </c>
      <c r="O5" s="186">
        <v>4310903.3880974166</v>
      </c>
      <c r="P5" s="186">
        <v>4310903.3880974166</v>
      </c>
      <c r="Q5" s="186">
        <v>4397121.455859364</v>
      </c>
      <c r="R5" s="186">
        <v>4397121.455859364</v>
      </c>
      <c r="S5" s="186">
        <v>4485063.8849765519</v>
      </c>
      <c r="T5" s="186">
        <v>4485063.8849765519</v>
      </c>
      <c r="U5" s="186">
        <v>4574765.1626760829</v>
      </c>
      <c r="V5" s="186">
        <v>4574765.1626760829</v>
      </c>
      <c r="W5" s="186">
        <v>4666260.4659296041</v>
      </c>
      <c r="X5" s="186">
        <v>4666260.4659296041</v>
      </c>
      <c r="Y5" s="186">
        <v>4759585.6752481963</v>
      </c>
      <c r="Z5" s="186">
        <v>4759585.6752481963</v>
      </c>
      <c r="AA5" s="186">
        <v>4854777.3887531608</v>
      </c>
      <c r="AB5" s="186">
        <v>4854777.3887531608</v>
      </c>
      <c r="AC5" s="186">
        <v>4951872.9365282236</v>
      </c>
      <c r="AD5" s="186">
        <v>4951872.9365282236</v>
      </c>
      <c r="AE5" s="186">
        <v>5050910.395258788</v>
      </c>
      <c r="AF5" s="186">
        <v>5050910.395258788</v>
      </c>
      <c r="AG5" s="186">
        <v>5151928.603163965</v>
      </c>
    </row>
    <row r="6" spans="2:33" x14ac:dyDescent="0.2">
      <c r="B6" s="3" t="s">
        <v>55</v>
      </c>
      <c r="C6" s="183">
        <f>SUM(D6:AG6)</f>
        <v>0</v>
      </c>
      <c r="D6" s="186">
        <v>0</v>
      </c>
      <c r="E6" s="186">
        <v>0</v>
      </c>
      <c r="F6" s="186">
        <v>0</v>
      </c>
      <c r="G6" s="186">
        <v>0</v>
      </c>
      <c r="H6" s="186">
        <v>0</v>
      </c>
      <c r="I6" s="186">
        <v>0</v>
      </c>
      <c r="J6" s="186">
        <v>0</v>
      </c>
      <c r="K6" s="186">
        <v>0</v>
      </c>
      <c r="L6" s="186">
        <v>0</v>
      </c>
      <c r="M6" s="186">
        <v>0</v>
      </c>
      <c r="N6" s="186">
        <v>0</v>
      </c>
      <c r="O6" s="186">
        <v>0</v>
      </c>
      <c r="P6" s="186">
        <v>0</v>
      </c>
      <c r="Q6" s="186">
        <v>0</v>
      </c>
      <c r="R6" s="186">
        <v>0</v>
      </c>
      <c r="S6" s="186">
        <v>0</v>
      </c>
      <c r="T6" s="186">
        <v>0</v>
      </c>
      <c r="U6" s="186">
        <v>0</v>
      </c>
      <c r="V6" s="186">
        <v>0</v>
      </c>
      <c r="W6" s="186">
        <v>0</v>
      </c>
      <c r="X6" s="186">
        <v>0</v>
      </c>
      <c r="Y6" s="186">
        <v>0</v>
      </c>
      <c r="Z6" s="186">
        <v>0</v>
      </c>
      <c r="AA6" s="186">
        <v>0</v>
      </c>
      <c r="AB6" s="186">
        <v>0</v>
      </c>
      <c r="AC6" s="186">
        <v>0</v>
      </c>
      <c r="AD6" s="186">
        <v>0</v>
      </c>
      <c r="AE6" s="186">
        <v>0</v>
      </c>
      <c r="AF6" s="186">
        <v>0</v>
      </c>
      <c r="AG6" s="186">
        <v>0</v>
      </c>
    </row>
    <row r="7" spans="2:33" x14ac:dyDescent="0.2">
      <c r="B7" s="4" t="s">
        <v>11</v>
      </c>
      <c r="C7" s="188">
        <f>SUM(D7:AG7)</f>
        <v>133720946.07956022</v>
      </c>
      <c r="D7" s="188">
        <f>SUM(D5:D6)</f>
        <v>3827958.8400000003</v>
      </c>
      <c r="E7" s="188">
        <f t="shared" ref="E7:AG7" si="1">SUM(E5:E6)</f>
        <v>3904518.0168000003</v>
      </c>
      <c r="F7" s="188">
        <f t="shared" si="1"/>
        <v>3904518.0168000003</v>
      </c>
      <c r="G7" s="188">
        <f t="shared" si="1"/>
        <v>3982608.3771360004</v>
      </c>
      <c r="H7" s="188">
        <f t="shared" si="1"/>
        <v>3982608.3771360004</v>
      </c>
      <c r="I7" s="188">
        <f t="shared" si="1"/>
        <v>4062260.5446787202</v>
      </c>
      <c r="J7" s="188">
        <f t="shared" si="1"/>
        <v>4062260.5446787202</v>
      </c>
      <c r="K7" s="188">
        <f t="shared" si="1"/>
        <v>4143505.7555722944</v>
      </c>
      <c r="L7" s="188">
        <f t="shared" si="1"/>
        <v>4143505.7555722944</v>
      </c>
      <c r="M7" s="188">
        <f t="shared" si="1"/>
        <v>4226375.8706837408</v>
      </c>
      <c r="N7" s="188">
        <f t="shared" si="1"/>
        <v>4226375.8706837408</v>
      </c>
      <c r="O7" s="188">
        <f t="shared" si="1"/>
        <v>4310903.3880974166</v>
      </c>
      <c r="P7" s="188">
        <f t="shared" si="1"/>
        <v>4310903.3880974166</v>
      </c>
      <c r="Q7" s="188">
        <f t="shared" si="1"/>
        <v>4397121.455859364</v>
      </c>
      <c r="R7" s="188">
        <f t="shared" si="1"/>
        <v>4397121.455859364</v>
      </c>
      <c r="S7" s="188">
        <f t="shared" si="1"/>
        <v>4485063.8849765519</v>
      </c>
      <c r="T7" s="188">
        <f t="shared" si="1"/>
        <v>4485063.8849765519</v>
      </c>
      <c r="U7" s="188">
        <f t="shared" si="1"/>
        <v>4574765.1626760829</v>
      </c>
      <c r="V7" s="188">
        <f t="shared" si="1"/>
        <v>4574765.1626760829</v>
      </c>
      <c r="W7" s="188">
        <f t="shared" si="1"/>
        <v>4666260.4659296041</v>
      </c>
      <c r="X7" s="188">
        <f t="shared" si="1"/>
        <v>4666260.4659296041</v>
      </c>
      <c r="Y7" s="188">
        <f t="shared" si="1"/>
        <v>4759585.6752481963</v>
      </c>
      <c r="Z7" s="188">
        <f t="shared" si="1"/>
        <v>4759585.6752481963</v>
      </c>
      <c r="AA7" s="188">
        <f t="shared" si="1"/>
        <v>4854777.3887531608</v>
      </c>
      <c r="AB7" s="188">
        <f t="shared" si="1"/>
        <v>4854777.3887531608</v>
      </c>
      <c r="AC7" s="188">
        <f t="shared" si="1"/>
        <v>4951872.9365282236</v>
      </c>
      <c r="AD7" s="188">
        <f t="shared" si="1"/>
        <v>4951872.9365282236</v>
      </c>
      <c r="AE7" s="188">
        <f t="shared" si="1"/>
        <v>5050910.395258788</v>
      </c>
      <c r="AF7" s="188">
        <f t="shared" si="1"/>
        <v>5050910.395258788</v>
      </c>
      <c r="AG7" s="188">
        <f t="shared" si="1"/>
        <v>5151928.603163965</v>
      </c>
    </row>
    <row r="10" spans="2:33" x14ac:dyDescent="0.2">
      <c r="B10" s="3"/>
      <c r="C10" s="3"/>
      <c r="D10" s="3" t="s">
        <v>10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3" x14ac:dyDescent="0.2">
      <c r="B11" s="4" t="s">
        <v>251</v>
      </c>
      <c r="C11" s="4"/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3">
        <v>11</v>
      </c>
      <c r="O11" s="3">
        <v>12</v>
      </c>
      <c r="P11" s="3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</row>
    <row r="12" spans="2:33" x14ac:dyDescent="0.2">
      <c r="B12" s="6" t="s">
        <v>33</v>
      </c>
      <c r="C12" s="6" t="s">
        <v>9</v>
      </c>
      <c r="D12" s="15">
        <f>D4</f>
        <v>2023</v>
      </c>
      <c r="E12" s="15">
        <f>E4</f>
        <v>2024</v>
      </c>
      <c r="F12" s="15">
        <f>F4</f>
        <v>2025</v>
      </c>
      <c r="G12" s="15">
        <f t="shared" ref="G12:AG12" si="2">G4</f>
        <v>2026</v>
      </c>
      <c r="H12" s="15">
        <f t="shared" si="2"/>
        <v>2027</v>
      </c>
      <c r="I12" s="15">
        <f t="shared" si="2"/>
        <v>2028</v>
      </c>
      <c r="J12" s="15">
        <f t="shared" si="2"/>
        <v>2029</v>
      </c>
      <c r="K12" s="15">
        <f t="shared" si="2"/>
        <v>2030</v>
      </c>
      <c r="L12" s="15">
        <f t="shared" si="2"/>
        <v>2031</v>
      </c>
      <c r="M12" s="15">
        <f t="shared" si="2"/>
        <v>2032</v>
      </c>
      <c r="N12" s="15">
        <f t="shared" si="2"/>
        <v>2033</v>
      </c>
      <c r="O12" s="15">
        <f t="shared" si="2"/>
        <v>2034</v>
      </c>
      <c r="P12" s="15">
        <f t="shared" si="2"/>
        <v>2035</v>
      </c>
      <c r="Q12" s="15">
        <f t="shared" si="2"/>
        <v>2036</v>
      </c>
      <c r="R12" s="15">
        <f t="shared" si="2"/>
        <v>2037</v>
      </c>
      <c r="S12" s="15">
        <f t="shared" si="2"/>
        <v>2038</v>
      </c>
      <c r="T12" s="15">
        <f t="shared" si="2"/>
        <v>2039</v>
      </c>
      <c r="U12" s="15">
        <f t="shared" si="2"/>
        <v>2040</v>
      </c>
      <c r="V12" s="15">
        <f t="shared" si="2"/>
        <v>2041</v>
      </c>
      <c r="W12" s="15">
        <f t="shared" si="2"/>
        <v>2042</v>
      </c>
      <c r="X12" s="15">
        <f t="shared" si="2"/>
        <v>2043</v>
      </c>
      <c r="Y12" s="15">
        <f t="shared" si="2"/>
        <v>2044</v>
      </c>
      <c r="Z12" s="15">
        <f t="shared" si="2"/>
        <v>2045</v>
      </c>
      <c r="AA12" s="15">
        <f t="shared" si="2"/>
        <v>2046</v>
      </c>
      <c r="AB12" s="15">
        <f t="shared" si="2"/>
        <v>2047</v>
      </c>
      <c r="AC12" s="15">
        <f t="shared" si="2"/>
        <v>2048</v>
      </c>
      <c r="AD12" s="15">
        <f t="shared" si="2"/>
        <v>2049</v>
      </c>
      <c r="AE12" s="15">
        <f t="shared" si="2"/>
        <v>2050</v>
      </c>
      <c r="AF12" s="15">
        <f t="shared" si="2"/>
        <v>2051</v>
      </c>
      <c r="AG12" s="15">
        <f t="shared" si="2"/>
        <v>2052</v>
      </c>
    </row>
    <row r="13" spans="2:33" x14ac:dyDescent="0.2">
      <c r="B13" s="3" t="s">
        <v>354</v>
      </c>
      <c r="C13" s="183">
        <f>SUM(D13:AG13)</f>
        <v>151890153.74011132</v>
      </c>
      <c r="D13" s="186">
        <v>3827958.8400000003</v>
      </c>
      <c r="E13" s="186">
        <v>3904518.0168000003</v>
      </c>
      <c r="F13" s="186">
        <v>3904518.0168000003</v>
      </c>
      <c r="G13" s="186">
        <v>4641764.4050543997</v>
      </c>
      <c r="H13" s="186">
        <v>4573081.5812999997</v>
      </c>
      <c r="I13" s="186">
        <v>4664543.2129260004</v>
      </c>
      <c r="J13" s="186">
        <v>4664543.2129260004</v>
      </c>
      <c r="K13" s="186">
        <v>4757834.0771845197</v>
      </c>
      <c r="L13" s="186">
        <v>4757834.0771845197</v>
      </c>
      <c r="M13" s="186">
        <v>4852990.7587282099</v>
      </c>
      <c r="N13" s="186">
        <v>4852990.7587282099</v>
      </c>
      <c r="O13" s="186">
        <v>4950050.5739027746</v>
      </c>
      <c r="P13" s="186">
        <v>4950050.5739027746</v>
      </c>
      <c r="Q13" s="186">
        <v>5049051.5853808299</v>
      </c>
      <c r="R13" s="186">
        <v>5049051.5853808299</v>
      </c>
      <c r="S13" s="186">
        <v>5150032.6170884473</v>
      </c>
      <c r="T13" s="186">
        <v>5150032.6170884473</v>
      </c>
      <c r="U13" s="186">
        <v>5253033.2694302164</v>
      </c>
      <c r="V13" s="186">
        <v>5253033.2694302164</v>
      </c>
      <c r="W13" s="186">
        <v>5358093.934818821</v>
      </c>
      <c r="X13" s="186">
        <v>5358093.934818821</v>
      </c>
      <c r="Y13" s="186">
        <v>5465255.8135151975</v>
      </c>
      <c r="Z13" s="186">
        <v>5465255.8135151975</v>
      </c>
      <c r="AA13" s="186">
        <v>5574560.9297855012</v>
      </c>
      <c r="AB13" s="186">
        <v>5574560.9297855012</v>
      </c>
      <c r="AC13" s="186">
        <v>5686052.1483812118</v>
      </c>
      <c r="AD13" s="186">
        <v>5686052.1483812118</v>
      </c>
      <c r="AE13" s="186">
        <v>5799773.1913488349</v>
      </c>
      <c r="AF13" s="186">
        <v>5799773.1913488349</v>
      </c>
      <c r="AG13" s="186">
        <v>5915768.6551758125</v>
      </c>
    </row>
    <row r="14" spans="2:33" x14ac:dyDescent="0.2">
      <c r="B14" s="3" t="s">
        <v>55</v>
      </c>
      <c r="C14" s="183">
        <f>SUM(D14:AG14)</f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86">
        <v>0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6">
        <v>0</v>
      </c>
      <c r="X14" s="186">
        <v>0</v>
      </c>
      <c r="Y14" s="186">
        <v>0</v>
      </c>
      <c r="Z14" s="186">
        <v>0</v>
      </c>
      <c r="AA14" s="186">
        <v>0</v>
      </c>
      <c r="AB14" s="186">
        <v>0</v>
      </c>
      <c r="AC14" s="186">
        <v>0</v>
      </c>
      <c r="AD14" s="186">
        <v>0</v>
      </c>
      <c r="AE14" s="186">
        <v>0</v>
      </c>
      <c r="AF14" s="186">
        <v>0</v>
      </c>
      <c r="AG14" s="186">
        <v>0</v>
      </c>
    </row>
    <row r="15" spans="2:33" x14ac:dyDescent="0.2">
      <c r="B15" s="4" t="s">
        <v>11</v>
      </c>
      <c r="C15" s="188">
        <f>SUM(D15:AG15)</f>
        <v>151890153.74011132</v>
      </c>
      <c r="D15" s="188">
        <f>SUM(D13:D14)</f>
        <v>3827958.8400000003</v>
      </c>
      <c r="E15" s="188">
        <f t="shared" ref="E15:AG15" si="3">SUM(E13:E14)</f>
        <v>3904518.0168000003</v>
      </c>
      <c r="F15" s="188">
        <f t="shared" si="3"/>
        <v>3904518.0168000003</v>
      </c>
      <c r="G15" s="188">
        <f t="shared" si="3"/>
        <v>4641764.4050543997</v>
      </c>
      <c r="H15" s="188">
        <f t="shared" si="3"/>
        <v>4573081.5812999997</v>
      </c>
      <c r="I15" s="188">
        <f t="shared" si="3"/>
        <v>4664543.2129260004</v>
      </c>
      <c r="J15" s="188">
        <f t="shared" si="3"/>
        <v>4664543.2129260004</v>
      </c>
      <c r="K15" s="188">
        <f t="shared" si="3"/>
        <v>4757834.0771845197</v>
      </c>
      <c r="L15" s="188">
        <f t="shared" si="3"/>
        <v>4757834.0771845197</v>
      </c>
      <c r="M15" s="188">
        <f t="shared" si="3"/>
        <v>4852990.7587282099</v>
      </c>
      <c r="N15" s="188">
        <f t="shared" si="3"/>
        <v>4852990.7587282099</v>
      </c>
      <c r="O15" s="188">
        <f t="shared" si="3"/>
        <v>4950050.5739027746</v>
      </c>
      <c r="P15" s="188">
        <f t="shared" si="3"/>
        <v>4950050.5739027746</v>
      </c>
      <c r="Q15" s="188">
        <f t="shared" si="3"/>
        <v>5049051.5853808299</v>
      </c>
      <c r="R15" s="188">
        <f t="shared" si="3"/>
        <v>5049051.5853808299</v>
      </c>
      <c r="S15" s="188">
        <f t="shared" si="3"/>
        <v>5150032.6170884473</v>
      </c>
      <c r="T15" s="188">
        <f t="shared" si="3"/>
        <v>5150032.6170884473</v>
      </c>
      <c r="U15" s="188">
        <f t="shared" si="3"/>
        <v>5253033.2694302164</v>
      </c>
      <c r="V15" s="188">
        <f t="shared" si="3"/>
        <v>5253033.2694302164</v>
      </c>
      <c r="W15" s="188">
        <f t="shared" si="3"/>
        <v>5358093.934818821</v>
      </c>
      <c r="X15" s="188">
        <f t="shared" si="3"/>
        <v>5358093.934818821</v>
      </c>
      <c r="Y15" s="188">
        <f t="shared" si="3"/>
        <v>5465255.8135151975</v>
      </c>
      <c r="Z15" s="188">
        <f t="shared" si="3"/>
        <v>5465255.8135151975</v>
      </c>
      <c r="AA15" s="188">
        <f t="shared" si="3"/>
        <v>5574560.9297855012</v>
      </c>
      <c r="AB15" s="188">
        <f t="shared" si="3"/>
        <v>5574560.9297855012</v>
      </c>
      <c r="AC15" s="188">
        <f t="shared" si="3"/>
        <v>5686052.1483812118</v>
      </c>
      <c r="AD15" s="188">
        <f t="shared" si="3"/>
        <v>5686052.1483812118</v>
      </c>
      <c r="AE15" s="188">
        <f t="shared" si="3"/>
        <v>5799773.1913488349</v>
      </c>
      <c r="AF15" s="188">
        <f t="shared" si="3"/>
        <v>5799773.1913488349</v>
      </c>
      <c r="AG15" s="188">
        <f t="shared" si="3"/>
        <v>5915768.6551758125</v>
      </c>
    </row>
    <row r="18" spans="2:33" x14ac:dyDescent="0.2">
      <c r="B18" s="3"/>
      <c r="C18" s="3"/>
      <c r="D18" s="3" t="s">
        <v>10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2:33" x14ac:dyDescent="0.2">
      <c r="B19" s="4" t="s">
        <v>252</v>
      </c>
      <c r="C19" s="4"/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  <c r="P19" s="3">
        <v>13</v>
      </c>
      <c r="Q19" s="3">
        <v>14</v>
      </c>
      <c r="R19" s="3">
        <v>15</v>
      </c>
      <c r="S19" s="3">
        <v>16</v>
      </c>
      <c r="T19" s="3">
        <v>17</v>
      </c>
      <c r="U19" s="3">
        <v>18</v>
      </c>
      <c r="V19" s="3">
        <v>19</v>
      </c>
      <c r="W19" s="3">
        <v>20</v>
      </c>
      <c r="X19" s="3">
        <v>21</v>
      </c>
      <c r="Y19" s="3">
        <v>22</v>
      </c>
      <c r="Z19" s="3">
        <v>23</v>
      </c>
      <c r="AA19" s="3">
        <v>24</v>
      </c>
      <c r="AB19" s="3">
        <v>25</v>
      </c>
      <c r="AC19" s="3">
        <v>26</v>
      </c>
      <c r="AD19" s="3">
        <v>27</v>
      </c>
      <c r="AE19" s="3">
        <v>28</v>
      </c>
      <c r="AF19" s="3">
        <v>29</v>
      </c>
      <c r="AG19" s="3">
        <v>30</v>
      </c>
    </row>
    <row r="20" spans="2:33" x14ac:dyDescent="0.2">
      <c r="B20" s="169" t="s">
        <v>253</v>
      </c>
      <c r="C20" s="169" t="s">
        <v>9</v>
      </c>
      <c r="D20" s="170">
        <f>D4</f>
        <v>2023</v>
      </c>
      <c r="E20" s="170">
        <f t="shared" ref="E20:AG20" si="4">E4</f>
        <v>2024</v>
      </c>
      <c r="F20" s="170">
        <f t="shared" si="4"/>
        <v>2025</v>
      </c>
      <c r="G20" s="170">
        <f t="shared" si="4"/>
        <v>2026</v>
      </c>
      <c r="H20" s="170">
        <f t="shared" si="4"/>
        <v>2027</v>
      </c>
      <c r="I20" s="170">
        <f t="shared" si="4"/>
        <v>2028</v>
      </c>
      <c r="J20" s="170">
        <f t="shared" si="4"/>
        <v>2029</v>
      </c>
      <c r="K20" s="170">
        <f t="shared" si="4"/>
        <v>2030</v>
      </c>
      <c r="L20" s="170">
        <f t="shared" si="4"/>
        <v>2031</v>
      </c>
      <c r="M20" s="170">
        <f t="shared" si="4"/>
        <v>2032</v>
      </c>
      <c r="N20" s="170">
        <f t="shared" si="4"/>
        <v>2033</v>
      </c>
      <c r="O20" s="170">
        <f t="shared" si="4"/>
        <v>2034</v>
      </c>
      <c r="P20" s="170">
        <f t="shared" si="4"/>
        <v>2035</v>
      </c>
      <c r="Q20" s="170">
        <f t="shared" si="4"/>
        <v>2036</v>
      </c>
      <c r="R20" s="170">
        <f t="shared" si="4"/>
        <v>2037</v>
      </c>
      <c r="S20" s="170">
        <f t="shared" si="4"/>
        <v>2038</v>
      </c>
      <c r="T20" s="170">
        <f t="shared" si="4"/>
        <v>2039</v>
      </c>
      <c r="U20" s="170">
        <f t="shared" si="4"/>
        <v>2040</v>
      </c>
      <c r="V20" s="170">
        <f t="shared" si="4"/>
        <v>2041</v>
      </c>
      <c r="W20" s="170">
        <f t="shared" si="4"/>
        <v>2042</v>
      </c>
      <c r="X20" s="170">
        <f t="shared" si="4"/>
        <v>2043</v>
      </c>
      <c r="Y20" s="170">
        <f t="shared" si="4"/>
        <v>2044</v>
      </c>
      <c r="Z20" s="170">
        <f t="shared" si="4"/>
        <v>2045</v>
      </c>
      <c r="AA20" s="170">
        <f t="shared" si="4"/>
        <v>2046</v>
      </c>
      <c r="AB20" s="170">
        <f t="shared" si="4"/>
        <v>2047</v>
      </c>
      <c r="AC20" s="170">
        <f t="shared" si="4"/>
        <v>2048</v>
      </c>
      <c r="AD20" s="170">
        <f t="shared" si="4"/>
        <v>2049</v>
      </c>
      <c r="AE20" s="170">
        <f t="shared" si="4"/>
        <v>2050</v>
      </c>
      <c r="AF20" s="170">
        <f t="shared" si="4"/>
        <v>2051</v>
      </c>
      <c r="AG20" s="170">
        <f t="shared" si="4"/>
        <v>2052</v>
      </c>
    </row>
    <row r="21" spans="2:33" x14ac:dyDescent="0.2">
      <c r="B21" s="3" t="s">
        <v>354</v>
      </c>
      <c r="C21" s="183">
        <f>SUM(D21:AG21)</f>
        <v>18169207.66055109</v>
      </c>
      <c r="D21" s="183">
        <f>D13-D5</f>
        <v>0</v>
      </c>
      <c r="E21" s="183">
        <f t="shared" ref="E21:AG21" si="5">E13-E5</f>
        <v>0</v>
      </c>
      <c r="F21" s="183">
        <f t="shared" si="5"/>
        <v>0</v>
      </c>
      <c r="G21" s="183">
        <f t="shared" si="5"/>
        <v>659156.02791839931</v>
      </c>
      <c r="H21" s="183">
        <f t="shared" si="5"/>
        <v>590473.2041639993</v>
      </c>
      <c r="I21" s="183">
        <f t="shared" si="5"/>
        <v>602282.66824728018</v>
      </c>
      <c r="J21" s="183">
        <f t="shared" si="5"/>
        <v>602282.66824728018</v>
      </c>
      <c r="K21" s="183">
        <f t="shared" si="5"/>
        <v>614328.32161222538</v>
      </c>
      <c r="L21" s="183">
        <f t="shared" si="5"/>
        <v>614328.32161222538</v>
      </c>
      <c r="M21" s="183">
        <f t="shared" si="5"/>
        <v>626614.88804446906</v>
      </c>
      <c r="N21" s="183">
        <f t="shared" si="5"/>
        <v>626614.88804446906</v>
      </c>
      <c r="O21" s="183">
        <f t="shared" si="5"/>
        <v>639147.18580535799</v>
      </c>
      <c r="P21" s="183">
        <f t="shared" si="5"/>
        <v>639147.18580535799</v>
      </c>
      <c r="Q21" s="183">
        <f t="shared" si="5"/>
        <v>651930.12952146586</v>
      </c>
      <c r="R21" s="183">
        <f t="shared" si="5"/>
        <v>651930.12952146586</v>
      </c>
      <c r="S21" s="183">
        <f t="shared" si="5"/>
        <v>664968.73211189546</v>
      </c>
      <c r="T21" s="183">
        <f t="shared" si="5"/>
        <v>664968.73211189546</v>
      </c>
      <c r="U21" s="183">
        <f t="shared" si="5"/>
        <v>678268.10675413348</v>
      </c>
      <c r="V21" s="183">
        <f t="shared" si="5"/>
        <v>678268.10675413348</v>
      </c>
      <c r="W21" s="183">
        <f t="shared" si="5"/>
        <v>691833.46888921689</v>
      </c>
      <c r="X21" s="183">
        <f t="shared" si="5"/>
        <v>691833.46888921689</v>
      </c>
      <c r="Y21" s="183">
        <f t="shared" si="5"/>
        <v>705670.13826700114</v>
      </c>
      <c r="Z21" s="183">
        <f t="shared" si="5"/>
        <v>705670.13826700114</v>
      </c>
      <c r="AA21" s="183">
        <f t="shared" si="5"/>
        <v>719783.54103234038</v>
      </c>
      <c r="AB21" s="183">
        <f t="shared" si="5"/>
        <v>719783.54103234038</v>
      </c>
      <c r="AC21" s="183">
        <f t="shared" si="5"/>
        <v>734179.21185298823</v>
      </c>
      <c r="AD21" s="183">
        <f t="shared" si="5"/>
        <v>734179.21185298823</v>
      </c>
      <c r="AE21" s="183">
        <f t="shared" si="5"/>
        <v>748862.79609004688</v>
      </c>
      <c r="AF21" s="183">
        <f t="shared" si="5"/>
        <v>748862.79609004688</v>
      </c>
      <c r="AG21" s="183">
        <f t="shared" si="5"/>
        <v>763840.0520118475</v>
      </c>
    </row>
    <row r="22" spans="2:33" x14ac:dyDescent="0.2">
      <c r="B22" s="3" t="s">
        <v>55</v>
      </c>
      <c r="C22" s="183">
        <f>SUM(D22:AG22)</f>
        <v>0</v>
      </c>
      <c r="D22" s="183">
        <f>D14-D6</f>
        <v>0</v>
      </c>
      <c r="E22" s="183">
        <f t="shared" ref="E22:AG22" si="6">E14-E6</f>
        <v>0</v>
      </c>
      <c r="F22" s="183">
        <f t="shared" si="6"/>
        <v>0</v>
      </c>
      <c r="G22" s="183">
        <f t="shared" si="6"/>
        <v>0</v>
      </c>
      <c r="H22" s="183">
        <f t="shared" si="6"/>
        <v>0</v>
      </c>
      <c r="I22" s="183">
        <f t="shared" si="6"/>
        <v>0</v>
      </c>
      <c r="J22" s="183">
        <f t="shared" si="6"/>
        <v>0</v>
      </c>
      <c r="K22" s="183">
        <f t="shared" si="6"/>
        <v>0</v>
      </c>
      <c r="L22" s="183">
        <f t="shared" si="6"/>
        <v>0</v>
      </c>
      <c r="M22" s="183">
        <f t="shared" si="6"/>
        <v>0</v>
      </c>
      <c r="N22" s="183">
        <f t="shared" si="6"/>
        <v>0</v>
      </c>
      <c r="O22" s="183">
        <f t="shared" si="6"/>
        <v>0</v>
      </c>
      <c r="P22" s="183">
        <f t="shared" si="6"/>
        <v>0</v>
      </c>
      <c r="Q22" s="183">
        <f t="shared" si="6"/>
        <v>0</v>
      </c>
      <c r="R22" s="183">
        <f t="shared" si="6"/>
        <v>0</v>
      </c>
      <c r="S22" s="183">
        <f t="shared" si="6"/>
        <v>0</v>
      </c>
      <c r="T22" s="183">
        <f t="shared" si="6"/>
        <v>0</v>
      </c>
      <c r="U22" s="183">
        <f t="shared" si="6"/>
        <v>0</v>
      </c>
      <c r="V22" s="183">
        <f t="shared" si="6"/>
        <v>0</v>
      </c>
      <c r="W22" s="183">
        <f t="shared" si="6"/>
        <v>0</v>
      </c>
      <c r="X22" s="183">
        <f t="shared" si="6"/>
        <v>0</v>
      </c>
      <c r="Y22" s="183">
        <f t="shared" si="6"/>
        <v>0</v>
      </c>
      <c r="Z22" s="183">
        <f t="shared" si="6"/>
        <v>0</v>
      </c>
      <c r="AA22" s="183">
        <f t="shared" si="6"/>
        <v>0</v>
      </c>
      <c r="AB22" s="183">
        <f t="shared" si="6"/>
        <v>0</v>
      </c>
      <c r="AC22" s="183">
        <f t="shared" si="6"/>
        <v>0</v>
      </c>
      <c r="AD22" s="183">
        <f t="shared" si="6"/>
        <v>0</v>
      </c>
      <c r="AE22" s="183">
        <f t="shared" si="6"/>
        <v>0</v>
      </c>
      <c r="AF22" s="183">
        <f t="shared" si="6"/>
        <v>0</v>
      </c>
      <c r="AG22" s="183">
        <f t="shared" si="6"/>
        <v>0</v>
      </c>
    </row>
    <row r="23" spans="2:33" x14ac:dyDescent="0.2">
      <c r="B23" s="4" t="s">
        <v>11</v>
      </c>
      <c r="C23" s="188">
        <f>SUM(D23:AG23)</f>
        <v>18169207.66055109</v>
      </c>
      <c r="D23" s="188">
        <f>SUM(D21:D22)</f>
        <v>0</v>
      </c>
      <c r="E23" s="188">
        <f t="shared" ref="E23:AG23" si="7">SUM(E21:E22)</f>
        <v>0</v>
      </c>
      <c r="F23" s="188">
        <f t="shared" si="7"/>
        <v>0</v>
      </c>
      <c r="G23" s="188">
        <f t="shared" si="7"/>
        <v>659156.02791839931</v>
      </c>
      <c r="H23" s="188">
        <f t="shared" si="7"/>
        <v>590473.2041639993</v>
      </c>
      <c r="I23" s="188">
        <f t="shared" si="7"/>
        <v>602282.66824728018</v>
      </c>
      <c r="J23" s="188">
        <f t="shared" si="7"/>
        <v>602282.66824728018</v>
      </c>
      <c r="K23" s="188">
        <f t="shared" si="7"/>
        <v>614328.32161222538</v>
      </c>
      <c r="L23" s="188">
        <f t="shared" si="7"/>
        <v>614328.32161222538</v>
      </c>
      <c r="M23" s="188">
        <f t="shared" si="7"/>
        <v>626614.88804446906</v>
      </c>
      <c r="N23" s="188">
        <f t="shared" si="7"/>
        <v>626614.88804446906</v>
      </c>
      <c r="O23" s="188">
        <f t="shared" si="7"/>
        <v>639147.18580535799</v>
      </c>
      <c r="P23" s="188">
        <f t="shared" si="7"/>
        <v>639147.18580535799</v>
      </c>
      <c r="Q23" s="188">
        <f t="shared" si="7"/>
        <v>651930.12952146586</v>
      </c>
      <c r="R23" s="188">
        <f t="shared" si="7"/>
        <v>651930.12952146586</v>
      </c>
      <c r="S23" s="188">
        <f t="shared" si="7"/>
        <v>664968.73211189546</v>
      </c>
      <c r="T23" s="188">
        <f t="shared" si="7"/>
        <v>664968.73211189546</v>
      </c>
      <c r="U23" s="188">
        <f t="shared" si="7"/>
        <v>678268.10675413348</v>
      </c>
      <c r="V23" s="188">
        <f t="shared" si="7"/>
        <v>678268.10675413348</v>
      </c>
      <c r="W23" s="188">
        <f t="shared" si="7"/>
        <v>691833.46888921689</v>
      </c>
      <c r="X23" s="188">
        <f t="shared" si="7"/>
        <v>691833.46888921689</v>
      </c>
      <c r="Y23" s="188">
        <f t="shared" si="7"/>
        <v>705670.13826700114</v>
      </c>
      <c r="Z23" s="188">
        <f t="shared" si="7"/>
        <v>705670.13826700114</v>
      </c>
      <c r="AA23" s="188">
        <f t="shared" si="7"/>
        <v>719783.54103234038</v>
      </c>
      <c r="AB23" s="188">
        <f t="shared" si="7"/>
        <v>719783.54103234038</v>
      </c>
      <c r="AC23" s="188">
        <f t="shared" si="7"/>
        <v>734179.21185298823</v>
      </c>
      <c r="AD23" s="188">
        <f t="shared" si="7"/>
        <v>734179.21185298823</v>
      </c>
      <c r="AE23" s="188">
        <f t="shared" si="7"/>
        <v>748862.79609004688</v>
      </c>
      <c r="AF23" s="188">
        <f t="shared" si="7"/>
        <v>748862.79609004688</v>
      </c>
      <c r="AG23" s="188">
        <f t="shared" si="7"/>
        <v>763840.0520118475</v>
      </c>
    </row>
  </sheetData>
  <sheetProtection algorithmName="SHA-512" hashValue="dEf8yhmWmqVgqui2/Di0fJq0xPQS9oT6ShqHFeW4+DHBy2dQCC+WNMuoZP6PY/Ig/bbTK6F3H2NA5VWpU6Nz0w==" saltValue="TtCvVRoWBDLVYeVptVvKIw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2:AG23"/>
  <sheetViews>
    <sheetView zoomScaleNormal="100" workbookViewId="0">
      <selection activeCell="U38" sqref="U38"/>
    </sheetView>
  </sheetViews>
  <sheetFormatPr defaultColWidth="9.140625" defaultRowHeight="11.25" x14ac:dyDescent="0.2"/>
  <cols>
    <col min="1" max="1" width="2.42578125" style="2" customWidth="1"/>
    <col min="2" max="2" width="30.7109375" style="2" customWidth="1"/>
    <col min="3" max="4" width="12.7109375" style="2" customWidth="1"/>
    <col min="5" max="5" width="9.7109375" style="2" bestFit="1" customWidth="1"/>
    <col min="6" max="6" width="6.7109375" style="2" customWidth="1"/>
    <col min="7" max="8" width="11.7109375" style="2" customWidth="1"/>
    <col min="9" max="11" width="9.85546875" style="2" bestFit="1" customWidth="1"/>
    <col min="12" max="15" width="9.140625" style="2" bestFit="1" customWidth="1"/>
    <col min="16" max="16" width="6.7109375" style="2" bestFit="1" customWidth="1"/>
    <col min="17" max="33" width="6.7109375" style="2" customWidth="1"/>
    <col min="34" max="16384" width="9.140625" style="2"/>
  </cols>
  <sheetData>
    <row r="2" spans="2:33" x14ac:dyDescent="0.2">
      <c r="B2" s="6" t="s">
        <v>15</v>
      </c>
      <c r="C2" s="124" t="s">
        <v>25</v>
      </c>
      <c r="D2" s="124" t="s">
        <v>26</v>
      </c>
    </row>
    <row r="3" spans="2:33" x14ac:dyDescent="0.2">
      <c r="B3" s="3" t="s">
        <v>270</v>
      </c>
      <c r="C3" s="209">
        <f>'01 Investičné výdavky - nové'!C9</f>
        <v>63000000</v>
      </c>
      <c r="D3" s="210">
        <f>'06 Finančná analýza - nové'!C5</f>
        <v>55288735.075802661</v>
      </c>
      <c r="F3" s="2" t="s">
        <v>236</v>
      </c>
    </row>
    <row r="4" spans="2:33" x14ac:dyDescent="0.2">
      <c r="B4" s="3" t="s">
        <v>16</v>
      </c>
      <c r="C4" s="209">
        <f>'06 Finančná analýza - nové'!AG8</f>
        <v>9192335.9984512255</v>
      </c>
      <c r="D4" s="210">
        <f>'06 Finančná analýza - nové'!C8</f>
        <v>2947535.5422308673</v>
      </c>
    </row>
    <row r="5" spans="2:33" x14ac:dyDescent="0.2">
      <c r="B5" s="3" t="s">
        <v>220</v>
      </c>
      <c r="C5" s="209">
        <f>'04 Prevádzkové príjmy - nové'!C23</f>
        <v>18169207.66055109</v>
      </c>
      <c r="D5" s="210">
        <f>'06 Finančná analýza - nové'!C7</f>
        <v>9949695.0739338789</v>
      </c>
    </row>
    <row r="6" spans="2:33" x14ac:dyDescent="0.2">
      <c r="B6" s="3" t="s">
        <v>59</v>
      </c>
      <c r="C6" s="209">
        <f>'03 Prevádzkové výdavky - nové'!C32</f>
        <v>-6633856.7798612742</v>
      </c>
      <c r="D6" s="210">
        <f>'06 Finančná analýza - nové'!C6</f>
        <v>-22734220.627280999</v>
      </c>
      <c r="F6" s="139" t="s">
        <v>274</v>
      </c>
    </row>
    <row r="7" spans="2:33" x14ac:dyDescent="0.2">
      <c r="B7" s="3" t="s">
        <v>269</v>
      </c>
      <c r="C7" s="211"/>
      <c r="D7" s="210">
        <f>IF(D5&gt;D6,D4+D5-D6,0)</f>
        <v>35631451.243445747</v>
      </c>
      <c r="F7" s="139" t="s">
        <v>268</v>
      </c>
    </row>
    <row r="8" spans="2:33" x14ac:dyDescent="0.2">
      <c r="B8" s="3" t="s">
        <v>271</v>
      </c>
      <c r="C8" s="212"/>
      <c r="D8" s="210">
        <f>D3-D7</f>
        <v>19657283.832356915</v>
      </c>
    </row>
    <row r="9" spans="2:33" x14ac:dyDescent="0.2">
      <c r="B9" s="3" t="s">
        <v>272</v>
      </c>
      <c r="C9" s="138"/>
      <c r="D9" s="213">
        <f>D8/D3</f>
        <v>0.35553867899864477</v>
      </c>
    </row>
    <row r="12" spans="2:33" x14ac:dyDescent="0.2">
      <c r="B12" s="3" t="s">
        <v>221</v>
      </c>
      <c r="C12" s="183">
        <f>'01 Investičné výdavky - nové'!C15</f>
        <v>63000000</v>
      </c>
    </row>
    <row r="13" spans="2:33" x14ac:dyDescent="0.2">
      <c r="B13" s="10"/>
    </row>
    <row r="14" spans="2:33" x14ac:dyDescent="0.2">
      <c r="B14" s="10"/>
    </row>
    <row r="15" spans="2:33" x14ac:dyDescent="0.2">
      <c r="B15" s="3"/>
      <c r="C15" s="3"/>
      <c r="D15" s="3" t="s">
        <v>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2:33" x14ac:dyDescent="0.2">
      <c r="B16" s="4"/>
      <c r="C16" s="4"/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5">
        <v>24</v>
      </c>
      <c r="AB16" s="5">
        <v>25</v>
      </c>
      <c r="AC16" s="5">
        <v>26</v>
      </c>
      <c r="AD16" s="5">
        <v>27</v>
      </c>
      <c r="AE16" s="5">
        <v>28</v>
      </c>
      <c r="AF16" s="5">
        <v>29</v>
      </c>
      <c r="AG16" s="5">
        <v>30</v>
      </c>
    </row>
    <row r="17" spans="2:33" x14ac:dyDescent="0.2">
      <c r="B17" s="6" t="s">
        <v>239</v>
      </c>
      <c r="C17" s="124" t="s">
        <v>9</v>
      </c>
      <c r="D17" s="7">
        <v>2023</v>
      </c>
      <c r="E17" s="7">
        <f>$D$17+D16</f>
        <v>2024</v>
      </c>
      <c r="F17" s="7">
        <f>$D$17+E16</f>
        <v>2025</v>
      </c>
      <c r="G17" s="7">
        <f>$D$17+F16</f>
        <v>2026</v>
      </c>
      <c r="H17" s="7">
        <f t="shared" ref="H17:AG17" si="0">$D$17+G16</f>
        <v>2027</v>
      </c>
      <c r="I17" s="7">
        <f t="shared" si="0"/>
        <v>2028</v>
      </c>
      <c r="J17" s="7">
        <f t="shared" si="0"/>
        <v>2029</v>
      </c>
      <c r="K17" s="7">
        <f t="shared" si="0"/>
        <v>2030</v>
      </c>
      <c r="L17" s="7">
        <f t="shared" si="0"/>
        <v>2031</v>
      </c>
      <c r="M17" s="7">
        <f t="shared" si="0"/>
        <v>2032</v>
      </c>
      <c r="N17" s="7">
        <f t="shared" si="0"/>
        <v>2033</v>
      </c>
      <c r="O17" s="7">
        <f t="shared" si="0"/>
        <v>2034</v>
      </c>
      <c r="P17" s="7">
        <f t="shared" si="0"/>
        <v>2035</v>
      </c>
      <c r="Q17" s="7">
        <f t="shared" si="0"/>
        <v>2036</v>
      </c>
      <c r="R17" s="7">
        <f t="shared" si="0"/>
        <v>2037</v>
      </c>
      <c r="S17" s="7">
        <f t="shared" si="0"/>
        <v>2038</v>
      </c>
      <c r="T17" s="7">
        <f t="shared" si="0"/>
        <v>2039</v>
      </c>
      <c r="U17" s="7">
        <f t="shared" si="0"/>
        <v>2040</v>
      </c>
      <c r="V17" s="7">
        <f t="shared" si="0"/>
        <v>2041</v>
      </c>
      <c r="W17" s="7">
        <f t="shared" si="0"/>
        <v>2042</v>
      </c>
      <c r="X17" s="7">
        <f t="shared" si="0"/>
        <v>2043</v>
      </c>
      <c r="Y17" s="7">
        <f t="shared" si="0"/>
        <v>2044</v>
      </c>
      <c r="Z17" s="7">
        <f t="shared" si="0"/>
        <v>2045</v>
      </c>
      <c r="AA17" s="7">
        <f t="shared" si="0"/>
        <v>2046</v>
      </c>
      <c r="AB17" s="7">
        <f t="shared" si="0"/>
        <v>2047</v>
      </c>
      <c r="AC17" s="7">
        <f t="shared" si="0"/>
        <v>2048</v>
      </c>
      <c r="AD17" s="7">
        <f t="shared" si="0"/>
        <v>2049</v>
      </c>
      <c r="AE17" s="7">
        <f t="shared" si="0"/>
        <v>2050</v>
      </c>
      <c r="AF17" s="7">
        <f t="shared" si="0"/>
        <v>2051</v>
      </c>
      <c r="AG17" s="7">
        <f t="shared" si="0"/>
        <v>2052</v>
      </c>
    </row>
    <row r="18" spans="2:33" x14ac:dyDescent="0.2">
      <c r="B18" s="3" t="s">
        <v>60</v>
      </c>
      <c r="C18" s="183">
        <f>SUM(D18:AG18)</f>
        <v>63000000</v>
      </c>
      <c r="D18" s="183">
        <f>'01 Investičné výdavky - nové'!D9</f>
        <v>0</v>
      </c>
      <c r="E18" s="183">
        <f>'01 Investičné výdavky - nové'!E9</f>
        <v>0</v>
      </c>
      <c r="F18" s="183">
        <f>'01 Investičné výdavky - nové'!F9</f>
        <v>0</v>
      </c>
      <c r="G18" s="183">
        <f>'01 Investičné výdavky - nové'!G9</f>
        <v>42000000</v>
      </c>
      <c r="H18" s="183">
        <f>'01 Investičné výdavky - nové'!H9</f>
        <v>21000000</v>
      </c>
      <c r="I18" s="183">
        <f>'01 Investičné výdavky - nové'!I9</f>
        <v>0</v>
      </c>
      <c r="J18" s="183">
        <f>'01 Investičné výdavky - nové'!J9</f>
        <v>0</v>
      </c>
      <c r="K18" s="183">
        <f>'01 Investičné výdavky - nové'!K9</f>
        <v>0</v>
      </c>
      <c r="L18" s="183">
        <f>'01 Investičné výdavky - nové'!L9</f>
        <v>0</v>
      </c>
      <c r="M18" s="183">
        <f>'01 Investičné výdavky - nové'!M9</f>
        <v>0</v>
      </c>
      <c r="N18" s="183">
        <f>'01 Investičné výdavky - nové'!N9</f>
        <v>0</v>
      </c>
      <c r="O18" s="183">
        <f>'01 Investičné výdavky - nové'!O9</f>
        <v>0</v>
      </c>
      <c r="P18" s="183">
        <f>'01 Investičné výdavky - nové'!P9</f>
        <v>0</v>
      </c>
      <c r="Q18" s="183">
        <f>'01 Investičné výdavky - nové'!Q9</f>
        <v>0</v>
      </c>
      <c r="R18" s="183">
        <f>'01 Investičné výdavky - nové'!R9</f>
        <v>0</v>
      </c>
      <c r="S18" s="183">
        <f>'01 Investičné výdavky - nové'!S9</f>
        <v>0</v>
      </c>
      <c r="T18" s="183">
        <f>'01 Investičné výdavky - nové'!T9</f>
        <v>0</v>
      </c>
      <c r="U18" s="183">
        <f>'01 Investičné výdavky - nové'!U9</f>
        <v>0</v>
      </c>
      <c r="V18" s="183">
        <f>'01 Investičné výdavky - nové'!V9</f>
        <v>0</v>
      </c>
      <c r="W18" s="183">
        <f>'01 Investičné výdavky - nové'!W9</f>
        <v>0</v>
      </c>
      <c r="X18" s="183">
        <f>'01 Investičné výdavky - nové'!X9</f>
        <v>0</v>
      </c>
      <c r="Y18" s="183">
        <f>'01 Investičné výdavky - nové'!Y9</f>
        <v>0</v>
      </c>
      <c r="Z18" s="183">
        <f>'01 Investičné výdavky - nové'!Z9</f>
        <v>0</v>
      </c>
      <c r="AA18" s="183">
        <f>'01 Investičné výdavky - nové'!AA9</f>
        <v>0</v>
      </c>
      <c r="AB18" s="183">
        <f>'01 Investičné výdavky - nové'!AB9</f>
        <v>0</v>
      </c>
      <c r="AC18" s="183">
        <f>'01 Investičné výdavky - nové'!AC9</f>
        <v>0</v>
      </c>
      <c r="AD18" s="183">
        <f>'01 Investičné výdavky - nové'!AD9</f>
        <v>0</v>
      </c>
      <c r="AE18" s="183">
        <f>'01 Investičné výdavky - nové'!AE9</f>
        <v>0</v>
      </c>
      <c r="AF18" s="183">
        <f>'01 Investičné výdavky - nové'!AF9</f>
        <v>0</v>
      </c>
      <c r="AG18" s="183">
        <f>'01 Investičné výdavky - nové'!AG9</f>
        <v>0</v>
      </c>
    </row>
    <row r="19" spans="2:33" x14ac:dyDescent="0.2">
      <c r="B19" s="3" t="s">
        <v>240</v>
      </c>
      <c r="C19" s="183">
        <f>SUM(D19:AG19)</f>
        <v>71613832.5</v>
      </c>
      <c r="D19" s="186">
        <f>'06 Finančná analýza - nové'!D20</f>
        <v>0</v>
      </c>
      <c r="E19" s="186">
        <f>'06 Finančná analýza - nové'!E20</f>
        <v>0</v>
      </c>
      <c r="F19" s="186">
        <f>'06 Finančná analýza - nové'!F20</f>
        <v>0</v>
      </c>
      <c r="G19" s="186">
        <f>'06 Finančná analýza - nové'!G20</f>
        <v>128100</v>
      </c>
      <c r="H19" s="186">
        <f>'06 Finančná analýza - nové'!H20</f>
        <v>7537522.5</v>
      </c>
      <c r="I19" s="186">
        <f>'06 Finančná analýza - nové'!I20</f>
        <v>10977047.5</v>
      </c>
      <c r="J19" s="186">
        <f>'06 Finančná analýza - nové'!J20</f>
        <v>10644897.5</v>
      </c>
      <c r="K19" s="186">
        <f>'06 Finančná analýza - nové'!K20</f>
        <v>10312747.5</v>
      </c>
      <c r="L19" s="186">
        <f>'06 Finančná analýza - nové'!L20</f>
        <v>9980597.5</v>
      </c>
      <c r="M19" s="186">
        <f>'06 Finančná analýza - nové'!M20</f>
        <v>9648447.5</v>
      </c>
      <c r="N19" s="186">
        <f>'06 Finančná analýza - nové'!N20</f>
        <v>9316297.5</v>
      </c>
      <c r="O19" s="186">
        <f>'06 Finančná analýza - nové'!O20</f>
        <v>3068175</v>
      </c>
      <c r="P19" s="186">
        <f>'06 Finančná analýza - nové'!P20</f>
        <v>0</v>
      </c>
      <c r="Q19" s="186">
        <f>'06 Finančná analýza - nové'!Q20</f>
        <v>0</v>
      </c>
      <c r="R19" s="186">
        <f>'06 Finančná analýza - nové'!R20</f>
        <v>0</v>
      </c>
      <c r="S19" s="186">
        <f>'06 Finančná analýza - nové'!S20</f>
        <v>0</v>
      </c>
      <c r="T19" s="186">
        <f>'06 Finančná analýza - nové'!T20</f>
        <v>0</v>
      </c>
      <c r="U19" s="186">
        <f>'06 Finančná analýza - nové'!U20</f>
        <v>0</v>
      </c>
      <c r="V19" s="186">
        <f>'06 Finančná analýza - nové'!V20</f>
        <v>0</v>
      </c>
      <c r="W19" s="186">
        <f>'06 Finančná analýza - nové'!W20</f>
        <v>0</v>
      </c>
      <c r="X19" s="186">
        <f>'06 Finančná analýza - nové'!X20</f>
        <v>0</v>
      </c>
      <c r="Y19" s="186">
        <f>'06 Finančná analýza - nové'!Y20</f>
        <v>0</v>
      </c>
      <c r="Z19" s="186">
        <f>'06 Finančná analýza - nové'!Z20</f>
        <v>0</v>
      </c>
      <c r="AA19" s="186">
        <f>'06 Finančná analýza - nové'!AA20</f>
        <v>0</v>
      </c>
      <c r="AB19" s="186">
        <f>'06 Finančná analýza - nové'!AB20</f>
        <v>0</v>
      </c>
      <c r="AC19" s="186">
        <f>'06 Finančná analýza - nové'!AC20</f>
        <v>0</v>
      </c>
      <c r="AD19" s="186">
        <f>'06 Finančná analýza - nové'!AD20</f>
        <v>0</v>
      </c>
      <c r="AE19" s="186">
        <f>'06 Finančná analýza - nové'!AE20</f>
        <v>0</v>
      </c>
      <c r="AF19" s="186">
        <f>'06 Finančná analýza - nové'!AF20</f>
        <v>0</v>
      </c>
      <c r="AG19" s="186">
        <f>'06 Finančná analýza - nové'!AG20</f>
        <v>0</v>
      </c>
    </row>
    <row r="20" spans="2:33" hidden="1" x14ac:dyDescent="0.2">
      <c r="B20" s="3" t="s">
        <v>234</v>
      </c>
      <c r="C20" s="183" t="e">
        <f t="shared" ref="C20:C21" si="1">SUM(D20:AG20)</f>
        <v>#REF!</v>
      </c>
      <c r="D20" s="183" t="e">
        <f>$D$9*#REF!*'01 Investičné výdavky - nové'!D16</f>
        <v>#REF!</v>
      </c>
      <c r="E20" s="183" t="e">
        <f>$D$9*#REF!*'01 Investičné výdavky - nové'!E16</f>
        <v>#REF!</v>
      </c>
      <c r="F20" s="183" t="e">
        <f>$D$9*#REF!*'01 Investičné výdavky - nové'!F16</f>
        <v>#REF!</v>
      </c>
      <c r="G20" s="183" t="e">
        <f>$D$9*#REF!*'01 Investičné výdavky - nové'!G16</f>
        <v>#REF!</v>
      </c>
      <c r="H20" s="183" t="e">
        <f>$D$9*#REF!*'01 Investičné výdavky - nové'!H16</f>
        <v>#REF!</v>
      </c>
      <c r="I20" s="183" t="e">
        <f>$D$9*#REF!*'01 Investičné výdavky - nové'!I16</f>
        <v>#REF!</v>
      </c>
      <c r="J20" s="183" t="e">
        <f>$D$9*#REF!*'01 Investičné výdavky - nové'!J16</f>
        <v>#REF!</v>
      </c>
      <c r="K20" s="183" t="e">
        <f>$D$9*#REF!*'01 Investičné výdavky - nové'!K16</f>
        <v>#REF!</v>
      </c>
      <c r="L20" s="183" t="e">
        <f>$D$9*#REF!*'01 Investičné výdavky - nové'!L16</f>
        <v>#REF!</v>
      </c>
      <c r="M20" s="183" t="e">
        <f>$D$9*#REF!*'01 Investičné výdavky - nové'!M16</f>
        <v>#REF!</v>
      </c>
      <c r="N20" s="183" t="e">
        <f>$D$9*#REF!*'01 Investičné výdavky - nové'!N16</f>
        <v>#REF!</v>
      </c>
      <c r="O20" s="183" t="e">
        <f>$D$9*#REF!*'01 Investičné výdavky - nové'!O16</f>
        <v>#REF!</v>
      </c>
      <c r="P20" s="183" t="e">
        <f>$D$9*#REF!*'01 Investičné výdavky - nové'!P16</f>
        <v>#REF!</v>
      </c>
      <c r="Q20" s="183" t="e">
        <f>$D$9*#REF!*'01 Investičné výdavky - nové'!Q16</f>
        <v>#REF!</v>
      </c>
      <c r="R20" s="183" t="e">
        <f>$D$9*#REF!*'01 Investičné výdavky - nové'!R16</f>
        <v>#REF!</v>
      </c>
      <c r="S20" s="183" t="e">
        <f>$D$9*#REF!*'01 Investičné výdavky - nové'!S16</f>
        <v>#REF!</v>
      </c>
      <c r="T20" s="183" t="e">
        <f>$D$9*#REF!*'01 Investičné výdavky - nové'!T16</f>
        <v>#REF!</v>
      </c>
      <c r="U20" s="183" t="e">
        <f>$D$9*#REF!*'01 Investičné výdavky - nové'!U16</f>
        <v>#REF!</v>
      </c>
      <c r="V20" s="183" t="e">
        <f>$D$9*#REF!*'01 Investičné výdavky - nové'!V16</f>
        <v>#REF!</v>
      </c>
      <c r="W20" s="183" t="e">
        <f>$D$9*#REF!*'01 Investičné výdavky - nové'!W16</f>
        <v>#REF!</v>
      </c>
      <c r="X20" s="183" t="e">
        <f>$D$9*#REF!*'01 Investičné výdavky - nové'!X16</f>
        <v>#REF!</v>
      </c>
      <c r="Y20" s="183" t="e">
        <f>$D$9*#REF!*'01 Investičné výdavky - nové'!Y16</f>
        <v>#REF!</v>
      </c>
      <c r="Z20" s="183" t="e">
        <f>$D$9*#REF!*'01 Investičné výdavky - nové'!Z16</f>
        <v>#REF!</v>
      </c>
      <c r="AA20" s="183" t="e">
        <f>$D$9*#REF!*'01 Investičné výdavky - nové'!AA16</f>
        <v>#REF!</v>
      </c>
      <c r="AB20" s="183" t="e">
        <f>$D$9*#REF!*'01 Investičné výdavky - nové'!AB16</f>
        <v>#REF!</v>
      </c>
      <c r="AC20" s="183" t="e">
        <f>$D$9*#REF!*'01 Investičné výdavky - nové'!AC16</f>
        <v>#REF!</v>
      </c>
      <c r="AD20" s="183" t="e">
        <f>$D$9*#REF!*'01 Investičné výdavky - nové'!AD16</f>
        <v>#REF!</v>
      </c>
      <c r="AE20" s="183" t="e">
        <f>$D$9*#REF!*'01 Investičné výdavky - nové'!AE16</f>
        <v>#REF!</v>
      </c>
      <c r="AF20" s="183" t="e">
        <f>$D$9*#REF!*'01 Investičné výdavky - nové'!AF16</f>
        <v>#REF!</v>
      </c>
      <c r="AG20" s="183" t="e">
        <f>$D$9*#REF!*'01 Investičné výdavky - nové'!AG16</f>
        <v>#REF!</v>
      </c>
    </row>
    <row r="21" spans="2:33" hidden="1" x14ac:dyDescent="0.2">
      <c r="B21" s="3" t="s">
        <v>235</v>
      </c>
      <c r="C21" s="183">
        <f t="shared" si="1"/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</row>
    <row r="22" spans="2:33" hidden="1" x14ac:dyDescent="0.2">
      <c r="B22" s="1" t="s">
        <v>238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2:33" hidden="1" x14ac:dyDescent="0.2">
      <c r="B23" s="1" t="s">
        <v>241</v>
      </c>
    </row>
  </sheetData>
  <sheetProtection algorithmName="SHA-512" hashValue="wShdRiBC7CnnoiYioq7oVwE8KqkI1P9ZLXywXp2BQfNRQv20klNC8kgZOJ2PWO0y0EP5RAticAcpcEIZlj7E0g==" saltValue="pjv5sY9JqTK4fqUL9+HjYg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  <ignoredErrors>
    <ignoredError sqref="C20:AG2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26</vt:i4>
      </vt:variant>
    </vt:vector>
  </HeadingPairs>
  <TitlesOfParts>
    <vt:vector size="26" baseType="lpstr">
      <vt:lpstr>Hrubý domáci produkt</vt:lpstr>
      <vt:lpstr>Cenová inflácia</vt:lpstr>
      <vt:lpstr>Parametre</vt:lpstr>
      <vt:lpstr>Nové vozne =&gt;</vt:lpstr>
      <vt:lpstr>01 Investičné výdavky - nové</vt:lpstr>
      <vt:lpstr>02 Zostatková hodnota - nové</vt:lpstr>
      <vt:lpstr>03 Prevádzkové výdavky - nové</vt:lpstr>
      <vt:lpstr>04 Prevádzkové príjmy - nové</vt:lpstr>
      <vt:lpstr>05 Financovanie - nové</vt:lpstr>
      <vt:lpstr>06 Finančná analýza - nové</vt:lpstr>
      <vt:lpstr>Úspora času cestujúci - nové</vt:lpstr>
      <vt:lpstr>07 Čas cestujúcich - nové</vt:lpstr>
      <vt:lpstr>08 Ekonomická analýza - nové</vt:lpstr>
      <vt:lpstr>Zánovné vozne =&gt;</vt:lpstr>
      <vt:lpstr>01 Investičné výdavky - zánovné</vt:lpstr>
      <vt:lpstr>02 Zostatková hodnota - zánovné</vt:lpstr>
      <vt:lpstr>03 Prevádzkové výdavky-zánovné</vt:lpstr>
      <vt:lpstr>04 Prevádzkové príjmy - zánovné</vt:lpstr>
      <vt:lpstr>05 Financovanie - zánovné</vt:lpstr>
      <vt:lpstr>06 Finančná analýza - zánovné</vt:lpstr>
      <vt:lpstr>Úspora času cestujúci - zánovné</vt:lpstr>
      <vt:lpstr>07 Čas cestujúcich - zánovné</vt:lpstr>
      <vt:lpstr>08 Ekonomická analýza - zánovné</vt:lpstr>
      <vt:lpstr>Pomocný výpočet PV bez projektu</vt:lpstr>
      <vt:lpstr>Pomocný výpočet PV nové</vt:lpstr>
      <vt:lpstr>Pomocný výpočet PV jazdené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Bajs Rastislav</cp:lastModifiedBy>
  <cp:lastPrinted>2011-06-09T11:45:53Z</cp:lastPrinted>
  <dcterms:created xsi:type="dcterms:W3CDTF">2011-05-19T08:19:19Z</dcterms:created>
  <dcterms:modified xsi:type="dcterms:W3CDTF">2023-05-25T09:20:18Z</dcterms:modified>
</cp:coreProperties>
</file>